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<sst xmlns="http://schemas.openxmlformats.org/spreadsheetml/2006/main" count="359" uniqueCount="214">
  <si>
    <t>Name</t>
  </si>
  <si>
    <t>Years of Service</t>
  </si>
  <si>
    <t>Age</t>
  </si>
  <si>
    <t>Team</t>
  </si>
  <si>
    <t>Lg</t>
  </si>
  <si>
    <t>Pos</t>
  </si>
  <si>
    <t>G</t>
  </si>
  <si>
    <t>GS</t>
  </si>
  <si>
    <t>Att</t>
  </si>
  <si>
    <t>RushYds</t>
  </si>
  <si>
    <t>RushTD</t>
  </si>
  <si>
    <t>Rush1D</t>
  </si>
  <si>
    <t>RushSucc%</t>
  </si>
  <si>
    <t>RushLng</t>
  </si>
  <si>
    <t>Y/A</t>
  </si>
  <si>
    <t>RushY/G</t>
  </si>
  <si>
    <t>A/G</t>
  </si>
  <si>
    <t>Tgt</t>
  </si>
  <si>
    <t>Rec</t>
  </si>
  <si>
    <t>RecYds</t>
  </si>
  <si>
    <t>Y/R</t>
  </si>
  <si>
    <t>RecTD</t>
  </si>
  <si>
    <t>Rec1D</t>
  </si>
  <si>
    <t>RecSucc%</t>
  </si>
  <si>
    <t>RecLng</t>
  </si>
  <si>
    <t>R/G</t>
  </si>
  <si>
    <t>RecY/G</t>
  </si>
  <si>
    <t>Ctch%</t>
  </si>
  <si>
    <t>Y/Tgt</t>
  </si>
  <si>
    <t>Touch</t>
  </si>
  <si>
    <t>Y/Tch</t>
  </si>
  <si>
    <t>YScm</t>
  </si>
  <si>
    <t>RRTD</t>
  </si>
  <si>
    <t>Fmb</t>
  </si>
  <si>
    <t>AV</t>
  </si>
  <si>
    <t>Awards</t>
  </si>
  <si>
    <t>Head Coach</t>
  </si>
  <si>
    <t>Offensive Coordinator</t>
  </si>
  <si>
    <t>Quarterback</t>
  </si>
  <si>
    <t>Wide Receiver 1</t>
  </si>
  <si>
    <t>Wide Receiver 2</t>
  </si>
  <si>
    <t>Tight End</t>
  </si>
  <si>
    <t>Left Tackle</t>
  </si>
  <si>
    <t>Left Guard</t>
  </si>
  <si>
    <t>Center</t>
  </si>
  <si>
    <t>Right Guard</t>
  </si>
  <si>
    <t>Right Tackle</t>
  </si>
  <si>
    <t>Rhamondre Stevenson</t>
  </si>
  <si>
    <t>Damien Harris</t>
  </si>
  <si>
    <t>Alvin Kamara</t>
  </si>
  <si>
    <t>Saquon Barkley</t>
  </si>
  <si>
    <t>Breece Hall</t>
  </si>
  <si>
    <t>D'Andre Swift</t>
  </si>
  <si>
    <t>Miles Sanders</t>
  </si>
  <si>
    <t>Najee Harris</t>
  </si>
  <si>
    <t>James Conner</t>
  </si>
  <si>
    <t>Christian McCaffrey</t>
  </si>
  <si>
    <t>Elijah Mitchell</t>
  </si>
  <si>
    <t>Raheem Mostert</t>
  </si>
  <si>
    <t>Matt Breida</t>
  </si>
  <si>
    <t>Kenneth Walker III</t>
  </si>
  <si>
    <t>Rashaad Penny</t>
  </si>
  <si>
    <t>Rachaad White</t>
  </si>
  <si>
    <t>Leonard Fournette</t>
  </si>
  <si>
    <t>Derrick Henry</t>
  </si>
  <si>
    <t>Brian Robinson Jr.</t>
  </si>
  <si>
    <t>Antonio Gibson</t>
  </si>
  <si>
    <t>Samaje Perine</t>
  </si>
  <si>
    <t>Michael Carter</t>
  </si>
  <si>
    <t>Chase Edmonds</t>
  </si>
  <si>
    <t>Kenyan Drake</t>
  </si>
  <si>
    <t>Tyler Allgeier</t>
  </si>
  <si>
    <t>Cordarrelle Patterson</t>
  </si>
  <si>
    <t>Bijan Robinson</t>
  </si>
  <si>
    <t>Gus Edwards</t>
  </si>
  <si>
    <t>J.K. Dobbins</t>
  </si>
  <si>
    <t>James Cook</t>
  </si>
  <si>
    <t>BUF</t>
  </si>
  <si>
    <t>NFL</t>
  </si>
  <si>
    <t>RB</t>
  </si>
  <si>
    <t>PB</t>
  </si>
  <si>
    <t>Sean McDermott</t>
  </si>
  <si>
    <t>Joe Brady</t>
  </si>
  <si>
    <t>Josh Allen</t>
  </si>
  <si>
    <t>Gabriel Davis</t>
  </si>
  <si>
    <t>Stefon Diggs</t>
  </si>
  <si>
    <t>N/A</t>
  </si>
  <si>
    <t>Dion Dawkins</t>
  </si>
  <si>
    <t>Connor McGovern</t>
  </si>
  <si>
    <t>Mitch Morse</t>
  </si>
  <si>
    <t>O'Cyrus Torrence</t>
  </si>
  <si>
    <t>Spencer Brown</t>
  </si>
  <si>
    <t>Chuba Hubbard</t>
  </si>
  <si>
    <t>D'Onta Foreman</t>
  </si>
  <si>
    <t>Jamaal Williams</t>
  </si>
  <si>
    <t>Aaron Jones</t>
  </si>
  <si>
    <t>Ty Montgomery</t>
  </si>
  <si>
    <t>David Montgomery</t>
  </si>
  <si>
    <t>Khalil Herbert</t>
  </si>
  <si>
    <t>Joe Mixon</t>
  </si>
  <si>
    <t>Jerome Ford</t>
  </si>
  <si>
    <t>Nick Chubb</t>
  </si>
  <si>
    <t>Tony Pollard</t>
  </si>
  <si>
    <t>Mike McCarthy</t>
  </si>
  <si>
    <t>Brian Schottenheimer</t>
  </si>
  <si>
    <t>Dak Prescott</t>
  </si>
  <si>
    <t>Brandin Cooks</t>
  </si>
  <si>
    <t>Michael Gallup</t>
  </si>
  <si>
    <t>Tyron Smith</t>
  </si>
  <si>
    <t>Tyler Smith</t>
  </si>
  <si>
    <t>Tyler Biadasz</t>
  </si>
  <si>
    <t>Zack Martin</t>
  </si>
  <si>
    <t>Terence Steele</t>
  </si>
  <si>
    <t>Ezekiel Elliott</t>
  </si>
  <si>
    <t>Javonte Williams</t>
  </si>
  <si>
    <t>Ameer Abdullah</t>
  </si>
  <si>
    <t>Devin Singletary</t>
  </si>
  <si>
    <t>Dameon Pierce</t>
  </si>
  <si>
    <t>Zack Moss</t>
  </si>
  <si>
    <t>Jonathan Taylor</t>
  </si>
  <si>
    <t>Travis Etienne</t>
  </si>
  <si>
    <t>James Robinson</t>
  </si>
  <si>
    <t>Isiah Pacheco</t>
  </si>
  <si>
    <t>KAN</t>
  </si>
  <si>
    <t>Andy Reid</t>
  </si>
  <si>
    <t>Matt Nagy</t>
  </si>
  <si>
    <t>Patrick Mahomes</t>
  </si>
  <si>
    <t>Rashee Rice</t>
  </si>
  <si>
    <t>Marquez Valdes-Scantling</t>
  </si>
  <si>
    <t>Donovan Smith</t>
  </si>
  <si>
    <t>Joe Thuney</t>
  </si>
  <si>
    <t>Creed Humphrey</t>
  </si>
  <si>
    <t>Trey Smith</t>
  </si>
  <si>
    <t>Jawaan Taylor</t>
  </si>
  <si>
    <t>Clyde Edwards-Helaire</t>
  </si>
  <si>
    <t>Kareem Hunt</t>
  </si>
  <si>
    <t>CLE</t>
  </si>
  <si>
    <t>Kevin Stefanski</t>
  </si>
  <si>
    <t>Alex Van Pelt</t>
  </si>
  <si>
    <t>Deshaun Watson</t>
  </si>
  <si>
    <t>Amari Cooper</t>
  </si>
  <si>
    <t>Elijah Moore</t>
  </si>
  <si>
    <t>Geron Christian</t>
  </si>
  <si>
    <t>Joel Bitonio</t>
  </si>
  <si>
    <t>Ethan Pocic</t>
  </si>
  <si>
    <t>Wyatt Teller</t>
  </si>
  <si>
    <t>Dawand Jones</t>
  </si>
  <si>
    <t>Josh Jacobs</t>
  </si>
  <si>
    <t>LVR</t>
  </si>
  <si>
    <t>Antonio Pierce</t>
  </si>
  <si>
    <t>Bo Hardegree</t>
  </si>
  <si>
    <t>Aidan O'Connell</t>
  </si>
  <si>
    <t>Davante Adams</t>
  </si>
  <si>
    <t>Jakobi Meyers</t>
  </si>
  <si>
    <t>Kolton Miller</t>
  </si>
  <si>
    <t>Dylan Parham</t>
  </si>
  <si>
    <t>Andre James</t>
  </si>
  <si>
    <t>Greg Van Roten</t>
  </si>
  <si>
    <t>Jermaine Eluemunor</t>
  </si>
  <si>
    <t>Latavius Murray</t>
  </si>
  <si>
    <t>Austin Ekeler</t>
  </si>
  <si>
    <t>LAC</t>
  </si>
  <si>
    <t>Brandon Staley</t>
  </si>
  <si>
    <t>Kellen Moore</t>
  </si>
  <si>
    <t>Justin Herbert</t>
  </si>
  <si>
    <t>Keenan Allen</t>
  </si>
  <si>
    <t>Quentin Johnston</t>
  </si>
  <si>
    <t>Rashawn Slater</t>
  </si>
  <si>
    <t>Zion Johnson</t>
  </si>
  <si>
    <t>Will Clapp</t>
  </si>
  <si>
    <t>Jamaree Salyer</t>
  </si>
  <si>
    <t>Trey Pipkins</t>
  </si>
  <si>
    <t>Melvin Gordon</t>
  </si>
  <si>
    <t>BAL</t>
  </si>
  <si>
    <t>John Harbaugh</t>
  </si>
  <si>
    <t>Todd Monken</t>
  </si>
  <si>
    <t>Lamar Jackson</t>
  </si>
  <si>
    <t>Rashod Bateman</t>
  </si>
  <si>
    <t>Zay Flowers</t>
  </si>
  <si>
    <t>Ronnie Stanley</t>
  </si>
  <si>
    <t>John Simpson</t>
  </si>
  <si>
    <t>Tyler Linderbaum</t>
  </si>
  <si>
    <t>Kevin Zeitler</t>
  </si>
  <si>
    <t>Morgan Moses</t>
  </si>
  <si>
    <t>Kyren Williams</t>
  </si>
  <si>
    <t>LAR</t>
  </si>
  <si>
    <t>Sean McVay</t>
  </si>
  <si>
    <t>Mike LaFleur</t>
  </si>
  <si>
    <t>Matthew Stafford</t>
  </si>
  <si>
    <t>Tutu Atwell</t>
  </si>
  <si>
    <t>Cooper Kupp</t>
  </si>
  <si>
    <t>Alaric Jackson</t>
  </si>
  <si>
    <t>Steve Avila</t>
  </si>
  <si>
    <t>Coleman Shelton</t>
  </si>
  <si>
    <t>Kevin Dotson</t>
  </si>
  <si>
    <t>Rob Havenstein</t>
  </si>
  <si>
    <t>Cam Akers</t>
  </si>
  <si>
    <t>MIN</t>
  </si>
  <si>
    <t>Kevin O'Connell</t>
  </si>
  <si>
    <t>Wes Phillips</t>
  </si>
  <si>
    <t>Kirk Cousins</t>
  </si>
  <si>
    <t>Jordan Addison</t>
  </si>
  <si>
    <t>Justin Jefferson</t>
  </si>
  <si>
    <t>Christian Darrisaw</t>
  </si>
  <si>
    <t>Dalton Risner</t>
  </si>
  <si>
    <t>Garrett Bradbury</t>
  </si>
  <si>
    <t>Ed Ingram</t>
  </si>
  <si>
    <t>Brian O'Neill</t>
  </si>
  <si>
    <t>Darrell Henderson</t>
  </si>
  <si>
    <t>Myles Gaskin</t>
  </si>
  <si>
    <t>Alexander Mattison</t>
  </si>
  <si>
    <t>Jerick McKinnon</t>
  </si>
  <si>
    <t>Jahmyr Gibbs</t>
  </si>
  <si>
    <t>Tyrone Tracy Jr.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</si>
</sst>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theme="1"/>
      <name val="Arial"/>
    </font>
    <font>
      <color theme="1"/>
      <name val="Arial"/>
    </font>
    <font>
      <sz val="11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  <font>
      <sz val="12.0"/>
      <color theme="1"/>
      <name val="Times New Roman"/>
    </font>
    <font>
      <color rgb="FFFF0000"/>
      <name val="Arial"/>
      <scheme val="minor"/>
    </font>
    <font>
      <color rgb="FFFF0000"/>
      <name val="Arial"/>
    </font>
    <font>
      <sz val="12.0"/>
      <color rgb="FFFF0000"/>
      <name val="&quot;Times New Roman&quot;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vertical="bottom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9.75"/>
    <col customWidth="1" min="2" max="2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>
      <c r="A2" s="3" t="s">
        <v>47</v>
      </c>
      <c r="B2" s="4">
        <v>3.0</v>
      </c>
      <c r="C2" s="5">
        <f>IFERROR(__xludf.DUMMYFUNCTION("SPLIT(""25,NWE,NFL,RB,12,12,156,619,4,36,49.4,64,4.0,51.6,13.0,51,38,238,6.3,0,8,35.3,34,3.2,19.8,74.5,4.7,194,4.4,857,4,1,4,0,"","","")"),25.0)</f>
        <v>25</v>
      </c>
      <c r="D2" s="6" t="str">
        <f>IFERROR(__xludf.DUMMYFUNCTION("""COMPUTED_VALUE"""),"NWE")</f>
        <v>NWE</v>
      </c>
      <c r="E2" s="6" t="str">
        <f>IFERROR(__xludf.DUMMYFUNCTION("""COMPUTED_VALUE"""),"NFL")</f>
        <v>NFL</v>
      </c>
      <c r="F2" s="6" t="str">
        <f>IFERROR(__xludf.DUMMYFUNCTION("""COMPUTED_VALUE"""),"RB")</f>
        <v>RB</v>
      </c>
      <c r="G2" s="5">
        <f>IFERROR(__xludf.DUMMYFUNCTION("""COMPUTED_VALUE"""),12.0)</f>
        <v>12</v>
      </c>
      <c r="H2" s="5">
        <f>IFERROR(__xludf.DUMMYFUNCTION("""COMPUTED_VALUE"""),12.0)</f>
        <v>12</v>
      </c>
      <c r="I2" s="5">
        <f>IFERROR(__xludf.DUMMYFUNCTION("""COMPUTED_VALUE"""),156.0)</f>
        <v>156</v>
      </c>
      <c r="J2" s="5">
        <f>IFERROR(__xludf.DUMMYFUNCTION("""COMPUTED_VALUE"""),619.0)</f>
        <v>619</v>
      </c>
      <c r="K2" s="5">
        <f>IFERROR(__xludf.DUMMYFUNCTION("""COMPUTED_VALUE"""),4.0)</f>
        <v>4</v>
      </c>
      <c r="L2" s="5">
        <f>IFERROR(__xludf.DUMMYFUNCTION("""COMPUTED_VALUE"""),36.0)</f>
        <v>36</v>
      </c>
      <c r="M2" s="5">
        <f>IFERROR(__xludf.DUMMYFUNCTION("""COMPUTED_VALUE"""),49.4)</f>
        <v>49.4</v>
      </c>
      <c r="N2" s="5">
        <f>IFERROR(__xludf.DUMMYFUNCTION("""COMPUTED_VALUE"""),64.0)</f>
        <v>64</v>
      </c>
      <c r="O2" s="5">
        <f>IFERROR(__xludf.DUMMYFUNCTION("""COMPUTED_VALUE"""),4.0)</f>
        <v>4</v>
      </c>
      <c r="P2" s="5">
        <f>IFERROR(__xludf.DUMMYFUNCTION("""COMPUTED_VALUE"""),51.6)</f>
        <v>51.6</v>
      </c>
      <c r="Q2" s="5">
        <f>IFERROR(__xludf.DUMMYFUNCTION("""COMPUTED_VALUE"""),13.0)</f>
        <v>13</v>
      </c>
      <c r="R2" s="5">
        <f>IFERROR(__xludf.DUMMYFUNCTION("""COMPUTED_VALUE"""),51.0)</f>
        <v>51</v>
      </c>
      <c r="S2" s="5">
        <f>IFERROR(__xludf.DUMMYFUNCTION("""COMPUTED_VALUE"""),38.0)</f>
        <v>38</v>
      </c>
      <c r="T2" s="5">
        <f>IFERROR(__xludf.DUMMYFUNCTION("""COMPUTED_VALUE"""),238.0)</f>
        <v>238</v>
      </c>
      <c r="U2" s="5">
        <f>IFERROR(__xludf.DUMMYFUNCTION("""COMPUTED_VALUE"""),6.3)</f>
        <v>6.3</v>
      </c>
      <c r="V2" s="5">
        <f>IFERROR(__xludf.DUMMYFUNCTION("""COMPUTED_VALUE"""),0.0)</f>
        <v>0</v>
      </c>
      <c r="W2" s="5">
        <f>IFERROR(__xludf.DUMMYFUNCTION("""COMPUTED_VALUE"""),8.0)</f>
        <v>8</v>
      </c>
      <c r="X2" s="5">
        <f>IFERROR(__xludf.DUMMYFUNCTION("""COMPUTED_VALUE"""),35.3)</f>
        <v>35.3</v>
      </c>
      <c r="Y2" s="5">
        <f>IFERROR(__xludf.DUMMYFUNCTION("""COMPUTED_VALUE"""),34.0)</f>
        <v>34</v>
      </c>
      <c r="Z2" s="5">
        <f>IFERROR(__xludf.DUMMYFUNCTION("""COMPUTED_VALUE"""),3.2)</f>
        <v>3.2</v>
      </c>
      <c r="AA2" s="5">
        <f>IFERROR(__xludf.DUMMYFUNCTION("""COMPUTED_VALUE"""),19.8)</f>
        <v>19.8</v>
      </c>
      <c r="AB2" s="5">
        <f>IFERROR(__xludf.DUMMYFUNCTION("""COMPUTED_VALUE"""),74.5)</f>
        <v>74.5</v>
      </c>
      <c r="AC2" s="5">
        <f>IFERROR(__xludf.DUMMYFUNCTION("""COMPUTED_VALUE"""),4.7)</f>
        <v>4.7</v>
      </c>
      <c r="AD2" s="5">
        <f>IFERROR(__xludf.DUMMYFUNCTION("""COMPUTED_VALUE"""),194.0)</f>
        <v>194</v>
      </c>
      <c r="AE2" s="5">
        <f>IFERROR(__xludf.DUMMYFUNCTION("""COMPUTED_VALUE"""),4.4)</f>
        <v>4.4</v>
      </c>
      <c r="AF2" s="5">
        <f>IFERROR(__xludf.DUMMYFUNCTION("""COMPUTED_VALUE"""),857.0)</f>
        <v>857</v>
      </c>
      <c r="AG2" s="5">
        <f>IFERROR(__xludf.DUMMYFUNCTION("""COMPUTED_VALUE"""),4.0)</f>
        <v>4</v>
      </c>
      <c r="AH2" s="5">
        <f>IFERROR(__xludf.DUMMYFUNCTION("""COMPUTED_VALUE"""),1.0)</f>
        <v>1</v>
      </c>
      <c r="AI2" s="5">
        <f>IFERROR(__xludf.DUMMYFUNCTION("""COMPUTED_VALUE"""),4.0)</f>
        <v>4</v>
      </c>
      <c r="AJ2" s="5">
        <f>IFERROR(__xludf.DUMMYFUNCTION("""COMPUTED_VALUE"""),0.0)</f>
        <v>0</v>
      </c>
      <c r="AK2" s="6" t="str">
        <f>IFERROR(__xludf.DUMMYFUNCTION("SPLIT(""Bill Belichick,Bill O'Brien,Mac Jones,Kendrick Bourne,DeVante Parker,Pharaoh Brown,Trent Brown,Cole Strange,David Andrews,Sidy Sow,Michael Onwenu"","","")"),"Bill Belichick")</f>
        <v>Bill Belichick</v>
      </c>
      <c r="AL2" s="6" t="str">
        <f>IFERROR(__xludf.DUMMYFUNCTION("""COMPUTED_VALUE"""),"Bill O'Brien")</f>
        <v>Bill O'Brien</v>
      </c>
      <c r="AM2" s="6" t="str">
        <f>IFERROR(__xludf.DUMMYFUNCTION("""COMPUTED_VALUE"""),"Mac Jones")</f>
        <v>Mac Jones</v>
      </c>
      <c r="AN2" s="6" t="str">
        <f>IFERROR(__xludf.DUMMYFUNCTION("""COMPUTED_VALUE"""),"Kendrick Bourne")</f>
        <v>Kendrick Bourne</v>
      </c>
      <c r="AO2" s="6" t="str">
        <f>IFERROR(__xludf.DUMMYFUNCTION("""COMPUTED_VALUE"""),"DeVante Parker")</f>
        <v>DeVante Parker</v>
      </c>
      <c r="AP2" s="6" t="str">
        <f>IFERROR(__xludf.DUMMYFUNCTION("""COMPUTED_VALUE"""),"Pharaoh Brown")</f>
        <v>Pharaoh Brown</v>
      </c>
      <c r="AQ2" s="6" t="str">
        <f>IFERROR(__xludf.DUMMYFUNCTION("""COMPUTED_VALUE"""),"Trent Brown")</f>
        <v>Trent Brown</v>
      </c>
      <c r="AR2" s="6" t="str">
        <f>IFERROR(__xludf.DUMMYFUNCTION("""COMPUTED_VALUE"""),"Cole Strange")</f>
        <v>Cole Strange</v>
      </c>
      <c r="AS2" s="6" t="str">
        <f>IFERROR(__xludf.DUMMYFUNCTION("""COMPUTED_VALUE"""),"David Andrews")</f>
        <v>David Andrews</v>
      </c>
      <c r="AT2" s="6" t="str">
        <f>IFERROR(__xludf.DUMMYFUNCTION("""COMPUTED_VALUE"""),"Sidy Sow")</f>
        <v>Sidy Sow</v>
      </c>
      <c r="AU2" s="6" t="str">
        <f>IFERROR(__xludf.DUMMYFUNCTION("""COMPUTED_VALUE"""),"Michael Onwenu")</f>
        <v>Michael Onwenu</v>
      </c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</row>
    <row r="3">
      <c r="A3" s="7" t="s">
        <v>48</v>
      </c>
      <c r="B3" s="8">
        <v>5.0</v>
      </c>
      <c r="C3" s="9">
        <f>IFERROR(__xludf.DUMMYFUNCTION("SPLIT(""26,BUF,NFL,RB,6,0,23,94,1,9,65.2,11,4.1,15.7,3.8,2,2,16,8.0,0,0,0.0,13,0.3,2.7,100.0,8.0,25,4.4,110,1,0,1,0,"","","")"),26.0)</f>
        <v>26</v>
      </c>
      <c r="D3" s="9" t="str">
        <f>IFERROR(__xludf.DUMMYFUNCTION("""COMPUTED_VALUE"""),"BUF")</f>
        <v>BUF</v>
      </c>
      <c r="E3" s="9" t="str">
        <f>IFERROR(__xludf.DUMMYFUNCTION("""COMPUTED_VALUE"""),"NFL")</f>
        <v>NFL</v>
      </c>
      <c r="F3" s="9" t="str">
        <f>IFERROR(__xludf.DUMMYFUNCTION("""COMPUTED_VALUE"""),"RB")</f>
        <v>RB</v>
      </c>
      <c r="G3" s="9">
        <f>IFERROR(__xludf.DUMMYFUNCTION("""COMPUTED_VALUE"""),6.0)</f>
        <v>6</v>
      </c>
      <c r="H3" s="9">
        <f>IFERROR(__xludf.DUMMYFUNCTION("""COMPUTED_VALUE"""),0.0)</f>
        <v>0</v>
      </c>
      <c r="I3" s="9">
        <f>IFERROR(__xludf.DUMMYFUNCTION("""COMPUTED_VALUE"""),23.0)</f>
        <v>23</v>
      </c>
      <c r="J3" s="9">
        <f>IFERROR(__xludf.DUMMYFUNCTION("""COMPUTED_VALUE"""),94.0)</f>
        <v>94</v>
      </c>
      <c r="K3" s="9">
        <f>IFERROR(__xludf.DUMMYFUNCTION("""COMPUTED_VALUE"""),1.0)</f>
        <v>1</v>
      </c>
      <c r="L3" s="9">
        <f>IFERROR(__xludf.DUMMYFUNCTION("""COMPUTED_VALUE"""),9.0)</f>
        <v>9</v>
      </c>
      <c r="M3" s="9">
        <f>IFERROR(__xludf.DUMMYFUNCTION("""COMPUTED_VALUE"""),65.2)</f>
        <v>65.2</v>
      </c>
      <c r="N3" s="9">
        <f>IFERROR(__xludf.DUMMYFUNCTION("""COMPUTED_VALUE"""),11.0)</f>
        <v>11</v>
      </c>
      <c r="O3" s="9">
        <f>IFERROR(__xludf.DUMMYFUNCTION("""COMPUTED_VALUE"""),4.1)</f>
        <v>4.1</v>
      </c>
      <c r="P3" s="9">
        <f>IFERROR(__xludf.DUMMYFUNCTION("""COMPUTED_VALUE"""),15.7)</f>
        <v>15.7</v>
      </c>
      <c r="Q3" s="9">
        <f>IFERROR(__xludf.DUMMYFUNCTION("""COMPUTED_VALUE"""),3.8)</f>
        <v>3.8</v>
      </c>
      <c r="R3" s="9">
        <f>IFERROR(__xludf.DUMMYFUNCTION("""COMPUTED_VALUE"""),2.0)</f>
        <v>2</v>
      </c>
      <c r="S3" s="9">
        <f>IFERROR(__xludf.DUMMYFUNCTION("""COMPUTED_VALUE"""),2.0)</f>
        <v>2</v>
      </c>
      <c r="T3" s="9">
        <f>IFERROR(__xludf.DUMMYFUNCTION("""COMPUTED_VALUE"""),16.0)</f>
        <v>16</v>
      </c>
      <c r="U3" s="9">
        <f>IFERROR(__xludf.DUMMYFUNCTION("""COMPUTED_VALUE"""),8.0)</f>
        <v>8</v>
      </c>
      <c r="V3" s="9">
        <f>IFERROR(__xludf.DUMMYFUNCTION("""COMPUTED_VALUE"""),0.0)</f>
        <v>0</v>
      </c>
      <c r="W3" s="9">
        <f>IFERROR(__xludf.DUMMYFUNCTION("""COMPUTED_VALUE"""),0.0)</f>
        <v>0</v>
      </c>
      <c r="X3" s="9">
        <f>IFERROR(__xludf.DUMMYFUNCTION("""COMPUTED_VALUE"""),0.0)</f>
        <v>0</v>
      </c>
      <c r="Y3" s="9">
        <f>IFERROR(__xludf.DUMMYFUNCTION("""COMPUTED_VALUE"""),13.0)</f>
        <v>13</v>
      </c>
      <c r="Z3" s="9">
        <f>IFERROR(__xludf.DUMMYFUNCTION("""COMPUTED_VALUE"""),0.3)</f>
        <v>0.3</v>
      </c>
      <c r="AA3" s="9">
        <f>IFERROR(__xludf.DUMMYFUNCTION("""COMPUTED_VALUE"""),2.7)</f>
        <v>2.7</v>
      </c>
      <c r="AB3" s="9">
        <f>IFERROR(__xludf.DUMMYFUNCTION("""COMPUTED_VALUE"""),100.0)</f>
        <v>100</v>
      </c>
      <c r="AC3" s="9">
        <f>IFERROR(__xludf.DUMMYFUNCTION("""COMPUTED_VALUE"""),8.0)</f>
        <v>8</v>
      </c>
      <c r="AD3" s="9">
        <f>IFERROR(__xludf.DUMMYFUNCTION("""COMPUTED_VALUE"""),25.0)</f>
        <v>25</v>
      </c>
      <c r="AE3" s="9">
        <f>IFERROR(__xludf.DUMMYFUNCTION("""COMPUTED_VALUE"""),4.4)</f>
        <v>4.4</v>
      </c>
      <c r="AF3" s="9">
        <f>IFERROR(__xludf.DUMMYFUNCTION("""COMPUTED_VALUE"""),110.0)</f>
        <v>110</v>
      </c>
      <c r="AG3" s="9">
        <f>IFERROR(__xludf.DUMMYFUNCTION("""COMPUTED_VALUE"""),1.0)</f>
        <v>1</v>
      </c>
      <c r="AH3" s="9">
        <f>IFERROR(__xludf.DUMMYFUNCTION("""COMPUTED_VALUE"""),0.0)</f>
        <v>0</v>
      </c>
      <c r="AI3" s="9">
        <f>IFERROR(__xludf.DUMMYFUNCTION("""COMPUTED_VALUE"""),1.0)</f>
        <v>1</v>
      </c>
      <c r="AJ3" s="9">
        <f>IFERROR(__xludf.DUMMYFUNCTION("""COMPUTED_VALUE"""),0.0)</f>
        <v>0</v>
      </c>
      <c r="AK3" s="6" t="str">
        <f>IFERROR(__xludf.DUMMYFUNCTION("SPLIT(""Sean McDermott,Joe Brady,Josh Allen,Gabriel Davis,Stefon Diggs,Dawson Knox,Dion Dawkins,Connor McGovern,Mitch Morse,O'Cyrus Torrence,Spencer Brown"","","")"),"Sean McDermott")</f>
        <v>Sean McDermott</v>
      </c>
      <c r="AL3" s="9" t="str">
        <f>IFERROR(__xludf.DUMMYFUNCTION("""COMPUTED_VALUE"""),"Joe Brady")</f>
        <v>Joe Brady</v>
      </c>
      <c r="AM3" s="9" t="str">
        <f>IFERROR(__xludf.DUMMYFUNCTION("""COMPUTED_VALUE"""),"Josh Allen")</f>
        <v>Josh Allen</v>
      </c>
      <c r="AN3" s="9" t="str">
        <f>IFERROR(__xludf.DUMMYFUNCTION("""COMPUTED_VALUE"""),"Gabriel Davis")</f>
        <v>Gabriel Davis</v>
      </c>
      <c r="AO3" s="9" t="str">
        <f>IFERROR(__xludf.DUMMYFUNCTION("""COMPUTED_VALUE"""),"Stefon Diggs")</f>
        <v>Stefon Diggs</v>
      </c>
      <c r="AP3" s="9" t="str">
        <f>IFERROR(__xludf.DUMMYFUNCTION("""COMPUTED_VALUE"""),"Dawson Knox")</f>
        <v>Dawson Knox</v>
      </c>
      <c r="AQ3" s="9" t="str">
        <f>IFERROR(__xludf.DUMMYFUNCTION("""COMPUTED_VALUE"""),"Dion Dawkins")</f>
        <v>Dion Dawkins</v>
      </c>
      <c r="AR3" s="9" t="str">
        <f>IFERROR(__xludf.DUMMYFUNCTION("""COMPUTED_VALUE"""),"Connor McGovern")</f>
        <v>Connor McGovern</v>
      </c>
      <c r="AS3" s="9" t="str">
        <f>IFERROR(__xludf.DUMMYFUNCTION("""COMPUTED_VALUE"""),"Mitch Morse")</f>
        <v>Mitch Morse</v>
      </c>
      <c r="AT3" s="9" t="str">
        <f>IFERROR(__xludf.DUMMYFUNCTION("""COMPUTED_VALUE"""),"O'Cyrus Torrence")</f>
        <v>O'Cyrus Torrence</v>
      </c>
      <c r="AU3" s="9" t="str">
        <f>IFERROR(__xludf.DUMMYFUNCTION("""COMPUTED_VALUE"""),"Spencer Brown")</f>
        <v>Spencer Brown</v>
      </c>
    </row>
    <row r="4">
      <c r="A4" s="7" t="s">
        <v>49</v>
      </c>
      <c r="B4" s="8">
        <v>7.0</v>
      </c>
      <c r="C4" s="9">
        <f>IFERROR(__xludf.DUMMYFUNCTION("SPLIT(""28,NOR,NFL,RB,13,12,180,694,5,42,48.3,17,3.9,53.4,13.8,86,75,466,6.2,1,23,45.3,25,5.8,35.8,87.2,5.4,255,4.5,1160,6,0,8,0,"","","")"),28.0)</f>
        <v>28</v>
      </c>
      <c r="D4" s="9" t="str">
        <f>IFERROR(__xludf.DUMMYFUNCTION("""COMPUTED_VALUE"""),"NOR")</f>
        <v>NOR</v>
      </c>
      <c r="E4" s="9" t="str">
        <f>IFERROR(__xludf.DUMMYFUNCTION("""COMPUTED_VALUE"""),"NFL")</f>
        <v>NFL</v>
      </c>
      <c r="F4" s="9" t="str">
        <f>IFERROR(__xludf.DUMMYFUNCTION("""COMPUTED_VALUE"""),"RB")</f>
        <v>RB</v>
      </c>
      <c r="G4" s="9">
        <f>IFERROR(__xludf.DUMMYFUNCTION("""COMPUTED_VALUE"""),13.0)</f>
        <v>13</v>
      </c>
      <c r="H4" s="9">
        <f>IFERROR(__xludf.DUMMYFUNCTION("""COMPUTED_VALUE"""),12.0)</f>
        <v>12</v>
      </c>
      <c r="I4" s="9">
        <f>IFERROR(__xludf.DUMMYFUNCTION("""COMPUTED_VALUE"""),180.0)</f>
        <v>180</v>
      </c>
      <c r="J4" s="9">
        <f>IFERROR(__xludf.DUMMYFUNCTION("""COMPUTED_VALUE"""),694.0)</f>
        <v>694</v>
      </c>
      <c r="K4" s="9">
        <f>IFERROR(__xludf.DUMMYFUNCTION("""COMPUTED_VALUE"""),5.0)</f>
        <v>5</v>
      </c>
      <c r="L4" s="9">
        <f>IFERROR(__xludf.DUMMYFUNCTION("""COMPUTED_VALUE"""),42.0)</f>
        <v>42</v>
      </c>
      <c r="M4" s="9">
        <f>IFERROR(__xludf.DUMMYFUNCTION("""COMPUTED_VALUE"""),48.3)</f>
        <v>48.3</v>
      </c>
      <c r="N4" s="9">
        <f>IFERROR(__xludf.DUMMYFUNCTION("""COMPUTED_VALUE"""),17.0)</f>
        <v>17</v>
      </c>
      <c r="O4" s="9">
        <f>IFERROR(__xludf.DUMMYFUNCTION("""COMPUTED_VALUE"""),3.9)</f>
        <v>3.9</v>
      </c>
      <c r="P4" s="10">
        <f>IFERROR(__xludf.DUMMYFUNCTION("""COMPUTED_VALUE"""),53.4)</f>
        <v>53.4</v>
      </c>
      <c r="Q4" s="10">
        <f>IFERROR(__xludf.DUMMYFUNCTION("""COMPUTED_VALUE"""),13.8)</f>
        <v>13.8</v>
      </c>
      <c r="R4" s="10">
        <f>IFERROR(__xludf.DUMMYFUNCTION("""COMPUTED_VALUE"""),86.0)</f>
        <v>86</v>
      </c>
      <c r="S4" s="9">
        <f>IFERROR(__xludf.DUMMYFUNCTION("""COMPUTED_VALUE"""),75.0)</f>
        <v>75</v>
      </c>
      <c r="T4" s="9">
        <f>IFERROR(__xludf.DUMMYFUNCTION("""COMPUTED_VALUE"""),466.0)</f>
        <v>466</v>
      </c>
      <c r="U4" s="9">
        <f>IFERROR(__xludf.DUMMYFUNCTION("""COMPUTED_VALUE"""),6.2)</f>
        <v>6.2</v>
      </c>
      <c r="V4" s="9">
        <f>IFERROR(__xludf.DUMMYFUNCTION("""COMPUTED_VALUE"""),1.0)</f>
        <v>1</v>
      </c>
      <c r="W4" s="9">
        <f>IFERROR(__xludf.DUMMYFUNCTION("""COMPUTED_VALUE"""),23.0)</f>
        <v>23</v>
      </c>
      <c r="X4" s="9">
        <f>IFERROR(__xludf.DUMMYFUNCTION("""COMPUTED_VALUE"""),45.3)</f>
        <v>45.3</v>
      </c>
      <c r="Y4" s="9">
        <f>IFERROR(__xludf.DUMMYFUNCTION("""COMPUTED_VALUE"""),25.0)</f>
        <v>25</v>
      </c>
      <c r="Z4" s="9">
        <f>IFERROR(__xludf.DUMMYFUNCTION("""COMPUTED_VALUE"""),5.8)</f>
        <v>5.8</v>
      </c>
      <c r="AA4" s="9">
        <f>IFERROR(__xludf.DUMMYFUNCTION("""COMPUTED_VALUE"""),35.8)</f>
        <v>35.8</v>
      </c>
      <c r="AB4" s="9">
        <f>IFERROR(__xludf.DUMMYFUNCTION("""COMPUTED_VALUE"""),87.2)</f>
        <v>87.2</v>
      </c>
      <c r="AC4" s="9">
        <f>IFERROR(__xludf.DUMMYFUNCTION("""COMPUTED_VALUE"""),5.4)</f>
        <v>5.4</v>
      </c>
      <c r="AD4" s="9">
        <f>IFERROR(__xludf.DUMMYFUNCTION("""COMPUTED_VALUE"""),255.0)</f>
        <v>255</v>
      </c>
      <c r="AE4" s="9">
        <f>IFERROR(__xludf.DUMMYFUNCTION("""COMPUTED_VALUE"""),4.5)</f>
        <v>4.5</v>
      </c>
      <c r="AF4" s="9">
        <f>IFERROR(__xludf.DUMMYFUNCTION("""COMPUTED_VALUE"""),1160.0)</f>
        <v>1160</v>
      </c>
      <c r="AG4" s="9">
        <f>IFERROR(__xludf.DUMMYFUNCTION("""COMPUTED_VALUE"""),6.0)</f>
        <v>6</v>
      </c>
      <c r="AH4" s="9">
        <f>IFERROR(__xludf.DUMMYFUNCTION("""COMPUTED_VALUE"""),0.0)</f>
        <v>0</v>
      </c>
      <c r="AI4" s="9">
        <f>IFERROR(__xludf.DUMMYFUNCTION("""COMPUTED_VALUE"""),8.0)</f>
        <v>8</v>
      </c>
      <c r="AJ4" s="9">
        <f>IFERROR(__xludf.DUMMYFUNCTION("""COMPUTED_VALUE"""),0.0)</f>
        <v>0</v>
      </c>
      <c r="AK4" s="6" t="str">
        <f>IFERROR(__xludf.DUMMYFUNCTION("SPLIT(""Dennis Allen,Pete Carmichael,Derek Carr,Chris Olave,Rashid Shaheed,Juwan Johnson,Andrus Peat,James Hurst,Erik McCoy,Cesar Ruiz,Ryan Ramczyk"","","")"),"Dennis Allen")</f>
        <v>Dennis Allen</v>
      </c>
      <c r="AL4" s="9" t="str">
        <f>IFERROR(__xludf.DUMMYFUNCTION("""COMPUTED_VALUE"""),"Pete Carmichael")</f>
        <v>Pete Carmichael</v>
      </c>
      <c r="AM4" s="9" t="str">
        <f>IFERROR(__xludf.DUMMYFUNCTION("""COMPUTED_VALUE"""),"Derek Carr")</f>
        <v>Derek Carr</v>
      </c>
      <c r="AN4" s="9" t="str">
        <f>IFERROR(__xludf.DUMMYFUNCTION("""COMPUTED_VALUE"""),"Chris Olave")</f>
        <v>Chris Olave</v>
      </c>
      <c r="AO4" s="9" t="str">
        <f>IFERROR(__xludf.DUMMYFUNCTION("""COMPUTED_VALUE"""),"Rashid Shaheed")</f>
        <v>Rashid Shaheed</v>
      </c>
      <c r="AP4" s="9" t="str">
        <f>IFERROR(__xludf.DUMMYFUNCTION("""COMPUTED_VALUE"""),"Juwan Johnson")</f>
        <v>Juwan Johnson</v>
      </c>
      <c r="AQ4" s="9" t="str">
        <f>IFERROR(__xludf.DUMMYFUNCTION("""COMPUTED_VALUE"""),"Andrus Peat")</f>
        <v>Andrus Peat</v>
      </c>
      <c r="AR4" s="9" t="str">
        <f>IFERROR(__xludf.DUMMYFUNCTION("""COMPUTED_VALUE"""),"James Hurst")</f>
        <v>James Hurst</v>
      </c>
      <c r="AS4" s="9" t="str">
        <f>IFERROR(__xludf.DUMMYFUNCTION("""COMPUTED_VALUE"""),"Erik McCoy")</f>
        <v>Erik McCoy</v>
      </c>
      <c r="AT4" s="9" t="str">
        <f>IFERROR(__xludf.DUMMYFUNCTION("""COMPUTED_VALUE"""),"Cesar Ruiz")</f>
        <v>Cesar Ruiz</v>
      </c>
      <c r="AU4" s="9" t="str">
        <f>IFERROR(__xludf.DUMMYFUNCTION("""COMPUTED_VALUE"""),"Ryan Ramczyk")</f>
        <v>Ryan Ramczyk</v>
      </c>
    </row>
    <row r="5">
      <c r="A5" s="7" t="s">
        <v>50</v>
      </c>
      <c r="B5" s="8">
        <v>6.0</v>
      </c>
      <c r="C5" s="9">
        <f>IFERROR(__xludf.DUMMYFUNCTION("SPLIT(""26,NYG,NFL,RB,14,14,247,962,6,51,40.1,36,3.9,68.7,17.6,60,41,280,6.8,4,16,43.3,46,2.9,20.0,68.3,4.7,288,4.3,1242,10,2,6,0"","","")"),26.0)</f>
        <v>26</v>
      </c>
      <c r="D5" s="9" t="str">
        <f>IFERROR(__xludf.DUMMYFUNCTION("""COMPUTED_VALUE"""),"NYG")</f>
        <v>NYG</v>
      </c>
      <c r="E5" s="9" t="str">
        <f>IFERROR(__xludf.DUMMYFUNCTION("""COMPUTED_VALUE"""),"NFL")</f>
        <v>NFL</v>
      </c>
      <c r="F5" s="9" t="str">
        <f>IFERROR(__xludf.DUMMYFUNCTION("""COMPUTED_VALUE"""),"RB")</f>
        <v>RB</v>
      </c>
      <c r="G5" s="9">
        <f>IFERROR(__xludf.DUMMYFUNCTION("""COMPUTED_VALUE"""),14.0)</f>
        <v>14</v>
      </c>
      <c r="H5" s="9">
        <f>IFERROR(__xludf.DUMMYFUNCTION("""COMPUTED_VALUE"""),14.0)</f>
        <v>14</v>
      </c>
      <c r="I5" s="9">
        <f>IFERROR(__xludf.DUMMYFUNCTION("""COMPUTED_VALUE"""),247.0)</f>
        <v>247</v>
      </c>
      <c r="J5" s="9">
        <f>IFERROR(__xludf.DUMMYFUNCTION("""COMPUTED_VALUE"""),962.0)</f>
        <v>962</v>
      </c>
      <c r="K5" s="9">
        <f>IFERROR(__xludf.DUMMYFUNCTION("""COMPUTED_VALUE"""),6.0)</f>
        <v>6</v>
      </c>
      <c r="L5" s="9">
        <f>IFERROR(__xludf.DUMMYFUNCTION("""COMPUTED_VALUE"""),51.0)</f>
        <v>51</v>
      </c>
      <c r="M5" s="9">
        <f>IFERROR(__xludf.DUMMYFUNCTION("""COMPUTED_VALUE"""),40.1)</f>
        <v>40.1</v>
      </c>
      <c r="N5" s="9">
        <f>IFERROR(__xludf.DUMMYFUNCTION("""COMPUTED_VALUE"""),36.0)</f>
        <v>36</v>
      </c>
      <c r="O5" s="9">
        <f>IFERROR(__xludf.DUMMYFUNCTION("""COMPUTED_VALUE"""),3.9)</f>
        <v>3.9</v>
      </c>
      <c r="P5" s="9">
        <f>IFERROR(__xludf.DUMMYFUNCTION("""COMPUTED_VALUE"""),68.7)</f>
        <v>68.7</v>
      </c>
      <c r="Q5" s="9">
        <f>IFERROR(__xludf.DUMMYFUNCTION("""COMPUTED_VALUE"""),17.6)</f>
        <v>17.6</v>
      </c>
      <c r="R5" s="9">
        <f>IFERROR(__xludf.DUMMYFUNCTION("""COMPUTED_VALUE"""),60.0)</f>
        <v>60</v>
      </c>
      <c r="S5" s="9">
        <f>IFERROR(__xludf.DUMMYFUNCTION("""COMPUTED_VALUE"""),41.0)</f>
        <v>41</v>
      </c>
      <c r="T5" s="9">
        <f>IFERROR(__xludf.DUMMYFUNCTION("""COMPUTED_VALUE"""),280.0)</f>
        <v>280</v>
      </c>
      <c r="U5" s="9">
        <f>IFERROR(__xludf.DUMMYFUNCTION("""COMPUTED_VALUE"""),6.8)</f>
        <v>6.8</v>
      </c>
      <c r="V5" s="9">
        <f>IFERROR(__xludf.DUMMYFUNCTION("""COMPUTED_VALUE"""),4.0)</f>
        <v>4</v>
      </c>
      <c r="W5" s="9">
        <f>IFERROR(__xludf.DUMMYFUNCTION("""COMPUTED_VALUE"""),16.0)</f>
        <v>16</v>
      </c>
      <c r="X5" s="9">
        <f>IFERROR(__xludf.DUMMYFUNCTION("""COMPUTED_VALUE"""),43.3)</f>
        <v>43.3</v>
      </c>
      <c r="Y5" s="9">
        <f>IFERROR(__xludf.DUMMYFUNCTION("""COMPUTED_VALUE"""),46.0)</f>
        <v>46</v>
      </c>
      <c r="Z5" s="9">
        <f>IFERROR(__xludf.DUMMYFUNCTION("""COMPUTED_VALUE"""),2.9)</f>
        <v>2.9</v>
      </c>
      <c r="AA5" s="9">
        <f>IFERROR(__xludf.DUMMYFUNCTION("""COMPUTED_VALUE"""),20.0)</f>
        <v>20</v>
      </c>
      <c r="AB5" s="9">
        <f>IFERROR(__xludf.DUMMYFUNCTION("""COMPUTED_VALUE"""),68.3)</f>
        <v>68.3</v>
      </c>
      <c r="AC5" s="9">
        <f>IFERROR(__xludf.DUMMYFUNCTION("""COMPUTED_VALUE"""),4.7)</f>
        <v>4.7</v>
      </c>
      <c r="AD5" s="9">
        <f>IFERROR(__xludf.DUMMYFUNCTION("""COMPUTED_VALUE"""),288.0)</f>
        <v>288</v>
      </c>
      <c r="AE5" s="9">
        <f>IFERROR(__xludf.DUMMYFUNCTION("""COMPUTED_VALUE"""),4.3)</f>
        <v>4.3</v>
      </c>
      <c r="AF5" s="9">
        <f>IFERROR(__xludf.DUMMYFUNCTION("""COMPUTED_VALUE"""),1242.0)</f>
        <v>1242</v>
      </c>
      <c r="AG5" s="9">
        <f>IFERROR(__xludf.DUMMYFUNCTION("""COMPUTED_VALUE"""),10.0)</f>
        <v>10</v>
      </c>
      <c r="AH5" s="9">
        <f>IFERROR(__xludf.DUMMYFUNCTION("""COMPUTED_VALUE"""),2.0)</f>
        <v>2</v>
      </c>
      <c r="AI5" s="9">
        <f>IFERROR(__xludf.DUMMYFUNCTION("""COMPUTED_VALUE"""),6.0)</f>
        <v>6</v>
      </c>
      <c r="AJ5" s="9">
        <f>IFERROR(__xludf.DUMMYFUNCTION("""COMPUTED_VALUE"""),0.0)</f>
        <v>0</v>
      </c>
      <c r="AK5" s="6" t="str">
        <f>IFERROR(__xludf.DUMMYFUNCTION("SPLIT(""Brian Daboll,Mike Kafka,Daniel Jones,Jalin Hyatt,Wan'Dale Robinson,Daniel Bellinger,Andrew Thomas,Justin Pugh,John Michael Schmitz,Ben Bredeson,Tyre Phillips"","","")"),"Brian Daboll")</f>
        <v>Brian Daboll</v>
      </c>
      <c r="AL5" s="9" t="str">
        <f>IFERROR(__xludf.DUMMYFUNCTION("""COMPUTED_VALUE"""),"Mike Kafka")</f>
        <v>Mike Kafka</v>
      </c>
      <c r="AM5" s="9" t="str">
        <f>IFERROR(__xludf.DUMMYFUNCTION("""COMPUTED_VALUE"""),"Daniel Jones")</f>
        <v>Daniel Jones</v>
      </c>
      <c r="AN5" s="9" t="str">
        <f>IFERROR(__xludf.DUMMYFUNCTION("""COMPUTED_VALUE"""),"Jalin Hyatt")</f>
        <v>Jalin Hyatt</v>
      </c>
      <c r="AO5" s="9" t="str">
        <f>IFERROR(__xludf.DUMMYFUNCTION("""COMPUTED_VALUE"""),"Wan'Dale Robinson")</f>
        <v>Wan'Dale Robinson</v>
      </c>
      <c r="AP5" s="9" t="str">
        <f>IFERROR(__xludf.DUMMYFUNCTION("""COMPUTED_VALUE"""),"Daniel Bellinger")</f>
        <v>Daniel Bellinger</v>
      </c>
      <c r="AQ5" s="9" t="str">
        <f>IFERROR(__xludf.DUMMYFUNCTION("""COMPUTED_VALUE"""),"Andrew Thomas")</f>
        <v>Andrew Thomas</v>
      </c>
      <c r="AR5" s="9" t="str">
        <f>IFERROR(__xludf.DUMMYFUNCTION("""COMPUTED_VALUE"""),"Justin Pugh")</f>
        <v>Justin Pugh</v>
      </c>
      <c r="AS5" s="9" t="str">
        <f>IFERROR(__xludf.DUMMYFUNCTION("""COMPUTED_VALUE"""),"John Michael Schmitz")</f>
        <v>John Michael Schmitz</v>
      </c>
      <c r="AT5" s="9" t="str">
        <f>IFERROR(__xludf.DUMMYFUNCTION("""COMPUTED_VALUE"""),"Ben Bredeson")</f>
        <v>Ben Bredeson</v>
      </c>
      <c r="AU5" s="9" t="str">
        <f>IFERROR(__xludf.DUMMYFUNCTION("""COMPUTED_VALUE"""),"Tyre Phillips")</f>
        <v>Tyre Phillips</v>
      </c>
    </row>
    <row r="6">
      <c r="A6" s="7" t="s">
        <v>51</v>
      </c>
      <c r="B6" s="8">
        <v>2.0</v>
      </c>
      <c r="C6" s="9">
        <f>IFERROR(__xludf.DUMMYFUNCTION("SPLIT(""22,NYJ,NFL,RB,17,16,223,994,5,40,39.5,83,4.5,58.5,13.1,95,76,591,7.8,4,28,40.0,50,4.5,34.8,80.0,6.2,299,5.3,1585,9,2,8,AP CPoY-7,"","","")"),22.0)</f>
        <v>22</v>
      </c>
      <c r="D6" s="9" t="str">
        <f>IFERROR(__xludf.DUMMYFUNCTION("""COMPUTED_VALUE"""),"NYJ")</f>
        <v>NYJ</v>
      </c>
      <c r="E6" s="9" t="str">
        <f>IFERROR(__xludf.DUMMYFUNCTION("""COMPUTED_VALUE"""),"NFL")</f>
        <v>NFL</v>
      </c>
      <c r="F6" s="9" t="str">
        <f>IFERROR(__xludf.DUMMYFUNCTION("""COMPUTED_VALUE"""),"RB")</f>
        <v>RB</v>
      </c>
      <c r="G6" s="9">
        <f>IFERROR(__xludf.DUMMYFUNCTION("""COMPUTED_VALUE"""),17.0)</f>
        <v>17</v>
      </c>
      <c r="H6" s="9">
        <f>IFERROR(__xludf.DUMMYFUNCTION("""COMPUTED_VALUE"""),16.0)</f>
        <v>16</v>
      </c>
      <c r="I6" s="9">
        <f>IFERROR(__xludf.DUMMYFUNCTION("""COMPUTED_VALUE"""),223.0)</f>
        <v>223</v>
      </c>
      <c r="J6" s="9">
        <f>IFERROR(__xludf.DUMMYFUNCTION("""COMPUTED_VALUE"""),994.0)</f>
        <v>994</v>
      </c>
      <c r="K6" s="9">
        <f>IFERROR(__xludf.DUMMYFUNCTION("""COMPUTED_VALUE"""),5.0)</f>
        <v>5</v>
      </c>
      <c r="L6" s="9">
        <f>IFERROR(__xludf.DUMMYFUNCTION("""COMPUTED_VALUE"""),40.0)</f>
        <v>40</v>
      </c>
      <c r="M6" s="9">
        <f>IFERROR(__xludf.DUMMYFUNCTION("""COMPUTED_VALUE"""),39.5)</f>
        <v>39.5</v>
      </c>
      <c r="N6" s="9">
        <f>IFERROR(__xludf.DUMMYFUNCTION("""COMPUTED_VALUE"""),83.0)</f>
        <v>83</v>
      </c>
      <c r="O6" s="9">
        <f>IFERROR(__xludf.DUMMYFUNCTION("""COMPUTED_VALUE"""),4.5)</f>
        <v>4.5</v>
      </c>
      <c r="P6" s="9">
        <f>IFERROR(__xludf.DUMMYFUNCTION("""COMPUTED_VALUE"""),58.5)</f>
        <v>58.5</v>
      </c>
      <c r="Q6" s="9">
        <f>IFERROR(__xludf.DUMMYFUNCTION("""COMPUTED_VALUE"""),13.1)</f>
        <v>13.1</v>
      </c>
      <c r="R6" s="9">
        <f>IFERROR(__xludf.DUMMYFUNCTION("""COMPUTED_VALUE"""),95.0)</f>
        <v>95</v>
      </c>
      <c r="S6" s="9">
        <f>IFERROR(__xludf.DUMMYFUNCTION("""COMPUTED_VALUE"""),76.0)</f>
        <v>76</v>
      </c>
      <c r="T6" s="9">
        <f>IFERROR(__xludf.DUMMYFUNCTION("""COMPUTED_VALUE"""),591.0)</f>
        <v>591</v>
      </c>
      <c r="U6" s="9">
        <f>IFERROR(__xludf.DUMMYFUNCTION("""COMPUTED_VALUE"""),7.8)</f>
        <v>7.8</v>
      </c>
      <c r="V6" s="9">
        <f>IFERROR(__xludf.DUMMYFUNCTION("""COMPUTED_VALUE"""),4.0)</f>
        <v>4</v>
      </c>
      <c r="W6" s="9">
        <f>IFERROR(__xludf.DUMMYFUNCTION("""COMPUTED_VALUE"""),28.0)</f>
        <v>28</v>
      </c>
      <c r="X6" s="9">
        <f>IFERROR(__xludf.DUMMYFUNCTION("""COMPUTED_VALUE"""),40.0)</f>
        <v>40</v>
      </c>
      <c r="Y6" s="9">
        <f>IFERROR(__xludf.DUMMYFUNCTION("""COMPUTED_VALUE"""),50.0)</f>
        <v>50</v>
      </c>
      <c r="Z6" s="9">
        <f>IFERROR(__xludf.DUMMYFUNCTION("""COMPUTED_VALUE"""),4.5)</f>
        <v>4.5</v>
      </c>
      <c r="AA6" s="9">
        <f>IFERROR(__xludf.DUMMYFUNCTION("""COMPUTED_VALUE"""),34.8)</f>
        <v>34.8</v>
      </c>
      <c r="AB6" s="9">
        <f>IFERROR(__xludf.DUMMYFUNCTION("""COMPUTED_VALUE"""),80.0)</f>
        <v>80</v>
      </c>
      <c r="AC6" s="9">
        <f>IFERROR(__xludf.DUMMYFUNCTION("""COMPUTED_VALUE"""),6.2)</f>
        <v>6.2</v>
      </c>
      <c r="AD6" s="9">
        <f>IFERROR(__xludf.DUMMYFUNCTION("""COMPUTED_VALUE"""),299.0)</f>
        <v>299</v>
      </c>
      <c r="AE6" s="9">
        <f>IFERROR(__xludf.DUMMYFUNCTION("""COMPUTED_VALUE"""),5.3)</f>
        <v>5.3</v>
      </c>
      <c r="AF6" s="9">
        <f>IFERROR(__xludf.DUMMYFUNCTION("""COMPUTED_VALUE"""),1585.0)</f>
        <v>1585</v>
      </c>
      <c r="AG6" s="9">
        <f>IFERROR(__xludf.DUMMYFUNCTION("""COMPUTED_VALUE"""),9.0)</f>
        <v>9</v>
      </c>
      <c r="AH6" s="9">
        <f>IFERROR(__xludf.DUMMYFUNCTION("""COMPUTED_VALUE"""),2.0)</f>
        <v>2</v>
      </c>
      <c r="AI6" s="9">
        <f>IFERROR(__xludf.DUMMYFUNCTION("""COMPUTED_VALUE"""),8.0)</f>
        <v>8</v>
      </c>
      <c r="AJ6" s="9" t="str">
        <f>IFERROR(__xludf.DUMMYFUNCTION("""COMPUTED_VALUE"""),"AP CPoY-7")</f>
        <v>AP CPoY-7</v>
      </c>
      <c r="AK6" s="6" t="str">
        <f>IFERROR(__xludf.DUMMYFUNCTION("SPLIT(""Robert Saleh,Nathaniel Hackett,Zach Wilson,Allen Lazard,Garrett Wilson,N/A,Mekhi Becton,Laken Tomlinson,Joe Tippmann,Jake Hanson,Max Mitchell"","","")"),"Robert Saleh")</f>
        <v>Robert Saleh</v>
      </c>
      <c r="AL6" s="9" t="str">
        <f>IFERROR(__xludf.DUMMYFUNCTION("""COMPUTED_VALUE"""),"Nathaniel Hackett")</f>
        <v>Nathaniel Hackett</v>
      </c>
      <c r="AM6" s="9" t="str">
        <f>IFERROR(__xludf.DUMMYFUNCTION("""COMPUTED_VALUE"""),"Zach Wilson")</f>
        <v>Zach Wilson</v>
      </c>
      <c r="AN6" s="9" t="str">
        <f>IFERROR(__xludf.DUMMYFUNCTION("""COMPUTED_VALUE"""),"Allen Lazard")</f>
        <v>Allen Lazard</v>
      </c>
      <c r="AO6" s="9" t="str">
        <f>IFERROR(__xludf.DUMMYFUNCTION("""COMPUTED_VALUE"""),"Garrett Wilson")</f>
        <v>Garrett Wilson</v>
      </c>
      <c r="AP6" s="9" t="str">
        <f>IFERROR(__xludf.DUMMYFUNCTION("""COMPUTED_VALUE"""),"N/A")</f>
        <v>N/A</v>
      </c>
      <c r="AQ6" s="9" t="str">
        <f>IFERROR(__xludf.DUMMYFUNCTION("""COMPUTED_VALUE"""),"Mekhi Becton")</f>
        <v>Mekhi Becton</v>
      </c>
      <c r="AR6" s="9" t="str">
        <f>IFERROR(__xludf.DUMMYFUNCTION("""COMPUTED_VALUE"""),"Laken Tomlinson")</f>
        <v>Laken Tomlinson</v>
      </c>
      <c r="AS6" s="9" t="str">
        <f>IFERROR(__xludf.DUMMYFUNCTION("""COMPUTED_VALUE"""),"Joe Tippmann")</f>
        <v>Joe Tippmann</v>
      </c>
      <c r="AT6" s="9" t="str">
        <f>IFERROR(__xludf.DUMMYFUNCTION("""COMPUTED_VALUE"""),"Jake Hanson")</f>
        <v>Jake Hanson</v>
      </c>
      <c r="AU6" s="9" t="str">
        <f>IFERROR(__xludf.DUMMYFUNCTION("""COMPUTED_VALUE"""),"Max Mitchell")</f>
        <v>Max Mitchell</v>
      </c>
    </row>
    <row r="7">
      <c r="A7" s="7" t="s">
        <v>52</v>
      </c>
      <c r="B7" s="8">
        <v>4.0</v>
      </c>
      <c r="C7" s="9">
        <f>IFERROR(__xludf.DUMMYFUNCTION("SPLIT(""24,PHI,NFL,RB,16,15,229,1049,5,50,54.1,43,4.6,65.6,14.3,49,39,214,5.5,1,8,42.9,20,2.4,13.4,79.6,4.4,268,4.7,1263,6,3,10,PB,"","","")"),24.0)</f>
        <v>24</v>
      </c>
      <c r="D7" s="9" t="str">
        <f>IFERROR(__xludf.DUMMYFUNCTION("""COMPUTED_VALUE"""),"PHI")</f>
        <v>PHI</v>
      </c>
      <c r="E7" s="9" t="str">
        <f>IFERROR(__xludf.DUMMYFUNCTION("""COMPUTED_VALUE"""),"NFL")</f>
        <v>NFL</v>
      </c>
      <c r="F7" s="9" t="str">
        <f>IFERROR(__xludf.DUMMYFUNCTION("""COMPUTED_VALUE"""),"RB")</f>
        <v>RB</v>
      </c>
      <c r="G7" s="9">
        <f>IFERROR(__xludf.DUMMYFUNCTION("""COMPUTED_VALUE"""),16.0)</f>
        <v>16</v>
      </c>
      <c r="H7" s="9">
        <f>IFERROR(__xludf.DUMMYFUNCTION("""COMPUTED_VALUE"""),15.0)</f>
        <v>15</v>
      </c>
      <c r="I7" s="9">
        <f>IFERROR(__xludf.DUMMYFUNCTION("""COMPUTED_VALUE"""),229.0)</f>
        <v>229</v>
      </c>
      <c r="J7" s="9">
        <f>IFERROR(__xludf.DUMMYFUNCTION("""COMPUTED_VALUE"""),1049.0)</f>
        <v>1049</v>
      </c>
      <c r="K7" s="9">
        <f>IFERROR(__xludf.DUMMYFUNCTION("""COMPUTED_VALUE"""),5.0)</f>
        <v>5</v>
      </c>
      <c r="L7" s="9">
        <f>IFERROR(__xludf.DUMMYFUNCTION("""COMPUTED_VALUE"""),50.0)</f>
        <v>50</v>
      </c>
      <c r="M7" s="9">
        <f>IFERROR(__xludf.DUMMYFUNCTION("""COMPUTED_VALUE"""),54.1)</f>
        <v>54.1</v>
      </c>
      <c r="N7" s="9">
        <f>IFERROR(__xludf.DUMMYFUNCTION("""COMPUTED_VALUE"""),43.0)</f>
        <v>43</v>
      </c>
      <c r="O7" s="9">
        <f>IFERROR(__xludf.DUMMYFUNCTION("""COMPUTED_VALUE"""),4.6)</f>
        <v>4.6</v>
      </c>
      <c r="P7" s="9">
        <f>IFERROR(__xludf.DUMMYFUNCTION("""COMPUTED_VALUE"""),65.6)</f>
        <v>65.6</v>
      </c>
      <c r="Q7" s="9">
        <f>IFERROR(__xludf.DUMMYFUNCTION("""COMPUTED_VALUE"""),14.3)</f>
        <v>14.3</v>
      </c>
      <c r="R7" s="9">
        <f>IFERROR(__xludf.DUMMYFUNCTION("""COMPUTED_VALUE"""),49.0)</f>
        <v>49</v>
      </c>
      <c r="S7" s="9">
        <f>IFERROR(__xludf.DUMMYFUNCTION("""COMPUTED_VALUE"""),39.0)</f>
        <v>39</v>
      </c>
      <c r="T7" s="9">
        <f>IFERROR(__xludf.DUMMYFUNCTION("""COMPUTED_VALUE"""),214.0)</f>
        <v>214</v>
      </c>
      <c r="U7" s="9">
        <f>IFERROR(__xludf.DUMMYFUNCTION("""COMPUTED_VALUE"""),5.5)</f>
        <v>5.5</v>
      </c>
      <c r="V7" s="9">
        <f>IFERROR(__xludf.DUMMYFUNCTION("""COMPUTED_VALUE"""),1.0)</f>
        <v>1</v>
      </c>
      <c r="W7" s="9">
        <f>IFERROR(__xludf.DUMMYFUNCTION("""COMPUTED_VALUE"""),8.0)</f>
        <v>8</v>
      </c>
      <c r="X7" s="9">
        <f>IFERROR(__xludf.DUMMYFUNCTION("""COMPUTED_VALUE"""),42.9)</f>
        <v>42.9</v>
      </c>
      <c r="Y7" s="9">
        <f>IFERROR(__xludf.DUMMYFUNCTION("""COMPUTED_VALUE"""),20.0)</f>
        <v>20</v>
      </c>
      <c r="Z7" s="9">
        <f>IFERROR(__xludf.DUMMYFUNCTION("""COMPUTED_VALUE"""),2.4)</f>
        <v>2.4</v>
      </c>
      <c r="AA7" s="9">
        <f>IFERROR(__xludf.DUMMYFUNCTION("""COMPUTED_VALUE"""),13.4)</f>
        <v>13.4</v>
      </c>
      <c r="AB7" s="9">
        <f>IFERROR(__xludf.DUMMYFUNCTION("""COMPUTED_VALUE"""),79.6)</f>
        <v>79.6</v>
      </c>
      <c r="AC7" s="9">
        <f>IFERROR(__xludf.DUMMYFUNCTION("""COMPUTED_VALUE"""),4.4)</f>
        <v>4.4</v>
      </c>
      <c r="AD7" s="9">
        <f>IFERROR(__xludf.DUMMYFUNCTION("""COMPUTED_VALUE"""),268.0)</f>
        <v>268</v>
      </c>
      <c r="AE7" s="9">
        <f>IFERROR(__xludf.DUMMYFUNCTION("""COMPUTED_VALUE"""),4.7)</f>
        <v>4.7</v>
      </c>
      <c r="AF7" s="9">
        <f>IFERROR(__xludf.DUMMYFUNCTION("""COMPUTED_VALUE"""),1263.0)</f>
        <v>1263</v>
      </c>
      <c r="AG7" s="9">
        <f>IFERROR(__xludf.DUMMYFUNCTION("""COMPUTED_VALUE"""),6.0)</f>
        <v>6</v>
      </c>
      <c r="AH7" s="9">
        <f>IFERROR(__xludf.DUMMYFUNCTION("""COMPUTED_VALUE"""),3.0)</f>
        <v>3</v>
      </c>
      <c r="AI7" s="9">
        <f>IFERROR(__xludf.DUMMYFUNCTION("""COMPUTED_VALUE"""),10.0)</f>
        <v>10</v>
      </c>
      <c r="AJ7" s="9" t="str">
        <f>IFERROR(__xludf.DUMMYFUNCTION("""COMPUTED_VALUE"""),"PB")</f>
        <v>PB</v>
      </c>
      <c r="AK7" s="6" t="str">
        <f>IFERROR(__xludf.DUMMYFUNCTION("SPLIT(""Nick Sirianni,Brian Johnson,Jalen Hurts,A.J. Brown,DeVonta Smith,N/A,Jordan Mailata,Landon Dickerson,Jason Kelce,Cam Jurgens,Lane Johnson"","","")"),"Nick Sirianni")</f>
        <v>Nick Sirianni</v>
      </c>
      <c r="AL7" s="9" t="str">
        <f>IFERROR(__xludf.DUMMYFUNCTION("""COMPUTED_VALUE"""),"Brian Johnson")</f>
        <v>Brian Johnson</v>
      </c>
      <c r="AM7" s="9" t="str">
        <f>IFERROR(__xludf.DUMMYFUNCTION("""COMPUTED_VALUE"""),"Jalen Hurts")</f>
        <v>Jalen Hurts</v>
      </c>
      <c r="AN7" s="9" t="str">
        <f>IFERROR(__xludf.DUMMYFUNCTION("""COMPUTED_VALUE"""),"A.J. Brown")</f>
        <v>A.J. Brown</v>
      </c>
      <c r="AO7" s="9" t="str">
        <f>IFERROR(__xludf.DUMMYFUNCTION("""COMPUTED_VALUE"""),"DeVonta Smith")</f>
        <v>DeVonta Smith</v>
      </c>
      <c r="AP7" s="9" t="str">
        <f>IFERROR(__xludf.DUMMYFUNCTION("""COMPUTED_VALUE"""),"N/A")</f>
        <v>N/A</v>
      </c>
      <c r="AQ7" s="9" t="str">
        <f>IFERROR(__xludf.DUMMYFUNCTION("""COMPUTED_VALUE"""),"Jordan Mailata")</f>
        <v>Jordan Mailata</v>
      </c>
      <c r="AR7" s="9" t="str">
        <f>IFERROR(__xludf.DUMMYFUNCTION("""COMPUTED_VALUE"""),"Landon Dickerson")</f>
        <v>Landon Dickerson</v>
      </c>
      <c r="AS7" s="9" t="str">
        <f>IFERROR(__xludf.DUMMYFUNCTION("""COMPUTED_VALUE"""),"Jason Kelce")</f>
        <v>Jason Kelce</v>
      </c>
      <c r="AT7" s="9" t="str">
        <f>IFERROR(__xludf.DUMMYFUNCTION("""COMPUTED_VALUE"""),"Cam Jurgens")</f>
        <v>Cam Jurgens</v>
      </c>
      <c r="AU7" s="9" t="str">
        <f>IFERROR(__xludf.DUMMYFUNCTION("""COMPUTED_VALUE"""),"Lane Johnson")</f>
        <v>Lane Johnson</v>
      </c>
    </row>
    <row r="8">
      <c r="A8" s="7" t="s">
        <v>53</v>
      </c>
      <c r="B8" s="8">
        <v>5.0</v>
      </c>
      <c r="C8" s="9">
        <f>IFERROR(__xludf.DUMMYFUNCTION("SPLIT(""26,CAR,NFL,RB,16,5,129,432,1,24,40.3,48,3.3,27.0,8.1,41,27,154,5.7,0,8,39.0,14,1.7,9.6,65.9,3.8,156,3.8,586,1,2,3,0,"","","")"),26.0)</f>
        <v>26</v>
      </c>
      <c r="D8" s="9" t="str">
        <f>IFERROR(__xludf.DUMMYFUNCTION("""COMPUTED_VALUE"""),"CAR")</f>
        <v>CAR</v>
      </c>
      <c r="E8" s="9" t="str">
        <f>IFERROR(__xludf.DUMMYFUNCTION("""COMPUTED_VALUE"""),"NFL")</f>
        <v>NFL</v>
      </c>
      <c r="F8" s="9" t="str">
        <f>IFERROR(__xludf.DUMMYFUNCTION("""COMPUTED_VALUE"""),"RB")</f>
        <v>RB</v>
      </c>
      <c r="G8" s="9">
        <f>IFERROR(__xludf.DUMMYFUNCTION("""COMPUTED_VALUE"""),16.0)</f>
        <v>16</v>
      </c>
      <c r="H8" s="9">
        <f>IFERROR(__xludf.DUMMYFUNCTION("""COMPUTED_VALUE"""),5.0)</f>
        <v>5</v>
      </c>
      <c r="I8" s="9">
        <f>IFERROR(__xludf.DUMMYFUNCTION("""COMPUTED_VALUE"""),129.0)</f>
        <v>129</v>
      </c>
      <c r="J8" s="9">
        <f>IFERROR(__xludf.DUMMYFUNCTION("""COMPUTED_VALUE"""),432.0)</f>
        <v>432</v>
      </c>
      <c r="K8" s="9">
        <f>IFERROR(__xludf.DUMMYFUNCTION("""COMPUTED_VALUE"""),1.0)</f>
        <v>1</v>
      </c>
      <c r="L8" s="9">
        <f>IFERROR(__xludf.DUMMYFUNCTION("""COMPUTED_VALUE"""),24.0)</f>
        <v>24</v>
      </c>
      <c r="M8" s="9">
        <f>IFERROR(__xludf.DUMMYFUNCTION("""COMPUTED_VALUE"""),40.3)</f>
        <v>40.3</v>
      </c>
      <c r="N8" s="9">
        <f>IFERROR(__xludf.DUMMYFUNCTION("""COMPUTED_VALUE"""),48.0)</f>
        <v>48</v>
      </c>
      <c r="O8" s="9">
        <f>IFERROR(__xludf.DUMMYFUNCTION("""COMPUTED_VALUE"""),3.3)</f>
        <v>3.3</v>
      </c>
      <c r="P8" s="9">
        <f>IFERROR(__xludf.DUMMYFUNCTION("""COMPUTED_VALUE"""),27.0)</f>
        <v>27</v>
      </c>
      <c r="Q8" s="9">
        <f>IFERROR(__xludf.DUMMYFUNCTION("""COMPUTED_VALUE"""),8.1)</f>
        <v>8.1</v>
      </c>
      <c r="R8" s="9">
        <f>IFERROR(__xludf.DUMMYFUNCTION("""COMPUTED_VALUE"""),41.0)</f>
        <v>41</v>
      </c>
      <c r="S8" s="9">
        <f>IFERROR(__xludf.DUMMYFUNCTION("""COMPUTED_VALUE"""),27.0)</f>
        <v>27</v>
      </c>
      <c r="T8" s="9">
        <f>IFERROR(__xludf.DUMMYFUNCTION("""COMPUTED_VALUE"""),154.0)</f>
        <v>154</v>
      </c>
      <c r="U8" s="9">
        <f>IFERROR(__xludf.DUMMYFUNCTION("""COMPUTED_VALUE"""),5.7)</f>
        <v>5.7</v>
      </c>
      <c r="V8" s="9">
        <f>IFERROR(__xludf.DUMMYFUNCTION("""COMPUTED_VALUE"""),0.0)</f>
        <v>0</v>
      </c>
      <c r="W8" s="9">
        <f>IFERROR(__xludf.DUMMYFUNCTION("""COMPUTED_VALUE"""),8.0)</f>
        <v>8</v>
      </c>
      <c r="X8" s="9">
        <f>IFERROR(__xludf.DUMMYFUNCTION("""COMPUTED_VALUE"""),39.0)</f>
        <v>39</v>
      </c>
      <c r="Y8" s="9">
        <f>IFERROR(__xludf.DUMMYFUNCTION("""COMPUTED_VALUE"""),14.0)</f>
        <v>14</v>
      </c>
      <c r="Z8" s="9">
        <f>IFERROR(__xludf.DUMMYFUNCTION("""COMPUTED_VALUE"""),1.7)</f>
        <v>1.7</v>
      </c>
      <c r="AA8" s="9">
        <f>IFERROR(__xludf.DUMMYFUNCTION("""COMPUTED_VALUE"""),9.6)</f>
        <v>9.6</v>
      </c>
      <c r="AB8" s="9">
        <f>IFERROR(__xludf.DUMMYFUNCTION("""COMPUTED_VALUE"""),65.9)</f>
        <v>65.9</v>
      </c>
      <c r="AC8" s="9">
        <f>IFERROR(__xludf.DUMMYFUNCTION("""COMPUTED_VALUE"""),3.8)</f>
        <v>3.8</v>
      </c>
      <c r="AD8" s="9">
        <f>IFERROR(__xludf.DUMMYFUNCTION("""COMPUTED_VALUE"""),156.0)</f>
        <v>156</v>
      </c>
      <c r="AE8" s="9">
        <f>IFERROR(__xludf.DUMMYFUNCTION("""COMPUTED_VALUE"""),3.8)</f>
        <v>3.8</v>
      </c>
      <c r="AF8" s="9">
        <f>IFERROR(__xludf.DUMMYFUNCTION("""COMPUTED_VALUE"""),586.0)</f>
        <v>586</v>
      </c>
      <c r="AG8" s="9">
        <f>IFERROR(__xludf.DUMMYFUNCTION("""COMPUTED_VALUE"""),1.0)</f>
        <v>1</v>
      </c>
      <c r="AH8" s="9">
        <f>IFERROR(__xludf.DUMMYFUNCTION("""COMPUTED_VALUE"""),2.0)</f>
        <v>2</v>
      </c>
      <c r="AI8" s="9">
        <f>IFERROR(__xludf.DUMMYFUNCTION("""COMPUTED_VALUE"""),3.0)</f>
        <v>3</v>
      </c>
      <c r="AJ8" s="9">
        <f>IFERROR(__xludf.DUMMYFUNCTION("""COMPUTED_VALUE"""),0.0)</f>
        <v>0</v>
      </c>
      <c r="AK8" s="6" t="str">
        <f>IFERROR(__xludf.DUMMYFUNCTION("SPLIT(""Chris Tabor,Thomas Brown,Bryce Young,DJ Chark,Jonathan Mingo,N/A,Ikem Ekwonu,Chandler Zavala,Bradley Bozeman,Nash Jensen,Taylor Moton"","","")"),"Chris Tabor")</f>
        <v>Chris Tabor</v>
      </c>
      <c r="AL8" s="9" t="str">
        <f>IFERROR(__xludf.DUMMYFUNCTION("""COMPUTED_VALUE"""),"Thomas Brown")</f>
        <v>Thomas Brown</v>
      </c>
      <c r="AM8" s="9" t="str">
        <f>IFERROR(__xludf.DUMMYFUNCTION("""COMPUTED_VALUE"""),"Bryce Young")</f>
        <v>Bryce Young</v>
      </c>
      <c r="AN8" s="9" t="str">
        <f>IFERROR(__xludf.DUMMYFUNCTION("""COMPUTED_VALUE"""),"DJ Chark")</f>
        <v>DJ Chark</v>
      </c>
      <c r="AO8" s="9" t="str">
        <f>IFERROR(__xludf.DUMMYFUNCTION("""COMPUTED_VALUE"""),"Jonathan Mingo")</f>
        <v>Jonathan Mingo</v>
      </c>
      <c r="AP8" s="9" t="str">
        <f>IFERROR(__xludf.DUMMYFUNCTION("""COMPUTED_VALUE"""),"N/A")</f>
        <v>N/A</v>
      </c>
      <c r="AQ8" s="9" t="str">
        <f>IFERROR(__xludf.DUMMYFUNCTION("""COMPUTED_VALUE"""),"Ikem Ekwonu")</f>
        <v>Ikem Ekwonu</v>
      </c>
      <c r="AR8" s="9" t="str">
        <f>IFERROR(__xludf.DUMMYFUNCTION("""COMPUTED_VALUE"""),"Chandler Zavala")</f>
        <v>Chandler Zavala</v>
      </c>
      <c r="AS8" s="9" t="str">
        <f>IFERROR(__xludf.DUMMYFUNCTION("""COMPUTED_VALUE"""),"Bradley Bozeman")</f>
        <v>Bradley Bozeman</v>
      </c>
      <c r="AT8" s="9" t="str">
        <f>IFERROR(__xludf.DUMMYFUNCTION("""COMPUTED_VALUE"""),"Nash Jensen")</f>
        <v>Nash Jensen</v>
      </c>
      <c r="AU8" s="9" t="str">
        <f>IFERROR(__xludf.DUMMYFUNCTION("""COMPUTED_VALUE"""),"Taylor Moton")</f>
        <v>Taylor Moton</v>
      </c>
    </row>
    <row r="9">
      <c r="A9" s="11" t="s">
        <v>54</v>
      </c>
      <c r="B9" s="8">
        <v>3.0</v>
      </c>
      <c r="C9" s="9">
        <f>IFERROR(__xludf.DUMMYFUNCTION("SPLIT(""25,PIT,NFL,RB,17,17,255,1035,8,51,48.2,25,4.1,60.9,15.0,38,29,170,5.9,0,9,50.0,32,1.7,10.0,76.3,4.5,284,4.2,1205,8,2,7,0,"","","")"),25.0)</f>
        <v>25</v>
      </c>
      <c r="D9" s="9" t="str">
        <f>IFERROR(__xludf.DUMMYFUNCTION("""COMPUTED_VALUE"""),"PIT")</f>
        <v>PIT</v>
      </c>
      <c r="E9" s="9" t="str">
        <f>IFERROR(__xludf.DUMMYFUNCTION("""COMPUTED_VALUE"""),"NFL")</f>
        <v>NFL</v>
      </c>
      <c r="F9" s="9" t="str">
        <f>IFERROR(__xludf.DUMMYFUNCTION("""COMPUTED_VALUE"""),"RB")</f>
        <v>RB</v>
      </c>
      <c r="G9" s="9">
        <f>IFERROR(__xludf.DUMMYFUNCTION("""COMPUTED_VALUE"""),17.0)</f>
        <v>17</v>
      </c>
      <c r="H9" s="9">
        <f>IFERROR(__xludf.DUMMYFUNCTION("""COMPUTED_VALUE"""),17.0)</f>
        <v>17</v>
      </c>
      <c r="I9" s="9">
        <f>IFERROR(__xludf.DUMMYFUNCTION("""COMPUTED_VALUE"""),255.0)</f>
        <v>255</v>
      </c>
      <c r="J9" s="9">
        <f>IFERROR(__xludf.DUMMYFUNCTION("""COMPUTED_VALUE"""),1035.0)</f>
        <v>1035</v>
      </c>
      <c r="K9" s="9">
        <f>IFERROR(__xludf.DUMMYFUNCTION("""COMPUTED_VALUE"""),8.0)</f>
        <v>8</v>
      </c>
      <c r="L9" s="9">
        <f>IFERROR(__xludf.DUMMYFUNCTION("""COMPUTED_VALUE"""),51.0)</f>
        <v>51</v>
      </c>
      <c r="M9" s="9">
        <f>IFERROR(__xludf.DUMMYFUNCTION("""COMPUTED_VALUE"""),48.2)</f>
        <v>48.2</v>
      </c>
      <c r="N9" s="9">
        <f>IFERROR(__xludf.DUMMYFUNCTION("""COMPUTED_VALUE"""),25.0)</f>
        <v>25</v>
      </c>
      <c r="O9" s="9">
        <f>IFERROR(__xludf.DUMMYFUNCTION("""COMPUTED_VALUE"""),4.1)</f>
        <v>4.1</v>
      </c>
      <c r="P9" s="9">
        <f>IFERROR(__xludf.DUMMYFUNCTION("""COMPUTED_VALUE"""),60.9)</f>
        <v>60.9</v>
      </c>
      <c r="Q9" s="9">
        <f>IFERROR(__xludf.DUMMYFUNCTION("""COMPUTED_VALUE"""),15.0)</f>
        <v>15</v>
      </c>
      <c r="R9" s="9">
        <f>IFERROR(__xludf.DUMMYFUNCTION("""COMPUTED_VALUE"""),38.0)</f>
        <v>38</v>
      </c>
      <c r="S9" s="9">
        <f>IFERROR(__xludf.DUMMYFUNCTION("""COMPUTED_VALUE"""),29.0)</f>
        <v>29</v>
      </c>
      <c r="T9" s="9">
        <f>IFERROR(__xludf.DUMMYFUNCTION("""COMPUTED_VALUE"""),170.0)</f>
        <v>170</v>
      </c>
      <c r="U9" s="9">
        <f>IFERROR(__xludf.DUMMYFUNCTION("""COMPUTED_VALUE"""),5.9)</f>
        <v>5.9</v>
      </c>
      <c r="V9" s="9">
        <f>IFERROR(__xludf.DUMMYFUNCTION("""COMPUTED_VALUE"""),0.0)</f>
        <v>0</v>
      </c>
      <c r="W9" s="9">
        <f>IFERROR(__xludf.DUMMYFUNCTION("""COMPUTED_VALUE"""),9.0)</f>
        <v>9</v>
      </c>
      <c r="X9" s="9">
        <f>IFERROR(__xludf.DUMMYFUNCTION("""COMPUTED_VALUE"""),50.0)</f>
        <v>50</v>
      </c>
      <c r="Y9" s="9">
        <f>IFERROR(__xludf.DUMMYFUNCTION("""COMPUTED_VALUE"""),32.0)</f>
        <v>32</v>
      </c>
      <c r="Z9" s="9">
        <f>IFERROR(__xludf.DUMMYFUNCTION("""COMPUTED_VALUE"""),1.7)</f>
        <v>1.7</v>
      </c>
      <c r="AA9" s="9">
        <f>IFERROR(__xludf.DUMMYFUNCTION("""COMPUTED_VALUE"""),10.0)</f>
        <v>10</v>
      </c>
      <c r="AB9" s="9">
        <f>IFERROR(__xludf.DUMMYFUNCTION("""COMPUTED_VALUE"""),76.3)</f>
        <v>76.3</v>
      </c>
      <c r="AC9" s="9">
        <f>IFERROR(__xludf.DUMMYFUNCTION("""COMPUTED_VALUE"""),4.5)</f>
        <v>4.5</v>
      </c>
      <c r="AD9" s="9">
        <f>IFERROR(__xludf.DUMMYFUNCTION("""COMPUTED_VALUE"""),284.0)</f>
        <v>284</v>
      </c>
      <c r="AE9" s="9">
        <f>IFERROR(__xludf.DUMMYFUNCTION("""COMPUTED_VALUE"""),4.2)</f>
        <v>4.2</v>
      </c>
      <c r="AF9" s="9">
        <f>IFERROR(__xludf.DUMMYFUNCTION("""COMPUTED_VALUE"""),1205.0)</f>
        <v>1205</v>
      </c>
      <c r="AG9" s="9">
        <f>IFERROR(__xludf.DUMMYFUNCTION("""COMPUTED_VALUE"""),8.0)</f>
        <v>8</v>
      </c>
      <c r="AH9" s="9">
        <f>IFERROR(__xludf.DUMMYFUNCTION("""COMPUTED_VALUE"""),2.0)</f>
        <v>2</v>
      </c>
      <c r="AI9" s="9">
        <f>IFERROR(__xludf.DUMMYFUNCTION("""COMPUTED_VALUE"""),7.0)</f>
        <v>7</v>
      </c>
      <c r="AJ9" s="9">
        <f>IFERROR(__xludf.DUMMYFUNCTION("""COMPUTED_VALUE"""),0.0)</f>
        <v>0</v>
      </c>
      <c r="AK9" s="6" t="str">
        <f>IFERROR(__xludf.DUMMYFUNCTION("SPLIT(""Mike Tomlin,Matt Canada,Kenny Pickett,Diontae Johnson,George Pickens,N/A,Dan Moore,Isaac Seumalo,Mason Cole,James Daniels,Broderick Jones"","","")"),"Mike Tomlin")</f>
        <v>Mike Tomlin</v>
      </c>
      <c r="AL9" s="9" t="str">
        <f>IFERROR(__xludf.DUMMYFUNCTION("""COMPUTED_VALUE"""),"Matt Canada")</f>
        <v>Matt Canada</v>
      </c>
      <c r="AM9" s="9" t="str">
        <f>IFERROR(__xludf.DUMMYFUNCTION("""COMPUTED_VALUE"""),"Kenny Pickett")</f>
        <v>Kenny Pickett</v>
      </c>
      <c r="AN9" s="9" t="str">
        <f>IFERROR(__xludf.DUMMYFUNCTION("""COMPUTED_VALUE"""),"Diontae Johnson")</f>
        <v>Diontae Johnson</v>
      </c>
      <c r="AO9" s="9" t="str">
        <f>IFERROR(__xludf.DUMMYFUNCTION("""COMPUTED_VALUE"""),"George Pickens")</f>
        <v>George Pickens</v>
      </c>
      <c r="AP9" s="9" t="str">
        <f>IFERROR(__xludf.DUMMYFUNCTION("""COMPUTED_VALUE"""),"N/A")</f>
        <v>N/A</v>
      </c>
      <c r="AQ9" s="9" t="str">
        <f>IFERROR(__xludf.DUMMYFUNCTION("""COMPUTED_VALUE"""),"Dan Moore")</f>
        <v>Dan Moore</v>
      </c>
      <c r="AR9" s="9" t="str">
        <f>IFERROR(__xludf.DUMMYFUNCTION("""COMPUTED_VALUE"""),"Isaac Seumalo")</f>
        <v>Isaac Seumalo</v>
      </c>
      <c r="AS9" s="9" t="str">
        <f>IFERROR(__xludf.DUMMYFUNCTION("""COMPUTED_VALUE"""),"Mason Cole")</f>
        <v>Mason Cole</v>
      </c>
      <c r="AT9" s="9" t="str">
        <f>IFERROR(__xludf.DUMMYFUNCTION("""COMPUTED_VALUE"""),"James Daniels")</f>
        <v>James Daniels</v>
      </c>
      <c r="AU9" s="9" t="str">
        <f>IFERROR(__xludf.DUMMYFUNCTION("""COMPUTED_VALUE"""),"Broderick Jones")</f>
        <v>Broderick Jones</v>
      </c>
    </row>
    <row r="10">
      <c r="A10" s="7" t="s">
        <v>55</v>
      </c>
      <c r="B10" s="8">
        <v>7.0</v>
      </c>
      <c r="C10" s="9">
        <f>IFERROR(__xludf.DUMMYFUNCTION("SPLIT(""28,ARI,NFL,RB,13,13,208,1040,7,57,49.5,44,5.0,80.0,16.0,33,27,165,6.1,2,11,39.4,34,2.1,12.7,81.8,5.0,235,5.1,1205,9,0,9,0,"","","")"),28.0)</f>
        <v>28</v>
      </c>
      <c r="D10" s="9" t="str">
        <f>IFERROR(__xludf.DUMMYFUNCTION("""COMPUTED_VALUE"""),"ARI")</f>
        <v>ARI</v>
      </c>
      <c r="E10" s="9" t="str">
        <f>IFERROR(__xludf.DUMMYFUNCTION("""COMPUTED_VALUE"""),"NFL")</f>
        <v>NFL</v>
      </c>
      <c r="F10" s="9" t="str">
        <f>IFERROR(__xludf.DUMMYFUNCTION("""COMPUTED_VALUE"""),"RB")</f>
        <v>RB</v>
      </c>
      <c r="G10" s="9">
        <f>IFERROR(__xludf.DUMMYFUNCTION("""COMPUTED_VALUE"""),13.0)</f>
        <v>13</v>
      </c>
      <c r="H10" s="9">
        <f>IFERROR(__xludf.DUMMYFUNCTION("""COMPUTED_VALUE"""),13.0)</f>
        <v>13</v>
      </c>
      <c r="I10" s="9">
        <f>IFERROR(__xludf.DUMMYFUNCTION("""COMPUTED_VALUE"""),208.0)</f>
        <v>208</v>
      </c>
      <c r="J10" s="9">
        <f>IFERROR(__xludf.DUMMYFUNCTION("""COMPUTED_VALUE"""),1040.0)</f>
        <v>1040</v>
      </c>
      <c r="K10" s="9">
        <f>IFERROR(__xludf.DUMMYFUNCTION("""COMPUTED_VALUE"""),7.0)</f>
        <v>7</v>
      </c>
      <c r="L10" s="9">
        <f>IFERROR(__xludf.DUMMYFUNCTION("""COMPUTED_VALUE"""),57.0)</f>
        <v>57</v>
      </c>
      <c r="M10" s="9">
        <f>IFERROR(__xludf.DUMMYFUNCTION("""COMPUTED_VALUE"""),49.5)</f>
        <v>49.5</v>
      </c>
      <c r="N10" s="9">
        <f>IFERROR(__xludf.DUMMYFUNCTION("""COMPUTED_VALUE"""),44.0)</f>
        <v>44</v>
      </c>
      <c r="O10" s="9">
        <f>IFERROR(__xludf.DUMMYFUNCTION("""COMPUTED_VALUE"""),5.0)</f>
        <v>5</v>
      </c>
      <c r="P10" s="9">
        <f>IFERROR(__xludf.DUMMYFUNCTION("""COMPUTED_VALUE"""),80.0)</f>
        <v>80</v>
      </c>
      <c r="Q10" s="9">
        <f>IFERROR(__xludf.DUMMYFUNCTION("""COMPUTED_VALUE"""),16.0)</f>
        <v>16</v>
      </c>
      <c r="R10" s="9">
        <f>IFERROR(__xludf.DUMMYFUNCTION("""COMPUTED_VALUE"""),33.0)</f>
        <v>33</v>
      </c>
      <c r="S10" s="9">
        <f>IFERROR(__xludf.DUMMYFUNCTION("""COMPUTED_VALUE"""),27.0)</f>
        <v>27</v>
      </c>
      <c r="T10" s="9">
        <f>IFERROR(__xludf.DUMMYFUNCTION("""COMPUTED_VALUE"""),165.0)</f>
        <v>165</v>
      </c>
      <c r="U10" s="9">
        <f>IFERROR(__xludf.DUMMYFUNCTION("""COMPUTED_VALUE"""),6.1)</f>
        <v>6.1</v>
      </c>
      <c r="V10" s="9">
        <f>IFERROR(__xludf.DUMMYFUNCTION("""COMPUTED_VALUE"""),2.0)</f>
        <v>2</v>
      </c>
      <c r="W10" s="9">
        <f>IFERROR(__xludf.DUMMYFUNCTION("""COMPUTED_VALUE"""),11.0)</f>
        <v>11</v>
      </c>
      <c r="X10" s="9">
        <f>IFERROR(__xludf.DUMMYFUNCTION("""COMPUTED_VALUE"""),39.4)</f>
        <v>39.4</v>
      </c>
      <c r="Y10" s="9">
        <f>IFERROR(__xludf.DUMMYFUNCTION("""COMPUTED_VALUE"""),34.0)</f>
        <v>34</v>
      </c>
      <c r="Z10" s="9">
        <f>IFERROR(__xludf.DUMMYFUNCTION("""COMPUTED_VALUE"""),2.1)</f>
        <v>2.1</v>
      </c>
      <c r="AA10" s="9">
        <f>IFERROR(__xludf.DUMMYFUNCTION("""COMPUTED_VALUE"""),12.7)</f>
        <v>12.7</v>
      </c>
      <c r="AB10" s="9">
        <f>IFERROR(__xludf.DUMMYFUNCTION("""COMPUTED_VALUE"""),81.8)</f>
        <v>81.8</v>
      </c>
      <c r="AC10" s="9">
        <f>IFERROR(__xludf.DUMMYFUNCTION("""COMPUTED_VALUE"""),5.0)</f>
        <v>5</v>
      </c>
      <c r="AD10" s="9">
        <f>IFERROR(__xludf.DUMMYFUNCTION("""COMPUTED_VALUE"""),235.0)</f>
        <v>235</v>
      </c>
      <c r="AE10" s="9">
        <f>IFERROR(__xludf.DUMMYFUNCTION("""COMPUTED_VALUE"""),5.1)</f>
        <v>5.1</v>
      </c>
      <c r="AF10" s="9">
        <f>IFERROR(__xludf.DUMMYFUNCTION("""COMPUTED_VALUE"""),1205.0)</f>
        <v>1205</v>
      </c>
      <c r="AG10" s="9">
        <f>IFERROR(__xludf.DUMMYFUNCTION("""COMPUTED_VALUE"""),9.0)</f>
        <v>9</v>
      </c>
      <c r="AH10" s="9">
        <f>IFERROR(__xludf.DUMMYFUNCTION("""COMPUTED_VALUE"""),0.0)</f>
        <v>0</v>
      </c>
      <c r="AI10" s="9">
        <f>IFERROR(__xludf.DUMMYFUNCTION("""COMPUTED_VALUE"""),9.0)</f>
        <v>9</v>
      </c>
      <c r="AJ10" s="9">
        <f>IFERROR(__xludf.DUMMYFUNCTION("""COMPUTED_VALUE"""),0.0)</f>
        <v>0</v>
      </c>
      <c r="AK10" s="6" t="str">
        <f>IFERROR(__xludf.DUMMYFUNCTION("SPLIT(""Jonathan Gannon,Drew Petzing,Kyler Murray,Marquise Brown,Rondale Moore,N/A,D.J. Humphries,Elijah Wilkinson,Hjalte Froholdt,Will Hernandez,Paris Johnson"","","")"),"Jonathan Gannon")</f>
        <v>Jonathan Gannon</v>
      </c>
      <c r="AL10" s="9" t="str">
        <f>IFERROR(__xludf.DUMMYFUNCTION("""COMPUTED_VALUE"""),"Drew Petzing")</f>
        <v>Drew Petzing</v>
      </c>
      <c r="AM10" s="9" t="str">
        <f>IFERROR(__xludf.DUMMYFUNCTION("""COMPUTED_VALUE"""),"Kyler Murray")</f>
        <v>Kyler Murray</v>
      </c>
      <c r="AN10" s="9" t="str">
        <f>IFERROR(__xludf.DUMMYFUNCTION("""COMPUTED_VALUE"""),"Marquise Brown")</f>
        <v>Marquise Brown</v>
      </c>
      <c r="AO10" s="9" t="str">
        <f>IFERROR(__xludf.DUMMYFUNCTION("""COMPUTED_VALUE"""),"Rondale Moore")</f>
        <v>Rondale Moore</v>
      </c>
      <c r="AP10" s="9" t="str">
        <f>IFERROR(__xludf.DUMMYFUNCTION("""COMPUTED_VALUE"""),"N/A")</f>
        <v>N/A</v>
      </c>
      <c r="AQ10" s="9" t="str">
        <f>IFERROR(__xludf.DUMMYFUNCTION("""COMPUTED_VALUE"""),"D.J. Humphries")</f>
        <v>D.J. Humphries</v>
      </c>
      <c r="AR10" s="9" t="str">
        <f>IFERROR(__xludf.DUMMYFUNCTION("""COMPUTED_VALUE"""),"Elijah Wilkinson")</f>
        <v>Elijah Wilkinson</v>
      </c>
      <c r="AS10" s="9" t="str">
        <f>IFERROR(__xludf.DUMMYFUNCTION("""COMPUTED_VALUE"""),"Hjalte Froholdt")</f>
        <v>Hjalte Froholdt</v>
      </c>
      <c r="AT10" s="9" t="str">
        <f>IFERROR(__xludf.DUMMYFUNCTION("""COMPUTED_VALUE"""),"Will Hernandez")</f>
        <v>Will Hernandez</v>
      </c>
      <c r="AU10" s="9" t="str">
        <f>IFERROR(__xludf.DUMMYFUNCTION("""COMPUTED_VALUE"""),"Paris Johnson")</f>
        <v>Paris Johnson</v>
      </c>
    </row>
    <row r="11">
      <c r="A11" s="11" t="s">
        <v>56</v>
      </c>
      <c r="B11" s="8">
        <v>7.0</v>
      </c>
      <c r="C11" s="9">
        <f>IFERROR(__xludf.DUMMYFUNCTION("SPLIT(""27,SFO,NFL,RB,16,16,272,1459,14,83,54.0,72,5.4,91.2,17.0,83,67,564,8.4,7,31,55.4,41,4.2,35.3,80.7,6.8,339,6.0,2023,21,3,18,PBAP-1AP MVP-3AP OPoY-1,"","","")"),27.0)</f>
        <v>27</v>
      </c>
      <c r="D11" s="9" t="str">
        <f>IFERROR(__xludf.DUMMYFUNCTION("""COMPUTED_VALUE"""),"SFO")</f>
        <v>SFO</v>
      </c>
      <c r="E11" s="9" t="str">
        <f>IFERROR(__xludf.DUMMYFUNCTION("""COMPUTED_VALUE"""),"NFL")</f>
        <v>NFL</v>
      </c>
      <c r="F11" s="9" t="str">
        <f>IFERROR(__xludf.DUMMYFUNCTION("""COMPUTED_VALUE"""),"RB")</f>
        <v>RB</v>
      </c>
      <c r="G11" s="9">
        <f>IFERROR(__xludf.DUMMYFUNCTION("""COMPUTED_VALUE"""),16.0)</f>
        <v>16</v>
      </c>
      <c r="H11" s="9">
        <f>IFERROR(__xludf.DUMMYFUNCTION("""COMPUTED_VALUE"""),16.0)</f>
        <v>16</v>
      </c>
      <c r="I11" s="9">
        <f>IFERROR(__xludf.DUMMYFUNCTION("""COMPUTED_VALUE"""),272.0)</f>
        <v>272</v>
      </c>
      <c r="J11" s="9">
        <f>IFERROR(__xludf.DUMMYFUNCTION("""COMPUTED_VALUE"""),1459.0)</f>
        <v>1459</v>
      </c>
      <c r="K11" s="9">
        <f>IFERROR(__xludf.DUMMYFUNCTION("""COMPUTED_VALUE"""),14.0)</f>
        <v>14</v>
      </c>
      <c r="L11" s="9">
        <f>IFERROR(__xludf.DUMMYFUNCTION("""COMPUTED_VALUE"""),83.0)</f>
        <v>83</v>
      </c>
      <c r="M11" s="9">
        <f>IFERROR(__xludf.DUMMYFUNCTION("""COMPUTED_VALUE"""),54.0)</f>
        <v>54</v>
      </c>
      <c r="N11" s="9">
        <f>IFERROR(__xludf.DUMMYFUNCTION("""COMPUTED_VALUE"""),72.0)</f>
        <v>72</v>
      </c>
      <c r="O11" s="9">
        <f>IFERROR(__xludf.DUMMYFUNCTION("""COMPUTED_VALUE"""),5.4)</f>
        <v>5.4</v>
      </c>
      <c r="P11" s="9">
        <f>IFERROR(__xludf.DUMMYFUNCTION("""COMPUTED_VALUE"""),91.2)</f>
        <v>91.2</v>
      </c>
      <c r="Q11" s="9">
        <f>IFERROR(__xludf.DUMMYFUNCTION("""COMPUTED_VALUE"""),17.0)</f>
        <v>17</v>
      </c>
      <c r="R11" s="9">
        <f>IFERROR(__xludf.DUMMYFUNCTION("""COMPUTED_VALUE"""),83.0)</f>
        <v>83</v>
      </c>
      <c r="S11" s="9">
        <f>IFERROR(__xludf.DUMMYFUNCTION("""COMPUTED_VALUE"""),67.0)</f>
        <v>67</v>
      </c>
      <c r="T11" s="9">
        <f>IFERROR(__xludf.DUMMYFUNCTION("""COMPUTED_VALUE"""),564.0)</f>
        <v>564</v>
      </c>
      <c r="U11" s="9">
        <f>IFERROR(__xludf.DUMMYFUNCTION("""COMPUTED_VALUE"""),8.4)</f>
        <v>8.4</v>
      </c>
      <c r="V11" s="9">
        <f>IFERROR(__xludf.DUMMYFUNCTION("""COMPUTED_VALUE"""),7.0)</f>
        <v>7</v>
      </c>
      <c r="W11" s="9">
        <f>IFERROR(__xludf.DUMMYFUNCTION("""COMPUTED_VALUE"""),31.0)</f>
        <v>31</v>
      </c>
      <c r="X11" s="9">
        <f>IFERROR(__xludf.DUMMYFUNCTION("""COMPUTED_VALUE"""),55.4)</f>
        <v>55.4</v>
      </c>
      <c r="Y11" s="9">
        <f>IFERROR(__xludf.DUMMYFUNCTION("""COMPUTED_VALUE"""),41.0)</f>
        <v>41</v>
      </c>
      <c r="Z11" s="9">
        <f>IFERROR(__xludf.DUMMYFUNCTION("""COMPUTED_VALUE"""),4.2)</f>
        <v>4.2</v>
      </c>
      <c r="AA11" s="9">
        <f>IFERROR(__xludf.DUMMYFUNCTION("""COMPUTED_VALUE"""),35.3)</f>
        <v>35.3</v>
      </c>
      <c r="AB11" s="9">
        <f>IFERROR(__xludf.DUMMYFUNCTION("""COMPUTED_VALUE"""),80.7)</f>
        <v>80.7</v>
      </c>
      <c r="AC11" s="9">
        <f>IFERROR(__xludf.DUMMYFUNCTION("""COMPUTED_VALUE"""),6.8)</f>
        <v>6.8</v>
      </c>
      <c r="AD11" s="9">
        <f>IFERROR(__xludf.DUMMYFUNCTION("""COMPUTED_VALUE"""),339.0)</f>
        <v>339</v>
      </c>
      <c r="AE11" s="9">
        <f>IFERROR(__xludf.DUMMYFUNCTION("""COMPUTED_VALUE"""),6.0)</f>
        <v>6</v>
      </c>
      <c r="AF11" s="9">
        <f>IFERROR(__xludf.DUMMYFUNCTION("""COMPUTED_VALUE"""),2023.0)</f>
        <v>2023</v>
      </c>
      <c r="AG11" s="9">
        <f>IFERROR(__xludf.DUMMYFUNCTION("""COMPUTED_VALUE"""),21.0)</f>
        <v>21</v>
      </c>
      <c r="AH11" s="9">
        <f>IFERROR(__xludf.DUMMYFUNCTION("""COMPUTED_VALUE"""),3.0)</f>
        <v>3</v>
      </c>
      <c r="AI11" s="9">
        <f>IFERROR(__xludf.DUMMYFUNCTION("""COMPUTED_VALUE"""),18.0)</f>
        <v>18</v>
      </c>
      <c r="AJ11" s="9" t="str">
        <f>IFERROR(__xludf.DUMMYFUNCTION("""COMPUTED_VALUE"""),"PBAP-1AP MVP-3AP OPoY-1")</f>
        <v>PBAP-1AP MVP-3AP OPoY-1</v>
      </c>
      <c r="AK11" s="6" t="str">
        <f>IFERROR(__xludf.DUMMYFUNCTION("SPLIT(""Kyle Shanahan,N/A,Brock Purdy,Brandon Aiyuk,Deebo Samuel,N/A,Trent Williams,Aaron Banks,Jake Brendel,Spencer Burford,Colton McKivitz"","","")"),"Kyle Shanahan")</f>
        <v>Kyle Shanahan</v>
      </c>
      <c r="AL11" s="9" t="str">
        <f>IFERROR(__xludf.DUMMYFUNCTION("""COMPUTED_VALUE"""),"N/A")</f>
        <v>N/A</v>
      </c>
      <c r="AM11" s="9" t="str">
        <f>IFERROR(__xludf.DUMMYFUNCTION("""COMPUTED_VALUE"""),"Brock Purdy")</f>
        <v>Brock Purdy</v>
      </c>
      <c r="AN11" s="9" t="str">
        <f>IFERROR(__xludf.DUMMYFUNCTION("""COMPUTED_VALUE"""),"Brandon Aiyuk")</f>
        <v>Brandon Aiyuk</v>
      </c>
      <c r="AO11" s="9" t="str">
        <f>IFERROR(__xludf.DUMMYFUNCTION("""COMPUTED_VALUE"""),"Deebo Samuel")</f>
        <v>Deebo Samuel</v>
      </c>
      <c r="AP11" s="9" t="str">
        <f>IFERROR(__xludf.DUMMYFUNCTION("""COMPUTED_VALUE"""),"N/A")</f>
        <v>N/A</v>
      </c>
      <c r="AQ11" s="9" t="str">
        <f>IFERROR(__xludf.DUMMYFUNCTION("""COMPUTED_VALUE"""),"Trent Williams")</f>
        <v>Trent Williams</v>
      </c>
      <c r="AR11" s="9" t="str">
        <f>IFERROR(__xludf.DUMMYFUNCTION("""COMPUTED_VALUE"""),"Aaron Banks")</f>
        <v>Aaron Banks</v>
      </c>
      <c r="AS11" s="9" t="str">
        <f>IFERROR(__xludf.DUMMYFUNCTION("""COMPUTED_VALUE"""),"Jake Brendel")</f>
        <v>Jake Brendel</v>
      </c>
      <c r="AT11" s="9" t="str">
        <f>IFERROR(__xludf.DUMMYFUNCTION("""COMPUTED_VALUE"""),"Spencer Burford")</f>
        <v>Spencer Burford</v>
      </c>
      <c r="AU11" s="9" t="str">
        <f>IFERROR(__xludf.DUMMYFUNCTION("""COMPUTED_VALUE"""),"Colton McKivitz")</f>
        <v>Colton McKivitz</v>
      </c>
    </row>
    <row r="12">
      <c r="A12" s="7" t="s">
        <v>57</v>
      </c>
      <c r="B12" s="8">
        <v>3.0</v>
      </c>
      <c r="C12" s="9">
        <f>IFERROR(__xludf.DUMMYFUNCTION("SPLIT(""25,SFO,NFL,RB,11,1,75,281,2,14,48.0,18,3.7,25.5,6.8,8,6,14,2.3,0,2,37.5,9,0.5,1.3,75.0,1.8,81,3.6,295,2,0,2,0,"","","")"),25.0)</f>
        <v>25</v>
      </c>
      <c r="D12" s="9" t="str">
        <f>IFERROR(__xludf.DUMMYFUNCTION("""COMPUTED_VALUE"""),"SFO")</f>
        <v>SFO</v>
      </c>
      <c r="E12" s="9" t="str">
        <f>IFERROR(__xludf.DUMMYFUNCTION("""COMPUTED_VALUE"""),"NFL")</f>
        <v>NFL</v>
      </c>
      <c r="F12" s="9" t="str">
        <f>IFERROR(__xludf.DUMMYFUNCTION("""COMPUTED_VALUE"""),"RB")</f>
        <v>RB</v>
      </c>
      <c r="G12" s="9">
        <f>IFERROR(__xludf.DUMMYFUNCTION("""COMPUTED_VALUE"""),11.0)</f>
        <v>11</v>
      </c>
      <c r="H12" s="9">
        <f>IFERROR(__xludf.DUMMYFUNCTION("""COMPUTED_VALUE"""),1.0)</f>
        <v>1</v>
      </c>
      <c r="I12" s="9">
        <f>IFERROR(__xludf.DUMMYFUNCTION("""COMPUTED_VALUE"""),75.0)</f>
        <v>75</v>
      </c>
      <c r="J12" s="9">
        <f>IFERROR(__xludf.DUMMYFUNCTION("""COMPUTED_VALUE"""),281.0)</f>
        <v>281</v>
      </c>
      <c r="K12" s="9">
        <f>IFERROR(__xludf.DUMMYFUNCTION("""COMPUTED_VALUE"""),2.0)</f>
        <v>2</v>
      </c>
      <c r="L12" s="9">
        <f>IFERROR(__xludf.DUMMYFUNCTION("""COMPUTED_VALUE"""),14.0)</f>
        <v>14</v>
      </c>
      <c r="M12" s="9">
        <f>IFERROR(__xludf.DUMMYFUNCTION("""COMPUTED_VALUE"""),48.0)</f>
        <v>48</v>
      </c>
      <c r="N12" s="9">
        <f>IFERROR(__xludf.DUMMYFUNCTION("""COMPUTED_VALUE"""),18.0)</f>
        <v>18</v>
      </c>
      <c r="O12" s="9">
        <f>IFERROR(__xludf.DUMMYFUNCTION("""COMPUTED_VALUE"""),3.7)</f>
        <v>3.7</v>
      </c>
      <c r="P12" s="9">
        <f>IFERROR(__xludf.DUMMYFUNCTION("""COMPUTED_VALUE"""),25.5)</f>
        <v>25.5</v>
      </c>
      <c r="Q12" s="9">
        <f>IFERROR(__xludf.DUMMYFUNCTION("""COMPUTED_VALUE"""),6.8)</f>
        <v>6.8</v>
      </c>
      <c r="R12" s="9">
        <f>IFERROR(__xludf.DUMMYFUNCTION("""COMPUTED_VALUE"""),8.0)</f>
        <v>8</v>
      </c>
      <c r="S12" s="9">
        <f>IFERROR(__xludf.DUMMYFUNCTION("""COMPUTED_VALUE"""),6.0)</f>
        <v>6</v>
      </c>
      <c r="T12" s="9">
        <f>IFERROR(__xludf.DUMMYFUNCTION("""COMPUTED_VALUE"""),14.0)</f>
        <v>14</v>
      </c>
      <c r="U12" s="9">
        <f>IFERROR(__xludf.DUMMYFUNCTION("""COMPUTED_VALUE"""),2.3)</f>
        <v>2.3</v>
      </c>
      <c r="V12" s="9">
        <f>IFERROR(__xludf.DUMMYFUNCTION("""COMPUTED_VALUE"""),0.0)</f>
        <v>0</v>
      </c>
      <c r="W12" s="9">
        <f>IFERROR(__xludf.DUMMYFUNCTION("""COMPUTED_VALUE"""),2.0)</f>
        <v>2</v>
      </c>
      <c r="X12" s="9">
        <f>IFERROR(__xludf.DUMMYFUNCTION("""COMPUTED_VALUE"""),37.5)</f>
        <v>37.5</v>
      </c>
      <c r="Y12" s="9">
        <f>IFERROR(__xludf.DUMMYFUNCTION("""COMPUTED_VALUE"""),9.0)</f>
        <v>9</v>
      </c>
      <c r="Z12" s="9">
        <f>IFERROR(__xludf.DUMMYFUNCTION("""COMPUTED_VALUE"""),0.5)</f>
        <v>0.5</v>
      </c>
      <c r="AA12" s="9">
        <f>IFERROR(__xludf.DUMMYFUNCTION("""COMPUTED_VALUE"""),1.3)</f>
        <v>1.3</v>
      </c>
      <c r="AB12" s="9">
        <f>IFERROR(__xludf.DUMMYFUNCTION("""COMPUTED_VALUE"""),75.0)</f>
        <v>75</v>
      </c>
      <c r="AC12" s="9">
        <f>IFERROR(__xludf.DUMMYFUNCTION("""COMPUTED_VALUE"""),1.8)</f>
        <v>1.8</v>
      </c>
      <c r="AD12" s="9">
        <f>IFERROR(__xludf.DUMMYFUNCTION("""COMPUTED_VALUE"""),81.0)</f>
        <v>81</v>
      </c>
      <c r="AE12" s="9">
        <f>IFERROR(__xludf.DUMMYFUNCTION("""COMPUTED_VALUE"""),3.6)</f>
        <v>3.6</v>
      </c>
      <c r="AF12" s="9">
        <f>IFERROR(__xludf.DUMMYFUNCTION("""COMPUTED_VALUE"""),295.0)</f>
        <v>295</v>
      </c>
      <c r="AG12" s="9">
        <f>IFERROR(__xludf.DUMMYFUNCTION("""COMPUTED_VALUE"""),2.0)</f>
        <v>2</v>
      </c>
      <c r="AH12" s="9">
        <f>IFERROR(__xludf.DUMMYFUNCTION("""COMPUTED_VALUE"""),0.0)</f>
        <v>0</v>
      </c>
      <c r="AI12" s="9">
        <f>IFERROR(__xludf.DUMMYFUNCTION("""COMPUTED_VALUE"""),2.0)</f>
        <v>2</v>
      </c>
      <c r="AJ12" s="9">
        <f>IFERROR(__xludf.DUMMYFUNCTION("""COMPUTED_VALUE"""),0.0)</f>
        <v>0</v>
      </c>
      <c r="AK12" s="6" t="str">
        <f>IFERROR(__xludf.DUMMYFUNCTION("SPLIT(""Kyle Shanahan,N/A,Brock Purdy,Brandon Aiyuk,Deebo Samuel,N/A,Trent Williams,Aaron Banks,Jake Brendel,Spencer Burford,Colton McKivitz"","","")"),"Kyle Shanahan")</f>
        <v>Kyle Shanahan</v>
      </c>
      <c r="AL12" s="9" t="str">
        <f>IFERROR(__xludf.DUMMYFUNCTION("""COMPUTED_VALUE"""),"N/A")</f>
        <v>N/A</v>
      </c>
      <c r="AM12" s="9" t="str">
        <f>IFERROR(__xludf.DUMMYFUNCTION("""COMPUTED_VALUE"""),"Brock Purdy")</f>
        <v>Brock Purdy</v>
      </c>
      <c r="AN12" s="9" t="str">
        <f>IFERROR(__xludf.DUMMYFUNCTION("""COMPUTED_VALUE"""),"Brandon Aiyuk")</f>
        <v>Brandon Aiyuk</v>
      </c>
      <c r="AO12" s="9" t="str">
        <f>IFERROR(__xludf.DUMMYFUNCTION("""COMPUTED_VALUE"""),"Deebo Samuel")</f>
        <v>Deebo Samuel</v>
      </c>
      <c r="AP12" s="9" t="str">
        <f>IFERROR(__xludf.DUMMYFUNCTION("""COMPUTED_VALUE"""),"N/A")</f>
        <v>N/A</v>
      </c>
      <c r="AQ12" s="9" t="str">
        <f>IFERROR(__xludf.DUMMYFUNCTION("""COMPUTED_VALUE"""),"Trent Williams")</f>
        <v>Trent Williams</v>
      </c>
      <c r="AR12" s="9" t="str">
        <f>IFERROR(__xludf.DUMMYFUNCTION("""COMPUTED_VALUE"""),"Aaron Banks")</f>
        <v>Aaron Banks</v>
      </c>
      <c r="AS12" s="9" t="str">
        <f>IFERROR(__xludf.DUMMYFUNCTION("""COMPUTED_VALUE"""),"Jake Brendel")</f>
        <v>Jake Brendel</v>
      </c>
      <c r="AT12" s="9" t="str">
        <f>IFERROR(__xludf.DUMMYFUNCTION("""COMPUTED_VALUE"""),"Spencer Burford")</f>
        <v>Spencer Burford</v>
      </c>
      <c r="AU12" s="9" t="str">
        <f>IFERROR(__xludf.DUMMYFUNCTION("""COMPUTED_VALUE"""),"Colton McKivitz")</f>
        <v>Colton McKivitz</v>
      </c>
    </row>
    <row r="13">
      <c r="A13" s="11" t="s">
        <v>58</v>
      </c>
      <c r="B13" s="8">
        <v>9.0</v>
      </c>
      <c r="C13" s="9">
        <f>IFERROR(__xludf.DUMMYFUNCTION("SPLIT(""31,MIA,NFL,RB,15,15,209,1012,18,59,55.0,49,4.8,67.5,13.9,32,25,175,7.0,3,6,40.6,22,1.7,11.7,78.1,5.5,234,5.1,1187,21,4,9,PB,"","","")"),31.0)</f>
        <v>31</v>
      </c>
      <c r="D13" s="9" t="str">
        <f>IFERROR(__xludf.DUMMYFUNCTION("""COMPUTED_VALUE"""),"MIA")</f>
        <v>MIA</v>
      </c>
      <c r="E13" s="9" t="str">
        <f>IFERROR(__xludf.DUMMYFUNCTION("""COMPUTED_VALUE"""),"NFL")</f>
        <v>NFL</v>
      </c>
      <c r="F13" s="9" t="str">
        <f>IFERROR(__xludf.DUMMYFUNCTION("""COMPUTED_VALUE"""),"RB")</f>
        <v>RB</v>
      </c>
      <c r="G13" s="9">
        <f>IFERROR(__xludf.DUMMYFUNCTION("""COMPUTED_VALUE"""),15.0)</f>
        <v>15</v>
      </c>
      <c r="H13" s="9">
        <f>IFERROR(__xludf.DUMMYFUNCTION("""COMPUTED_VALUE"""),15.0)</f>
        <v>15</v>
      </c>
      <c r="I13" s="9">
        <f>IFERROR(__xludf.DUMMYFUNCTION("""COMPUTED_VALUE"""),209.0)</f>
        <v>209</v>
      </c>
      <c r="J13" s="9">
        <f>IFERROR(__xludf.DUMMYFUNCTION("""COMPUTED_VALUE"""),1012.0)</f>
        <v>1012</v>
      </c>
      <c r="K13" s="9">
        <f>IFERROR(__xludf.DUMMYFUNCTION("""COMPUTED_VALUE"""),18.0)</f>
        <v>18</v>
      </c>
      <c r="L13" s="9">
        <f>IFERROR(__xludf.DUMMYFUNCTION("""COMPUTED_VALUE"""),59.0)</f>
        <v>59</v>
      </c>
      <c r="M13" s="9">
        <f>IFERROR(__xludf.DUMMYFUNCTION("""COMPUTED_VALUE"""),55.0)</f>
        <v>55</v>
      </c>
      <c r="N13" s="9">
        <f>IFERROR(__xludf.DUMMYFUNCTION("""COMPUTED_VALUE"""),49.0)</f>
        <v>49</v>
      </c>
      <c r="O13" s="9">
        <f>IFERROR(__xludf.DUMMYFUNCTION("""COMPUTED_VALUE"""),4.8)</f>
        <v>4.8</v>
      </c>
      <c r="P13" s="9">
        <f>IFERROR(__xludf.DUMMYFUNCTION("""COMPUTED_VALUE"""),67.5)</f>
        <v>67.5</v>
      </c>
      <c r="Q13" s="9">
        <f>IFERROR(__xludf.DUMMYFUNCTION("""COMPUTED_VALUE"""),13.9)</f>
        <v>13.9</v>
      </c>
      <c r="R13" s="9">
        <f>IFERROR(__xludf.DUMMYFUNCTION("""COMPUTED_VALUE"""),32.0)</f>
        <v>32</v>
      </c>
      <c r="S13" s="9">
        <f>IFERROR(__xludf.DUMMYFUNCTION("""COMPUTED_VALUE"""),25.0)</f>
        <v>25</v>
      </c>
      <c r="T13" s="9">
        <f>IFERROR(__xludf.DUMMYFUNCTION("""COMPUTED_VALUE"""),175.0)</f>
        <v>175</v>
      </c>
      <c r="U13" s="9">
        <f>IFERROR(__xludf.DUMMYFUNCTION("""COMPUTED_VALUE"""),7.0)</f>
        <v>7</v>
      </c>
      <c r="V13" s="9">
        <f>IFERROR(__xludf.DUMMYFUNCTION("""COMPUTED_VALUE"""),3.0)</f>
        <v>3</v>
      </c>
      <c r="W13" s="9">
        <f>IFERROR(__xludf.DUMMYFUNCTION("""COMPUTED_VALUE"""),6.0)</f>
        <v>6</v>
      </c>
      <c r="X13" s="9">
        <f>IFERROR(__xludf.DUMMYFUNCTION("""COMPUTED_VALUE"""),40.6)</f>
        <v>40.6</v>
      </c>
      <c r="Y13" s="9">
        <f>IFERROR(__xludf.DUMMYFUNCTION("""COMPUTED_VALUE"""),22.0)</f>
        <v>22</v>
      </c>
      <c r="Z13" s="9">
        <f>IFERROR(__xludf.DUMMYFUNCTION("""COMPUTED_VALUE"""),1.7)</f>
        <v>1.7</v>
      </c>
      <c r="AA13" s="9">
        <f>IFERROR(__xludf.DUMMYFUNCTION("""COMPUTED_VALUE"""),11.7)</f>
        <v>11.7</v>
      </c>
      <c r="AB13" s="9">
        <f>IFERROR(__xludf.DUMMYFUNCTION("""COMPUTED_VALUE"""),78.1)</f>
        <v>78.1</v>
      </c>
      <c r="AC13" s="9">
        <f>IFERROR(__xludf.DUMMYFUNCTION("""COMPUTED_VALUE"""),5.5)</f>
        <v>5.5</v>
      </c>
      <c r="AD13" s="9">
        <f>IFERROR(__xludf.DUMMYFUNCTION("""COMPUTED_VALUE"""),234.0)</f>
        <v>234</v>
      </c>
      <c r="AE13" s="9">
        <f>IFERROR(__xludf.DUMMYFUNCTION("""COMPUTED_VALUE"""),5.1)</f>
        <v>5.1</v>
      </c>
      <c r="AF13" s="9">
        <f>IFERROR(__xludf.DUMMYFUNCTION("""COMPUTED_VALUE"""),1187.0)</f>
        <v>1187</v>
      </c>
      <c r="AG13" s="9">
        <f>IFERROR(__xludf.DUMMYFUNCTION("""COMPUTED_VALUE"""),21.0)</f>
        <v>21</v>
      </c>
      <c r="AH13" s="9">
        <f>IFERROR(__xludf.DUMMYFUNCTION("""COMPUTED_VALUE"""),4.0)</f>
        <v>4</v>
      </c>
      <c r="AI13" s="9">
        <f>IFERROR(__xludf.DUMMYFUNCTION("""COMPUTED_VALUE"""),9.0)</f>
        <v>9</v>
      </c>
      <c r="AJ13" s="9" t="str">
        <f>IFERROR(__xludf.DUMMYFUNCTION("""COMPUTED_VALUE"""),"PB")</f>
        <v>PB</v>
      </c>
      <c r="AK13" s="6" t="str">
        <f>IFERROR(__xludf.DUMMYFUNCTION("SPLIT(""Mike McDaniel,Frank Smith,Tua Tagovailoa,Tyreek Hill,Jaylen Waddle,N/A,Terron Armstead,Lester Cotton,Connor Williams,Robert Hunt,Austin Jackson"","","")"),"Mike McDaniel")</f>
        <v>Mike McDaniel</v>
      </c>
      <c r="AL13" s="9" t="str">
        <f>IFERROR(__xludf.DUMMYFUNCTION("""COMPUTED_VALUE"""),"Frank Smith")</f>
        <v>Frank Smith</v>
      </c>
      <c r="AM13" s="9" t="str">
        <f>IFERROR(__xludf.DUMMYFUNCTION("""COMPUTED_VALUE"""),"Tua Tagovailoa")</f>
        <v>Tua Tagovailoa</v>
      </c>
      <c r="AN13" s="9" t="str">
        <f>IFERROR(__xludf.DUMMYFUNCTION("""COMPUTED_VALUE"""),"Tyreek Hill")</f>
        <v>Tyreek Hill</v>
      </c>
      <c r="AO13" s="9" t="str">
        <f>IFERROR(__xludf.DUMMYFUNCTION("""COMPUTED_VALUE"""),"Jaylen Waddle")</f>
        <v>Jaylen Waddle</v>
      </c>
      <c r="AP13" s="9" t="str">
        <f>IFERROR(__xludf.DUMMYFUNCTION("""COMPUTED_VALUE"""),"N/A")</f>
        <v>N/A</v>
      </c>
      <c r="AQ13" s="9" t="str">
        <f>IFERROR(__xludf.DUMMYFUNCTION("""COMPUTED_VALUE"""),"Terron Armstead")</f>
        <v>Terron Armstead</v>
      </c>
      <c r="AR13" s="9" t="str">
        <f>IFERROR(__xludf.DUMMYFUNCTION("""COMPUTED_VALUE"""),"Lester Cotton")</f>
        <v>Lester Cotton</v>
      </c>
      <c r="AS13" s="9" t="str">
        <f>IFERROR(__xludf.DUMMYFUNCTION("""COMPUTED_VALUE"""),"Connor Williams")</f>
        <v>Connor Williams</v>
      </c>
      <c r="AT13" s="9" t="str">
        <f>IFERROR(__xludf.DUMMYFUNCTION("""COMPUTED_VALUE"""),"Robert Hunt")</f>
        <v>Robert Hunt</v>
      </c>
      <c r="AU13" s="9" t="str">
        <f>IFERROR(__xludf.DUMMYFUNCTION("""COMPUTED_VALUE"""),"Austin Jackson")</f>
        <v>Austin Jackson</v>
      </c>
    </row>
    <row r="14">
      <c r="A14" s="11" t="s">
        <v>59</v>
      </c>
      <c r="B14" s="8">
        <v>7.0</v>
      </c>
      <c r="C14" s="9">
        <f>IFERROR(__xludf.DUMMYFUNCTION("SPLIT(""28,NYG,NFL,RB,17,4,55,151,1,7,34.5,9,2.7,8.9,3.2,21,17,88,5.2,0,2,19.0,22,1.0,5.2,81.0,4.2,72,3.3,239,1,1,1,0,"","","")"),28.0)</f>
        <v>28</v>
      </c>
      <c r="D14" s="9" t="str">
        <f>IFERROR(__xludf.DUMMYFUNCTION("""COMPUTED_VALUE"""),"NYG")</f>
        <v>NYG</v>
      </c>
      <c r="E14" s="9" t="str">
        <f>IFERROR(__xludf.DUMMYFUNCTION("""COMPUTED_VALUE"""),"NFL")</f>
        <v>NFL</v>
      </c>
      <c r="F14" s="9" t="str">
        <f>IFERROR(__xludf.DUMMYFUNCTION("""COMPUTED_VALUE"""),"RB")</f>
        <v>RB</v>
      </c>
      <c r="G14" s="9">
        <f>IFERROR(__xludf.DUMMYFUNCTION("""COMPUTED_VALUE"""),17.0)</f>
        <v>17</v>
      </c>
      <c r="H14" s="9">
        <f>IFERROR(__xludf.DUMMYFUNCTION("""COMPUTED_VALUE"""),4.0)</f>
        <v>4</v>
      </c>
      <c r="I14" s="9">
        <f>IFERROR(__xludf.DUMMYFUNCTION("""COMPUTED_VALUE"""),55.0)</f>
        <v>55</v>
      </c>
      <c r="J14" s="9">
        <f>IFERROR(__xludf.DUMMYFUNCTION("""COMPUTED_VALUE"""),151.0)</f>
        <v>151</v>
      </c>
      <c r="K14" s="9">
        <f>IFERROR(__xludf.DUMMYFUNCTION("""COMPUTED_VALUE"""),1.0)</f>
        <v>1</v>
      </c>
      <c r="L14" s="9">
        <f>IFERROR(__xludf.DUMMYFUNCTION("""COMPUTED_VALUE"""),7.0)</f>
        <v>7</v>
      </c>
      <c r="M14" s="9">
        <f>IFERROR(__xludf.DUMMYFUNCTION("""COMPUTED_VALUE"""),34.5)</f>
        <v>34.5</v>
      </c>
      <c r="N14" s="9">
        <f>IFERROR(__xludf.DUMMYFUNCTION("""COMPUTED_VALUE"""),9.0)</f>
        <v>9</v>
      </c>
      <c r="O14" s="9">
        <f>IFERROR(__xludf.DUMMYFUNCTION("""COMPUTED_VALUE"""),2.7)</f>
        <v>2.7</v>
      </c>
      <c r="P14" s="9">
        <f>IFERROR(__xludf.DUMMYFUNCTION("""COMPUTED_VALUE"""),8.9)</f>
        <v>8.9</v>
      </c>
      <c r="Q14" s="9">
        <f>IFERROR(__xludf.DUMMYFUNCTION("""COMPUTED_VALUE"""),3.2)</f>
        <v>3.2</v>
      </c>
      <c r="R14" s="9">
        <f>IFERROR(__xludf.DUMMYFUNCTION("""COMPUTED_VALUE"""),21.0)</f>
        <v>21</v>
      </c>
      <c r="S14" s="9">
        <f>IFERROR(__xludf.DUMMYFUNCTION("""COMPUTED_VALUE"""),17.0)</f>
        <v>17</v>
      </c>
      <c r="T14" s="9">
        <f>IFERROR(__xludf.DUMMYFUNCTION("""COMPUTED_VALUE"""),88.0)</f>
        <v>88</v>
      </c>
      <c r="U14" s="9">
        <f>IFERROR(__xludf.DUMMYFUNCTION("""COMPUTED_VALUE"""),5.2)</f>
        <v>5.2</v>
      </c>
      <c r="V14" s="9">
        <f>IFERROR(__xludf.DUMMYFUNCTION("""COMPUTED_VALUE"""),0.0)</f>
        <v>0</v>
      </c>
      <c r="W14" s="9">
        <f>IFERROR(__xludf.DUMMYFUNCTION("""COMPUTED_VALUE"""),2.0)</f>
        <v>2</v>
      </c>
      <c r="X14" s="9">
        <f>IFERROR(__xludf.DUMMYFUNCTION("""COMPUTED_VALUE"""),19.0)</f>
        <v>19</v>
      </c>
      <c r="Y14" s="9">
        <f>IFERROR(__xludf.DUMMYFUNCTION("""COMPUTED_VALUE"""),22.0)</f>
        <v>22</v>
      </c>
      <c r="Z14" s="9">
        <f>IFERROR(__xludf.DUMMYFUNCTION("""COMPUTED_VALUE"""),1.0)</f>
        <v>1</v>
      </c>
      <c r="AA14" s="9">
        <f>IFERROR(__xludf.DUMMYFUNCTION("""COMPUTED_VALUE"""),5.2)</f>
        <v>5.2</v>
      </c>
      <c r="AB14" s="9">
        <f>IFERROR(__xludf.DUMMYFUNCTION("""COMPUTED_VALUE"""),81.0)</f>
        <v>81</v>
      </c>
      <c r="AC14" s="9">
        <f>IFERROR(__xludf.DUMMYFUNCTION("""COMPUTED_VALUE"""),4.2)</f>
        <v>4.2</v>
      </c>
      <c r="AD14" s="9">
        <f>IFERROR(__xludf.DUMMYFUNCTION("""COMPUTED_VALUE"""),72.0)</f>
        <v>72</v>
      </c>
      <c r="AE14" s="9">
        <f>IFERROR(__xludf.DUMMYFUNCTION("""COMPUTED_VALUE"""),3.3)</f>
        <v>3.3</v>
      </c>
      <c r="AF14" s="9">
        <f>IFERROR(__xludf.DUMMYFUNCTION("""COMPUTED_VALUE"""),239.0)</f>
        <v>239</v>
      </c>
      <c r="AG14" s="9">
        <f>IFERROR(__xludf.DUMMYFUNCTION("""COMPUTED_VALUE"""),1.0)</f>
        <v>1</v>
      </c>
      <c r="AH14" s="9">
        <f>IFERROR(__xludf.DUMMYFUNCTION("""COMPUTED_VALUE"""),1.0)</f>
        <v>1</v>
      </c>
      <c r="AI14" s="9">
        <f>IFERROR(__xludf.DUMMYFUNCTION("""COMPUTED_VALUE"""),1.0)</f>
        <v>1</v>
      </c>
      <c r="AJ14" s="9">
        <f>IFERROR(__xludf.DUMMYFUNCTION("""COMPUTED_VALUE"""),0.0)</f>
        <v>0</v>
      </c>
      <c r="AK14" s="6" t="str">
        <f>IFERROR(__xludf.DUMMYFUNCTION("SPLIT(""Brian Daboll,Mike Kafka,Daniel Jones,Jalin Hyatt,Wan'Dale Robinson,N/A,Andrew Thomas,Justin Pugh,John Michael Schmitz,Ben Bredeson,Tyre Phillips"","","")"),"Brian Daboll")</f>
        <v>Brian Daboll</v>
      </c>
      <c r="AL14" s="9" t="str">
        <f>IFERROR(__xludf.DUMMYFUNCTION("""COMPUTED_VALUE"""),"Mike Kafka")</f>
        <v>Mike Kafka</v>
      </c>
      <c r="AM14" s="9" t="str">
        <f>IFERROR(__xludf.DUMMYFUNCTION("""COMPUTED_VALUE"""),"Daniel Jones")</f>
        <v>Daniel Jones</v>
      </c>
      <c r="AN14" s="9" t="str">
        <f>IFERROR(__xludf.DUMMYFUNCTION("""COMPUTED_VALUE"""),"Jalin Hyatt")</f>
        <v>Jalin Hyatt</v>
      </c>
      <c r="AO14" s="9" t="str">
        <f>IFERROR(__xludf.DUMMYFUNCTION("""COMPUTED_VALUE"""),"Wan'Dale Robinson")</f>
        <v>Wan'Dale Robinson</v>
      </c>
      <c r="AP14" s="9" t="str">
        <f>IFERROR(__xludf.DUMMYFUNCTION("""COMPUTED_VALUE"""),"N/A")</f>
        <v>N/A</v>
      </c>
      <c r="AQ14" s="9" t="str">
        <f>IFERROR(__xludf.DUMMYFUNCTION("""COMPUTED_VALUE"""),"Andrew Thomas")</f>
        <v>Andrew Thomas</v>
      </c>
      <c r="AR14" s="9" t="str">
        <f>IFERROR(__xludf.DUMMYFUNCTION("""COMPUTED_VALUE"""),"Justin Pugh")</f>
        <v>Justin Pugh</v>
      </c>
      <c r="AS14" s="9" t="str">
        <f>IFERROR(__xludf.DUMMYFUNCTION("""COMPUTED_VALUE"""),"John Michael Schmitz")</f>
        <v>John Michael Schmitz</v>
      </c>
      <c r="AT14" s="9" t="str">
        <f>IFERROR(__xludf.DUMMYFUNCTION("""COMPUTED_VALUE"""),"Ben Bredeson")</f>
        <v>Ben Bredeson</v>
      </c>
      <c r="AU14" s="9" t="str">
        <f>IFERROR(__xludf.DUMMYFUNCTION("""COMPUTED_VALUE"""),"Tyre Phillips")</f>
        <v>Tyre Phillips</v>
      </c>
    </row>
    <row r="15">
      <c r="A15" s="11" t="s">
        <v>60</v>
      </c>
      <c r="B15" s="8">
        <v>2.0</v>
      </c>
      <c r="C15" s="9">
        <f>IFERROR(__xludf.DUMMYFUNCTION("SPLIT(""23,SEA,NFL,RB,15,15,219,905,8,46,46.6,45,4.1,60.3,14.6,37,29,259,8.9,1,9,43.2,64,1.9,17.3,78.4,7.0,248,4.7,1164,9,1,8,0,"","","")"),23.0)</f>
        <v>23</v>
      </c>
      <c r="D15" s="9" t="str">
        <f>IFERROR(__xludf.DUMMYFUNCTION("""COMPUTED_VALUE"""),"SEA")</f>
        <v>SEA</v>
      </c>
      <c r="E15" s="9" t="str">
        <f>IFERROR(__xludf.DUMMYFUNCTION("""COMPUTED_VALUE"""),"NFL")</f>
        <v>NFL</v>
      </c>
      <c r="F15" s="9" t="str">
        <f>IFERROR(__xludf.DUMMYFUNCTION("""COMPUTED_VALUE"""),"RB")</f>
        <v>RB</v>
      </c>
      <c r="G15" s="9">
        <f>IFERROR(__xludf.DUMMYFUNCTION("""COMPUTED_VALUE"""),15.0)</f>
        <v>15</v>
      </c>
      <c r="H15" s="9">
        <f>IFERROR(__xludf.DUMMYFUNCTION("""COMPUTED_VALUE"""),15.0)</f>
        <v>15</v>
      </c>
      <c r="I15" s="9">
        <f>IFERROR(__xludf.DUMMYFUNCTION("""COMPUTED_VALUE"""),219.0)</f>
        <v>219</v>
      </c>
      <c r="J15" s="9">
        <f>IFERROR(__xludf.DUMMYFUNCTION("""COMPUTED_VALUE"""),905.0)</f>
        <v>905</v>
      </c>
      <c r="K15" s="9">
        <f>IFERROR(__xludf.DUMMYFUNCTION("""COMPUTED_VALUE"""),8.0)</f>
        <v>8</v>
      </c>
      <c r="L15" s="9">
        <f>IFERROR(__xludf.DUMMYFUNCTION("""COMPUTED_VALUE"""),46.0)</f>
        <v>46</v>
      </c>
      <c r="M15" s="9">
        <f>IFERROR(__xludf.DUMMYFUNCTION("""COMPUTED_VALUE"""),46.6)</f>
        <v>46.6</v>
      </c>
      <c r="N15" s="9">
        <f>IFERROR(__xludf.DUMMYFUNCTION("""COMPUTED_VALUE"""),45.0)</f>
        <v>45</v>
      </c>
      <c r="O15" s="9">
        <f>IFERROR(__xludf.DUMMYFUNCTION("""COMPUTED_VALUE"""),4.1)</f>
        <v>4.1</v>
      </c>
      <c r="P15" s="9">
        <f>IFERROR(__xludf.DUMMYFUNCTION("""COMPUTED_VALUE"""),60.3)</f>
        <v>60.3</v>
      </c>
      <c r="Q15" s="9">
        <f>IFERROR(__xludf.DUMMYFUNCTION("""COMPUTED_VALUE"""),14.6)</f>
        <v>14.6</v>
      </c>
      <c r="R15" s="9">
        <f>IFERROR(__xludf.DUMMYFUNCTION("""COMPUTED_VALUE"""),37.0)</f>
        <v>37</v>
      </c>
      <c r="S15" s="9">
        <f>IFERROR(__xludf.DUMMYFUNCTION("""COMPUTED_VALUE"""),29.0)</f>
        <v>29</v>
      </c>
      <c r="T15" s="9">
        <f>IFERROR(__xludf.DUMMYFUNCTION("""COMPUTED_VALUE"""),259.0)</f>
        <v>259</v>
      </c>
      <c r="U15" s="9">
        <f>IFERROR(__xludf.DUMMYFUNCTION("""COMPUTED_VALUE"""),8.9)</f>
        <v>8.9</v>
      </c>
      <c r="V15" s="9">
        <f>IFERROR(__xludf.DUMMYFUNCTION("""COMPUTED_VALUE"""),1.0)</f>
        <v>1</v>
      </c>
      <c r="W15" s="9">
        <f>IFERROR(__xludf.DUMMYFUNCTION("""COMPUTED_VALUE"""),9.0)</f>
        <v>9</v>
      </c>
      <c r="X15" s="9">
        <f>IFERROR(__xludf.DUMMYFUNCTION("""COMPUTED_VALUE"""),43.2)</f>
        <v>43.2</v>
      </c>
      <c r="Y15" s="9">
        <f>IFERROR(__xludf.DUMMYFUNCTION("""COMPUTED_VALUE"""),64.0)</f>
        <v>64</v>
      </c>
      <c r="Z15" s="9">
        <f>IFERROR(__xludf.DUMMYFUNCTION("""COMPUTED_VALUE"""),1.9)</f>
        <v>1.9</v>
      </c>
      <c r="AA15" s="9">
        <f>IFERROR(__xludf.DUMMYFUNCTION("""COMPUTED_VALUE"""),17.3)</f>
        <v>17.3</v>
      </c>
      <c r="AB15" s="9">
        <f>IFERROR(__xludf.DUMMYFUNCTION("""COMPUTED_VALUE"""),78.4)</f>
        <v>78.4</v>
      </c>
      <c r="AC15" s="9">
        <f>IFERROR(__xludf.DUMMYFUNCTION("""COMPUTED_VALUE"""),7.0)</f>
        <v>7</v>
      </c>
      <c r="AD15" s="9">
        <f>IFERROR(__xludf.DUMMYFUNCTION("""COMPUTED_VALUE"""),248.0)</f>
        <v>248</v>
      </c>
      <c r="AE15" s="9">
        <f>IFERROR(__xludf.DUMMYFUNCTION("""COMPUTED_VALUE"""),4.7)</f>
        <v>4.7</v>
      </c>
      <c r="AF15" s="9">
        <f>IFERROR(__xludf.DUMMYFUNCTION("""COMPUTED_VALUE"""),1164.0)</f>
        <v>1164</v>
      </c>
      <c r="AG15" s="9">
        <f>IFERROR(__xludf.DUMMYFUNCTION("""COMPUTED_VALUE"""),9.0)</f>
        <v>9</v>
      </c>
      <c r="AH15" s="9">
        <f>IFERROR(__xludf.DUMMYFUNCTION("""COMPUTED_VALUE"""),1.0)</f>
        <v>1</v>
      </c>
      <c r="AI15" s="9">
        <f>IFERROR(__xludf.DUMMYFUNCTION("""COMPUTED_VALUE"""),8.0)</f>
        <v>8</v>
      </c>
      <c r="AJ15" s="9">
        <f>IFERROR(__xludf.DUMMYFUNCTION("""COMPUTED_VALUE"""),0.0)</f>
        <v>0</v>
      </c>
      <c r="AK15" s="6" t="str">
        <f>IFERROR(__xludf.DUMMYFUNCTION("SPLIT(""Pete Carroll,Shane Waldron,Geno Smith,Tyler Lockett,D.K. Metcalf,N/A,Charles Cross,Damien Lewis,Evan Brown,Anthony Bradford,Abraham Lucas"","","")"),"Pete Carroll")</f>
        <v>Pete Carroll</v>
      </c>
      <c r="AL15" s="9" t="str">
        <f>IFERROR(__xludf.DUMMYFUNCTION("""COMPUTED_VALUE"""),"Shane Waldron")</f>
        <v>Shane Waldron</v>
      </c>
      <c r="AM15" s="9" t="str">
        <f>IFERROR(__xludf.DUMMYFUNCTION("""COMPUTED_VALUE"""),"Geno Smith")</f>
        <v>Geno Smith</v>
      </c>
      <c r="AN15" s="9" t="str">
        <f>IFERROR(__xludf.DUMMYFUNCTION("""COMPUTED_VALUE"""),"Tyler Lockett")</f>
        <v>Tyler Lockett</v>
      </c>
      <c r="AO15" s="9" t="str">
        <f>IFERROR(__xludf.DUMMYFUNCTION("""COMPUTED_VALUE"""),"D.K. Metcalf")</f>
        <v>D.K. Metcalf</v>
      </c>
      <c r="AP15" s="9" t="str">
        <f>IFERROR(__xludf.DUMMYFUNCTION("""COMPUTED_VALUE"""),"N/A")</f>
        <v>N/A</v>
      </c>
      <c r="AQ15" s="9" t="str">
        <f>IFERROR(__xludf.DUMMYFUNCTION("""COMPUTED_VALUE"""),"Charles Cross")</f>
        <v>Charles Cross</v>
      </c>
      <c r="AR15" s="9" t="str">
        <f>IFERROR(__xludf.DUMMYFUNCTION("""COMPUTED_VALUE"""),"Damien Lewis")</f>
        <v>Damien Lewis</v>
      </c>
      <c r="AS15" s="9" t="str">
        <f>IFERROR(__xludf.DUMMYFUNCTION("""COMPUTED_VALUE"""),"Evan Brown")</f>
        <v>Evan Brown</v>
      </c>
      <c r="AT15" s="9" t="str">
        <f>IFERROR(__xludf.DUMMYFUNCTION("""COMPUTED_VALUE"""),"Anthony Bradford")</f>
        <v>Anthony Bradford</v>
      </c>
      <c r="AU15" s="9" t="str">
        <f>IFERROR(__xludf.DUMMYFUNCTION("""COMPUTED_VALUE"""),"Abraham Lucas")</f>
        <v>Abraham Lucas</v>
      </c>
    </row>
    <row r="16">
      <c r="A16" s="11" t="s">
        <v>61</v>
      </c>
      <c r="B16" s="8">
        <v>6.0</v>
      </c>
      <c r="C16" s="9">
        <f>IFERROR(__xludf.DUMMYFUNCTION("SPLIT(""27,PHI,NFL,RB,3,0,11,33,0,1,45.5,7,3.0,11.0,3.7,1,1,5,5.0,0,0,100.0,5,0.3,1.7,100.0,5.0,12,3.2,38,0,0,0,0,"","","")"),27.0)</f>
        <v>27</v>
      </c>
      <c r="D16" s="9" t="str">
        <f>IFERROR(__xludf.DUMMYFUNCTION("""COMPUTED_VALUE"""),"PHI")</f>
        <v>PHI</v>
      </c>
      <c r="E16" s="9" t="str">
        <f>IFERROR(__xludf.DUMMYFUNCTION("""COMPUTED_VALUE"""),"NFL")</f>
        <v>NFL</v>
      </c>
      <c r="F16" s="9" t="str">
        <f>IFERROR(__xludf.DUMMYFUNCTION("""COMPUTED_VALUE"""),"RB")</f>
        <v>RB</v>
      </c>
      <c r="G16" s="9">
        <f>IFERROR(__xludf.DUMMYFUNCTION("""COMPUTED_VALUE"""),3.0)</f>
        <v>3</v>
      </c>
      <c r="H16" s="9">
        <f>IFERROR(__xludf.DUMMYFUNCTION("""COMPUTED_VALUE"""),0.0)</f>
        <v>0</v>
      </c>
      <c r="I16" s="9">
        <f>IFERROR(__xludf.DUMMYFUNCTION("""COMPUTED_VALUE"""),11.0)</f>
        <v>11</v>
      </c>
      <c r="J16" s="9">
        <f>IFERROR(__xludf.DUMMYFUNCTION("""COMPUTED_VALUE"""),33.0)</f>
        <v>33</v>
      </c>
      <c r="K16" s="9">
        <f>IFERROR(__xludf.DUMMYFUNCTION("""COMPUTED_VALUE"""),0.0)</f>
        <v>0</v>
      </c>
      <c r="L16" s="9">
        <f>IFERROR(__xludf.DUMMYFUNCTION("""COMPUTED_VALUE"""),1.0)</f>
        <v>1</v>
      </c>
      <c r="M16" s="9">
        <f>IFERROR(__xludf.DUMMYFUNCTION("""COMPUTED_VALUE"""),45.5)</f>
        <v>45.5</v>
      </c>
      <c r="N16" s="9">
        <f>IFERROR(__xludf.DUMMYFUNCTION("""COMPUTED_VALUE"""),7.0)</f>
        <v>7</v>
      </c>
      <c r="O16" s="9">
        <f>IFERROR(__xludf.DUMMYFUNCTION("""COMPUTED_VALUE"""),3.0)</f>
        <v>3</v>
      </c>
      <c r="P16" s="9">
        <f>IFERROR(__xludf.DUMMYFUNCTION("""COMPUTED_VALUE"""),11.0)</f>
        <v>11</v>
      </c>
      <c r="Q16" s="9">
        <f>IFERROR(__xludf.DUMMYFUNCTION("""COMPUTED_VALUE"""),3.7)</f>
        <v>3.7</v>
      </c>
      <c r="R16" s="9">
        <f>IFERROR(__xludf.DUMMYFUNCTION("""COMPUTED_VALUE"""),1.0)</f>
        <v>1</v>
      </c>
      <c r="S16" s="9">
        <f>IFERROR(__xludf.DUMMYFUNCTION("""COMPUTED_VALUE"""),1.0)</f>
        <v>1</v>
      </c>
      <c r="T16" s="9">
        <f>IFERROR(__xludf.DUMMYFUNCTION("""COMPUTED_VALUE"""),5.0)</f>
        <v>5</v>
      </c>
      <c r="U16" s="9">
        <f>IFERROR(__xludf.DUMMYFUNCTION("""COMPUTED_VALUE"""),5.0)</f>
        <v>5</v>
      </c>
      <c r="V16" s="9">
        <f>IFERROR(__xludf.DUMMYFUNCTION("""COMPUTED_VALUE"""),0.0)</f>
        <v>0</v>
      </c>
      <c r="W16" s="9">
        <f>IFERROR(__xludf.DUMMYFUNCTION("""COMPUTED_VALUE"""),0.0)</f>
        <v>0</v>
      </c>
      <c r="X16" s="9">
        <f>IFERROR(__xludf.DUMMYFUNCTION("""COMPUTED_VALUE"""),100.0)</f>
        <v>100</v>
      </c>
      <c r="Y16" s="9">
        <f>IFERROR(__xludf.DUMMYFUNCTION("""COMPUTED_VALUE"""),5.0)</f>
        <v>5</v>
      </c>
      <c r="Z16" s="9">
        <f>IFERROR(__xludf.DUMMYFUNCTION("""COMPUTED_VALUE"""),0.3)</f>
        <v>0.3</v>
      </c>
      <c r="AA16" s="9">
        <f>IFERROR(__xludf.DUMMYFUNCTION("""COMPUTED_VALUE"""),1.7)</f>
        <v>1.7</v>
      </c>
      <c r="AB16" s="9">
        <f>IFERROR(__xludf.DUMMYFUNCTION("""COMPUTED_VALUE"""),100.0)</f>
        <v>100</v>
      </c>
      <c r="AC16" s="9">
        <f>IFERROR(__xludf.DUMMYFUNCTION("""COMPUTED_VALUE"""),5.0)</f>
        <v>5</v>
      </c>
      <c r="AD16" s="9">
        <f>IFERROR(__xludf.DUMMYFUNCTION("""COMPUTED_VALUE"""),12.0)</f>
        <v>12</v>
      </c>
      <c r="AE16" s="9">
        <f>IFERROR(__xludf.DUMMYFUNCTION("""COMPUTED_VALUE"""),3.2)</f>
        <v>3.2</v>
      </c>
      <c r="AF16" s="9">
        <f>IFERROR(__xludf.DUMMYFUNCTION("""COMPUTED_VALUE"""),38.0)</f>
        <v>38</v>
      </c>
      <c r="AG16" s="9">
        <f>IFERROR(__xludf.DUMMYFUNCTION("""COMPUTED_VALUE"""),0.0)</f>
        <v>0</v>
      </c>
      <c r="AH16" s="9">
        <f>IFERROR(__xludf.DUMMYFUNCTION("""COMPUTED_VALUE"""),0.0)</f>
        <v>0</v>
      </c>
      <c r="AI16" s="9">
        <f>IFERROR(__xludf.DUMMYFUNCTION("""COMPUTED_VALUE"""),0.0)</f>
        <v>0</v>
      </c>
      <c r="AJ16" s="9">
        <f>IFERROR(__xludf.DUMMYFUNCTION("""COMPUTED_VALUE"""),0.0)</f>
        <v>0</v>
      </c>
      <c r="AK16" s="6" t="str">
        <f>IFERROR(__xludf.DUMMYFUNCTION("SPLIT(""Nick Sirianni,Brian Johnson,Jalen Hurts,A.J. Brown,DeVonta Smith,N/A,Jordan Mailata,Landon Dickerson,Jason Kelce,Cam Jurgens,Lane Johnson"","","")"),"Nick Sirianni")</f>
        <v>Nick Sirianni</v>
      </c>
      <c r="AL16" s="9" t="str">
        <f>IFERROR(__xludf.DUMMYFUNCTION("""COMPUTED_VALUE"""),"Brian Johnson")</f>
        <v>Brian Johnson</v>
      </c>
      <c r="AM16" s="9" t="str">
        <f>IFERROR(__xludf.DUMMYFUNCTION("""COMPUTED_VALUE"""),"Jalen Hurts")</f>
        <v>Jalen Hurts</v>
      </c>
      <c r="AN16" s="9" t="str">
        <f>IFERROR(__xludf.DUMMYFUNCTION("""COMPUTED_VALUE"""),"A.J. Brown")</f>
        <v>A.J. Brown</v>
      </c>
      <c r="AO16" s="9" t="str">
        <f>IFERROR(__xludf.DUMMYFUNCTION("""COMPUTED_VALUE"""),"DeVonta Smith")</f>
        <v>DeVonta Smith</v>
      </c>
      <c r="AP16" s="9" t="str">
        <f>IFERROR(__xludf.DUMMYFUNCTION("""COMPUTED_VALUE"""),"N/A")</f>
        <v>N/A</v>
      </c>
      <c r="AQ16" s="9" t="str">
        <f>IFERROR(__xludf.DUMMYFUNCTION("""COMPUTED_VALUE"""),"Jordan Mailata")</f>
        <v>Jordan Mailata</v>
      </c>
      <c r="AR16" s="9" t="str">
        <f>IFERROR(__xludf.DUMMYFUNCTION("""COMPUTED_VALUE"""),"Landon Dickerson")</f>
        <v>Landon Dickerson</v>
      </c>
      <c r="AS16" s="9" t="str">
        <f>IFERROR(__xludf.DUMMYFUNCTION("""COMPUTED_VALUE"""),"Jason Kelce")</f>
        <v>Jason Kelce</v>
      </c>
      <c r="AT16" s="9" t="str">
        <f>IFERROR(__xludf.DUMMYFUNCTION("""COMPUTED_VALUE"""),"Cam Jurgens")</f>
        <v>Cam Jurgens</v>
      </c>
      <c r="AU16" s="9" t="str">
        <f>IFERROR(__xludf.DUMMYFUNCTION("""COMPUTED_VALUE"""),"Lane Johnson")</f>
        <v>Lane Johnson</v>
      </c>
    </row>
    <row r="17">
      <c r="A17" s="7" t="s">
        <v>62</v>
      </c>
      <c r="B17" s="8">
        <v>2.0</v>
      </c>
      <c r="C17" s="9">
        <f>IFERROR(__xludf.DUMMYFUNCTION("SPLIT(""24,TAM,NFL,RB,17,17,272,990,6,46,40.8,38,3.6,58.2,16.0,70,64,549,8.6,3,23,54.3,43,3.8,32.3,91.4,7.8,336,4.6,1539,9,3,10,0,"","","")"),24.0)</f>
        <v>24</v>
      </c>
      <c r="D17" s="9" t="str">
        <f>IFERROR(__xludf.DUMMYFUNCTION("""COMPUTED_VALUE"""),"TAM")</f>
        <v>TAM</v>
      </c>
      <c r="E17" s="9" t="str">
        <f>IFERROR(__xludf.DUMMYFUNCTION("""COMPUTED_VALUE"""),"NFL")</f>
        <v>NFL</v>
      </c>
      <c r="F17" s="9" t="str">
        <f>IFERROR(__xludf.DUMMYFUNCTION("""COMPUTED_VALUE"""),"RB")</f>
        <v>RB</v>
      </c>
      <c r="G17" s="9">
        <f>IFERROR(__xludf.DUMMYFUNCTION("""COMPUTED_VALUE"""),17.0)</f>
        <v>17</v>
      </c>
      <c r="H17" s="9">
        <f>IFERROR(__xludf.DUMMYFUNCTION("""COMPUTED_VALUE"""),17.0)</f>
        <v>17</v>
      </c>
      <c r="I17" s="9">
        <f>IFERROR(__xludf.DUMMYFUNCTION("""COMPUTED_VALUE"""),272.0)</f>
        <v>272</v>
      </c>
      <c r="J17" s="9">
        <f>IFERROR(__xludf.DUMMYFUNCTION("""COMPUTED_VALUE"""),990.0)</f>
        <v>990</v>
      </c>
      <c r="K17" s="9">
        <f>IFERROR(__xludf.DUMMYFUNCTION("""COMPUTED_VALUE"""),6.0)</f>
        <v>6</v>
      </c>
      <c r="L17" s="9">
        <f>IFERROR(__xludf.DUMMYFUNCTION("""COMPUTED_VALUE"""),46.0)</f>
        <v>46</v>
      </c>
      <c r="M17" s="9">
        <f>IFERROR(__xludf.DUMMYFUNCTION("""COMPUTED_VALUE"""),40.8)</f>
        <v>40.8</v>
      </c>
      <c r="N17" s="9">
        <f>IFERROR(__xludf.DUMMYFUNCTION("""COMPUTED_VALUE"""),38.0)</f>
        <v>38</v>
      </c>
      <c r="O17" s="9">
        <f>IFERROR(__xludf.DUMMYFUNCTION("""COMPUTED_VALUE"""),3.6)</f>
        <v>3.6</v>
      </c>
      <c r="P17" s="9">
        <f>IFERROR(__xludf.DUMMYFUNCTION("""COMPUTED_VALUE"""),58.2)</f>
        <v>58.2</v>
      </c>
      <c r="Q17" s="9">
        <f>IFERROR(__xludf.DUMMYFUNCTION("""COMPUTED_VALUE"""),16.0)</f>
        <v>16</v>
      </c>
      <c r="R17" s="9">
        <f>IFERROR(__xludf.DUMMYFUNCTION("""COMPUTED_VALUE"""),70.0)</f>
        <v>70</v>
      </c>
      <c r="S17" s="9">
        <f>IFERROR(__xludf.DUMMYFUNCTION("""COMPUTED_VALUE"""),64.0)</f>
        <v>64</v>
      </c>
      <c r="T17" s="9">
        <f>IFERROR(__xludf.DUMMYFUNCTION("""COMPUTED_VALUE"""),549.0)</f>
        <v>549</v>
      </c>
      <c r="U17" s="9">
        <f>IFERROR(__xludf.DUMMYFUNCTION("""COMPUTED_VALUE"""),8.6)</f>
        <v>8.6</v>
      </c>
      <c r="V17" s="9">
        <f>IFERROR(__xludf.DUMMYFUNCTION("""COMPUTED_VALUE"""),3.0)</f>
        <v>3</v>
      </c>
      <c r="W17" s="9">
        <f>IFERROR(__xludf.DUMMYFUNCTION("""COMPUTED_VALUE"""),23.0)</f>
        <v>23</v>
      </c>
      <c r="X17" s="9">
        <f>IFERROR(__xludf.DUMMYFUNCTION("""COMPUTED_VALUE"""),54.3)</f>
        <v>54.3</v>
      </c>
      <c r="Y17" s="9">
        <f>IFERROR(__xludf.DUMMYFUNCTION("""COMPUTED_VALUE"""),43.0)</f>
        <v>43</v>
      </c>
      <c r="Z17" s="9">
        <f>IFERROR(__xludf.DUMMYFUNCTION("""COMPUTED_VALUE"""),3.8)</f>
        <v>3.8</v>
      </c>
      <c r="AA17" s="9">
        <f>IFERROR(__xludf.DUMMYFUNCTION("""COMPUTED_VALUE"""),32.3)</f>
        <v>32.3</v>
      </c>
      <c r="AB17" s="9">
        <f>IFERROR(__xludf.DUMMYFUNCTION("""COMPUTED_VALUE"""),91.4)</f>
        <v>91.4</v>
      </c>
      <c r="AC17" s="9">
        <f>IFERROR(__xludf.DUMMYFUNCTION("""COMPUTED_VALUE"""),7.8)</f>
        <v>7.8</v>
      </c>
      <c r="AD17" s="9">
        <f>IFERROR(__xludf.DUMMYFUNCTION("""COMPUTED_VALUE"""),336.0)</f>
        <v>336</v>
      </c>
      <c r="AE17" s="9">
        <f>IFERROR(__xludf.DUMMYFUNCTION("""COMPUTED_VALUE"""),4.6)</f>
        <v>4.6</v>
      </c>
      <c r="AF17" s="9">
        <f>IFERROR(__xludf.DUMMYFUNCTION("""COMPUTED_VALUE"""),1539.0)</f>
        <v>1539</v>
      </c>
      <c r="AG17" s="9">
        <f>IFERROR(__xludf.DUMMYFUNCTION("""COMPUTED_VALUE"""),9.0)</f>
        <v>9</v>
      </c>
      <c r="AH17" s="9">
        <f>IFERROR(__xludf.DUMMYFUNCTION("""COMPUTED_VALUE"""),3.0)</f>
        <v>3</v>
      </c>
      <c r="AI17" s="9">
        <f>IFERROR(__xludf.DUMMYFUNCTION("""COMPUTED_VALUE"""),10.0)</f>
        <v>10</v>
      </c>
      <c r="AJ17" s="9">
        <f>IFERROR(__xludf.DUMMYFUNCTION("""COMPUTED_VALUE"""),0.0)</f>
        <v>0</v>
      </c>
      <c r="AK17" s="6" t="str">
        <f>IFERROR(__xludf.DUMMYFUNCTION("SPLIT(""Todd Bowles,Dave Canales,Baker Mayfield,Mike Evans,Chris Godwin,N/A,Tristan Wirfs,Aaron Stinnie,Robert Hainsey,Cody Mauch,Luke Goedeke"","","")"),"Todd Bowles")</f>
        <v>Todd Bowles</v>
      </c>
      <c r="AL17" s="9" t="str">
        <f>IFERROR(__xludf.DUMMYFUNCTION("""COMPUTED_VALUE"""),"Dave Canales")</f>
        <v>Dave Canales</v>
      </c>
      <c r="AM17" s="9" t="str">
        <f>IFERROR(__xludf.DUMMYFUNCTION("""COMPUTED_VALUE"""),"Baker Mayfield")</f>
        <v>Baker Mayfield</v>
      </c>
      <c r="AN17" s="9" t="str">
        <f>IFERROR(__xludf.DUMMYFUNCTION("""COMPUTED_VALUE"""),"Mike Evans")</f>
        <v>Mike Evans</v>
      </c>
      <c r="AO17" s="9" t="str">
        <f>IFERROR(__xludf.DUMMYFUNCTION("""COMPUTED_VALUE"""),"Chris Godwin")</f>
        <v>Chris Godwin</v>
      </c>
      <c r="AP17" s="9" t="str">
        <f>IFERROR(__xludf.DUMMYFUNCTION("""COMPUTED_VALUE"""),"N/A")</f>
        <v>N/A</v>
      </c>
      <c r="AQ17" s="9" t="str">
        <f>IFERROR(__xludf.DUMMYFUNCTION("""COMPUTED_VALUE"""),"Tristan Wirfs")</f>
        <v>Tristan Wirfs</v>
      </c>
      <c r="AR17" s="9" t="str">
        <f>IFERROR(__xludf.DUMMYFUNCTION("""COMPUTED_VALUE"""),"Aaron Stinnie")</f>
        <v>Aaron Stinnie</v>
      </c>
      <c r="AS17" s="9" t="str">
        <f>IFERROR(__xludf.DUMMYFUNCTION("""COMPUTED_VALUE"""),"Robert Hainsey")</f>
        <v>Robert Hainsey</v>
      </c>
      <c r="AT17" s="9" t="str">
        <f>IFERROR(__xludf.DUMMYFUNCTION("""COMPUTED_VALUE"""),"Cody Mauch")</f>
        <v>Cody Mauch</v>
      </c>
      <c r="AU17" s="9" t="str">
        <f>IFERROR(__xludf.DUMMYFUNCTION("""COMPUTED_VALUE"""),"Luke Goedeke")</f>
        <v>Luke Goedeke</v>
      </c>
    </row>
    <row r="18">
      <c r="A18" s="7" t="s">
        <v>63</v>
      </c>
      <c r="B18" s="8">
        <v>7.0</v>
      </c>
      <c r="C18" s="9">
        <f>IFERROR(__xludf.DUMMYFUNCTION("SPLIT(""28,BUF,NFL,RB,2,0,12,40,0,2,41.7,9,3.3,20.0,6.0,0,0,0,0,0,0,0,0,0.0,0.0,0,0,12,3.3,40,0,0,0,0,"","","")"),28.0)</f>
        <v>28</v>
      </c>
      <c r="D18" s="9" t="str">
        <f>IFERROR(__xludf.DUMMYFUNCTION("""COMPUTED_VALUE"""),"BUF")</f>
        <v>BUF</v>
      </c>
      <c r="E18" s="9" t="str">
        <f>IFERROR(__xludf.DUMMYFUNCTION("""COMPUTED_VALUE"""),"NFL")</f>
        <v>NFL</v>
      </c>
      <c r="F18" s="9" t="str">
        <f>IFERROR(__xludf.DUMMYFUNCTION("""COMPUTED_VALUE"""),"RB")</f>
        <v>RB</v>
      </c>
      <c r="G18" s="9">
        <f>IFERROR(__xludf.DUMMYFUNCTION("""COMPUTED_VALUE"""),2.0)</f>
        <v>2</v>
      </c>
      <c r="H18" s="9">
        <f>IFERROR(__xludf.DUMMYFUNCTION("""COMPUTED_VALUE"""),0.0)</f>
        <v>0</v>
      </c>
      <c r="I18" s="9">
        <f>IFERROR(__xludf.DUMMYFUNCTION("""COMPUTED_VALUE"""),12.0)</f>
        <v>12</v>
      </c>
      <c r="J18" s="9">
        <f>IFERROR(__xludf.DUMMYFUNCTION("""COMPUTED_VALUE"""),40.0)</f>
        <v>40</v>
      </c>
      <c r="K18" s="9">
        <f>IFERROR(__xludf.DUMMYFUNCTION("""COMPUTED_VALUE"""),0.0)</f>
        <v>0</v>
      </c>
      <c r="L18" s="9">
        <f>IFERROR(__xludf.DUMMYFUNCTION("""COMPUTED_VALUE"""),2.0)</f>
        <v>2</v>
      </c>
      <c r="M18" s="9">
        <f>IFERROR(__xludf.DUMMYFUNCTION("""COMPUTED_VALUE"""),41.7)</f>
        <v>41.7</v>
      </c>
      <c r="N18" s="9">
        <f>IFERROR(__xludf.DUMMYFUNCTION("""COMPUTED_VALUE"""),9.0)</f>
        <v>9</v>
      </c>
      <c r="O18" s="9">
        <f>IFERROR(__xludf.DUMMYFUNCTION("""COMPUTED_VALUE"""),3.3)</f>
        <v>3.3</v>
      </c>
      <c r="P18" s="9">
        <f>IFERROR(__xludf.DUMMYFUNCTION("""COMPUTED_VALUE"""),20.0)</f>
        <v>20</v>
      </c>
      <c r="Q18" s="9">
        <f>IFERROR(__xludf.DUMMYFUNCTION("""COMPUTED_VALUE"""),6.0)</f>
        <v>6</v>
      </c>
      <c r="R18" s="9">
        <f>IFERROR(__xludf.DUMMYFUNCTION("""COMPUTED_VALUE"""),0.0)</f>
        <v>0</v>
      </c>
      <c r="S18" s="9">
        <f>IFERROR(__xludf.DUMMYFUNCTION("""COMPUTED_VALUE"""),0.0)</f>
        <v>0</v>
      </c>
      <c r="T18" s="9">
        <f>IFERROR(__xludf.DUMMYFUNCTION("""COMPUTED_VALUE"""),0.0)</f>
        <v>0</v>
      </c>
      <c r="U18" s="9">
        <f>IFERROR(__xludf.DUMMYFUNCTION("""COMPUTED_VALUE"""),0.0)</f>
        <v>0</v>
      </c>
      <c r="V18" s="9">
        <f>IFERROR(__xludf.DUMMYFUNCTION("""COMPUTED_VALUE"""),0.0)</f>
        <v>0</v>
      </c>
      <c r="W18" s="9">
        <f>IFERROR(__xludf.DUMMYFUNCTION("""COMPUTED_VALUE"""),0.0)</f>
        <v>0</v>
      </c>
      <c r="X18" s="9">
        <f>IFERROR(__xludf.DUMMYFUNCTION("""COMPUTED_VALUE"""),0.0)</f>
        <v>0</v>
      </c>
      <c r="Y18" s="9">
        <f>IFERROR(__xludf.DUMMYFUNCTION("""COMPUTED_VALUE"""),0.0)</f>
        <v>0</v>
      </c>
      <c r="Z18" s="9">
        <f>IFERROR(__xludf.DUMMYFUNCTION("""COMPUTED_VALUE"""),0.0)</f>
        <v>0</v>
      </c>
      <c r="AA18" s="9">
        <f>IFERROR(__xludf.DUMMYFUNCTION("""COMPUTED_VALUE"""),0.0)</f>
        <v>0</v>
      </c>
      <c r="AB18" s="9">
        <f>IFERROR(__xludf.DUMMYFUNCTION("""COMPUTED_VALUE"""),0.0)</f>
        <v>0</v>
      </c>
      <c r="AC18" s="9">
        <f>IFERROR(__xludf.DUMMYFUNCTION("""COMPUTED_VALUE"""),0.0)</f>
        <v>0</v>
      </c>
      <c r="AD18" s="9">
        <f>IFERROR(__xludf.DUMMYFUNCTION("""COMPUTED_VALUE"""),12.0)</f>
        <v>12</v>
      </c>
      <c r="AE18" s="9">
        <f>IFERROR(__xludf.DUMMYFUNCTION("""COMPUTED_VALUE"""),3.3)</f>
        <v>3.3</v>
      </c>
      <c r="AF18" s="9">
        <f>IFERROR(__xludf.DUMMYFUNCTION("""COMPUTED_VALUE"""),40.0)</f>
        <v>40</v>
      </c>
      <c r="AG18" s="9">
        <f>IFERROR(__xludf.DUMMYFUNCTION("""COMPUTED_VALUE"""),0.0)</f>
        <v>0</v>
      </c>
      <c r="AH18" s="9">
        <f>IFERROR(__xludf.DUMMYFUNCTION("""COMPUTED_VALUE"""),0.0)</f>
        <v>0</v>
      </c>
      <c r="AI18" s="9">
        <f>IFERROR(__xludf.DUMMYFUNCTION("""COMPUTED_VALUE"""),0.0)</f>
        <v>0</v>
      </c>
      <c r="AJ18" s="9">
        <f>IFERROR(__xludf.DUMMYFUNCTION("""COMPUTED_VALUE"""),0.0)</f>
        <v>0</v>
      </c>
      <c r="AK18" s="6" t="str">
        <f>IFERROR(__xludf.DUMMYFUNCTION("SPLIT(""Sean McDermott,Joe Brady,Josh Allen,Gabriel Davis,Stefon Diggs,N/A,Dion Dawkins,Connor McGovern,Mitch Morse,O'Cyrus Torrence,Spencer Brown"","","")"),"Sean McDermott")</f>
        <v>Sean McDermott</v>
      </c>
      <c r="AL18" s="9" t="str">
        <f>IFERROR(__xludf.DUMMYFUNCTION("""COMPUTED_VALUE"""),"Joe Brady")</f>
        <v>Joe Brady</v>
      </c>
      <c r="AM18" s="9" t="str">
        <f>IFERROR(__xludf.DUMMYFUNCTION("""COMPUTED_VALUE"""),"Josh Allen")</f>
        <v>Josh Allen</v>
      </c>
      <c r="AN18" s="9" t="str">
        <f>IFERROR(__xludf.DUMMYFUNCTION("""COMPUTED_VALUE"""),"Gabriel Davis")</f>
        <v>Gabriel Davis</v>
      </c>
      <c r="AO18" s="9" t="str">
        <f>IFERROR(__xludf.DUMMYFUNCTION("""COMPUTED_VALUE"""),"Stefon Diggs")</f>
        <v>Stefon Diggs</v>
      </c>
      <c r="AP18" s="9" t="str">
        <f>IFERROR(__xludf.DUMMYFUNCTION("""COMPUTED_VALUE"""),"N/A")</f>
        <v>N/A</v>
      </c>
      <c r="AQ18" s="9" t="str">
        <f>IFERROR(__xludf.DUMMYFUNCTION("""COMPUTED_VALUE"""),"Dion Dawkins")</f>
        <v>Dion Dawkins</v>
      </c>
      <c r="AR18" s="9" t="str">
        <f>IFERROR(__xludf.DUMMYFUNCTION("""COMPUTED_VALUE"""),"Connor McGovern")</f>
        <v>Connor McGovern</v>
      </c>
      <c r="AS18" s="9" t="str">
        <f>IFERROR(__xludf.DUMMYFUNCTION("""COMPUTED_VALUE"""),"Mitch Morse")</f>
        <v>Mitch Morse</v>
      </c>
      <c r="AT18" s="9" t="str">
        <f>IFERROR(__xludf.DUMMYFUNCTION("""COMPUTED_VALUE"""),"O'Cyrus Torrence")</f>
        <v>O'Cyrus Torrence</v>
      </c>
      <c r="AU18" s="9" t="str">
        <f>IFERROR(__xludf.DUMMYFUNCTION("""COMPUTED_VALUE"""),"Spencer Brown")</f>
        <v>Spencer Brown</v>
      </c>
    </row>
    <row r="19">
      <c r="A19" s="7" t="s">
        <v>64</v>
      </c>
      <c r="B19" s="8">
        <v>8.0</v>
      </c>
      <c r="C19" s="9">
        <f>IFERROR(__xludf.DUMMYFUNCTION("SPLIT(""29,TEN,NFL,RB,17,17,280,1167,12,63,46.1,69,4.2,68.6,16.5,36,28,214,7.6,0,7,44.4,46,1.6,12.6,77.8,5.9,308,4.5,1381,12,0,9,PB,"","","")"),29.0)</f>
        <v>29</v>
      </c>
      <c r="D19" s="9" t="str">
        <f>IFERROR(__xludf.DUMMYFUNCTION("""COMPUTED_VALUE"""),"TEN")</f>
        <v>TEN</v>
      </c>
      <c r="E19" s="9" t="str">
        <f>IFERROR(__xludf.DUMMYFUNCTION("""COMPUTED_VALUE"""),"NFL")</f>
        <v>NFL</v>
      </c>
      <c r="F19" s="9" t="str">
        <f>IFERROR(__xludf.DUMMYFUNCTION("""COMPUTED_VALUE"""),"RB")</f>
        <v>RB</v>
      </c>
      <c r="G19" s="9">
        <f>IFERROR(__xludf.DUMMYFUNCTION("""COMPUTED_VALUE"""),17.0)</f>
        <v>17</v>
      </c>
      <c r="H19" s="9">
        <f>IFERROR(__xludf.DUMMYFUNCTION("""COMPUTED_VALUE"""),17.0)</f>
        <v>17</v>
      </c>
      <c r="I19" s="9">
        <f>IFERROR(__xludf.DUMMYFUNCTION("""COMPUTED_VALUE"""),280.0)</f>
        <v>280</v>
      </c>
      <c r="J19" s="9">
        <f>IFERROR(__xludf.DUMMYFUNCTION("""COMPUTED_VALUE"""),1167.0)</f>
        <v>1167</v>
      </c>
      <c r="K19" s="9">
        <f>IFERROR(__xludf.DUMMYFUNCTION("""COMPUTED_VALUE"""),12.0)</f>
        <v>12</v>
      </c>
      <c r="L19" s="9">
        <f>IFERROR(__xludf.DUMMYFUNCTION("""COMPUTED_VALUE"""),63.0)</f>
        <v>63</v>
      </c>
      <c r="M19" s="9">
        <f>IFERROR(__xludf.DUMMYFUNCTION("""COMPUTED_VALUE"""),46.1)</f>
        <v>46.1</v>
      </c>
      <c r="N19" s="9">
        <f>IFERROR(__xludf.DUMMYFUNCTION("""COMPUTED_VALUE"""),69.0)</f>
        <v>69</v>
      </c>
      <c r="O19" s="9">
        <f>IFERROR(__xludf.DUMMYFUNCTION("""COMPUTED_VALUE"""),4.2)</f>
        <v>4.2</v>
      </c>
      <c r="P19" s="9">
        <f>IFERROR(__xludf.DUMMYFUNCTION("""COMPUTED_VALUE"""),68.6)</f>
        <v>68.6</v>
      </c>
      <c r="Q19" s="9">
        <f>IFERROR(__xludf.DUMMYFUNCTION("""COMPUTED_VALUE"""),16.5)</f>
        <v>16.5</v>
      </c>
      <c r="R19" s="9">
        <f>IFERROR(__xludf.DUMMYFUNCTION("""COMPUTED_VALUE"""),36.0)</f>
        <v>36</v>
      </c>
      <c r="S19" s="9">
        <f>IFERROR(__xludf.DUMMYFUNCTION("""COMPUTED_VALUE"""),28.0)</f>
        <v>28</v>
      </c>
      <c r="T19" s="9">
        <f>IFERROR(__xludf.DUMMYFUNCTION("""COMPUTED_VALUE"""),214.0)</f>
        <v>214</v>
      </c>
      <c r="U19" s="9">
        <f>IFERROR(__xludf.DUMMYFUNCTION("""COMPUTED_VALUE"""),7.6)</f>
        <v>7.6</v>
      </c>
      <c r="V19" s="9">
        <f>IFERROR(__xludf.DUMMYFUNCTION("""COMPUTED_VALUE"""),0.0)</f>
        <v>0</v>
      </c>
      <c r="W19" s="9">
        <f>IFERROR(__xludf.DUMMYFUNCTION("""COMPUTED_VALUE"""),7.0)</f>
        <v>7</v>
      </c>
      <c r="X19" s="9">
        <f>IFERROR(__xludf.DUMMYFUNCTION("""COMPUTED_VALUE"""),44.4)</f>
        <v>44.4</v>
      </c>
      <c r="Y19" s="9">
        <f>IFERROR(__xludf.DUMMYFUNCTION("""COMPUTED_VALUE"""),46.0)</f>
        <v>46</v>
      </c>
      <c r="Z19" s="9">
        <f>IFERROR(__xludf.DUMMYFUNCTION("""COMPUTED_VALUE"""),1.6)</f>
        <v>1.6</v>
      </c>
      <c r="AA19" s="9">
        <f>IFERROR(__xludf.DUMMYFUNCTION("""COMPUTED_VALUE"""),12.6)</f>
        <v>12.6</v>
      </c>
      <c r="AB19" s="9">
        <f>IFERROR(__xludf.DUMMYFUNCTION("""COMPUTED_VALUE"""),77.8)</f>
        <v>77.8</v>
      </c>
      <c r="AC19" s="9">
        <f>IFERROR(__xludf.DUMMYFUNCTION("""COMPUTED_VALUE"""),5.9)</f>
        <v>5.9</v>
      </c>
      <c r="AD19" s="9">
        <f>IFERROR(__xludf.DUMMYFUNCTION("""COMPUTED_VALUE"""),308.0)</f>
        <v>308</v>
      </c>
      <c r="AE19" s="9">
        <f>IFERROR(__xludf.DUMMYFUNCTION("""COMPUTED_VALUE"""),4.5)</f>
        <v>4.5</v>
      </c>
      <c r="AF19" s="9">
        <f>IFERROR(__xludf.DUMMYFUNCTION("""COMPUTED_VALUE"""),1381.0)</f>
        <v>1381</v>
      </c>
      <c r="AG19" s="9">
        <f>IFERROR(__xludf.DUMMYFUNCTION("""COMPUTED_VALUE"""),12.0)</f>
        <v>12</v>
      </c>
      <c r="AH19" s="9">
        <f>IFERROR(__xludf.DUMMYFUNCTION("""COMPUTED_VALUE"""),0.0)</f>
        <v>0</v>
      </c>
      <c r="AI19" s="9">
        <f>IFERROR(__xludf.DUMMYFUNCTION("""COMPUTED_VALUE"""),9.0)</f>
        <v>9</v>
      </c>
      <c r="AJ19" s="9" t="str">
        <f>IFERROR(__xludf.DUMMYFUNCTION("""COMPUTED_VALUE"""),"PB")</f>
        <v>PB</v>
      </c>
      <c r="AK19" s="6" t="str">
        <f>IFERROR(__xludf.DUMMYFUNCTION("SPLIT(""Mike Vrabel,Tim Kelly,Will Levis,Treylon Burks,DeAndre Hopkins,N/A,Andre Dillard,Peter Skoronski,Aaron Brewer,Daniel Brunskill,Chris Hubbard"","","")"),"Mike Vrabel")</f>
        <v>Mike Vrabel</v>
      </c>
      <c r="AL19" s="9" t="str">
        <f>IFERROR(__xludf.DUMMYFUNCTION("""COMPUTED_VALUE"""),"Tim Kelly")</f>
        <v>Tim Kelly</v>
      </c>
      <c r="AM19" s="9" t="str">
        <f>IFERROR(__xludf.DUMMYFUNCTION("""COMPUTED_VALUE"""),"Will Levis")</f>
        <v>Will Levis</v>
      </c>
      <c r="AN19" s="9" t="str">
        <f>IFERROR(__xludf.DUMMYFUNCTION("""COMPUTED_VALUE"""),"Treylon Burks")</f>
        <v>Treylon Burks</v>
      </c>
      <c r="AO19" s="9" t="str">
        <f>IFERROR(__xludf.DUMMYFUNCTION("""COMPUTED_VALUE"""),"DeAndre Hopkins")</f>
        <v>DeAndre Hopkins</v>
      </c>
      <c r="AP19" s="9" t="str">
        <f>IFERROR(__xludf.DUMMYFUNCTION("""COMPUTED_VALUE"""),"N/A")</f>
        <v>N/A</v>
      </c>
      <c r="AQ19" s="9" t="str">
        <f>IFERROR(__xludf.DUMMYFUNCTION("""COMPUTED_VALUE"""),"Andre Dillard")</f>
        <v>Andre Dillard</v>
      </c>
      <c r="AR19" s="9" t="str">
        <f>IFERROR(__xludf.DUMMYFUNCTION("""COMPUTED_VALUE"""),"Peter Skoronski")</f>
        <v>Peter Skoronski</v>
      </c>
      <c r="AS19" s="9" t="str">
        <f>IFERROR(__xludf.DUMMYFUNCTION("""COMPUTED_VALUE"""),"Aaron Brewer")</f>
        <v>Aaron Brewer</v>
      </c>
      <c r="AT19" s="9" t="str">
        <f>IFERROR(__xludf.DUMMYFUNCTION("""COMPUTED_VALUE"""),"Daniel Brunskill")</f>
        <v>Daniel Brunskill</v>
      </c>
      <c r="AU19" s="9" t="str">
        <f>IFERROR(__xludf.DUMMYFUNCTION("""COMPUTED_VALUE"""),"Chris Hubbard")</f>
        <v>Chris Hubbard</v>
      </c>
    </row>
    <row r="20">
      <c r="A20" s="8" t="s">
        <v>65</v>
      </c>
      <c r="B20" s="8">
        <v>2.0</v>
      </c>
      <c r="C20" s="9">
        <f>IFERROR(__xludf.DUMMYFUNCTION("SPLIT(""24,WAS,NFL,RB,15,15,178,733,5,47,47.8,29,4.1,48.9,11.9,43,36,368,10.2,4,15,53.5,51,2.4,24.5,83.7,8.6,214,5.1,1101,9,4,7,0,"","","")"),24.0)</f>
        <v>24</v>
      </c>
      <c r="D20" s="9" t="str">
        <f>IFERROR(__xludf.DUMMYFUNCTION("""COMPUTED_VALUE"""),"WAS")</f>
        <v>WAS</v>
      </c>
      <c r="E20" s="9" t="str">
        <f>IFERROR(__xludf.DUMMYFUNCTION("""COMPUTED_VALUE"""),"NFL")</f>
        <v>NFL</v>
      </c>
      <c r="F20" s="9" t="str">
        <f>IFERROR(__xludf.DUMMYFUNCTION("""COMPUTED_VALUE"""),"RB")</f>
        <v>RB</v>
      </c>
      <c r="G20" s="9">
        <f>IFERROR(__xludf.DUMMYFUNCTION("""COMPUTED_VALUE"""),15.0)</f>
        <v>15</v>
      </c>
      <c r="H20" s="9">
        <f>IFERROR(__xludf.DUMMYFUNCTION("""COMPUTED_VALUE"""),15.0)</f>
        <v>15</v>
      </c>
      <c r="I20" s="9">
        <f>IFERROR(__xludf.DUMMYFUNCTION("""COMPUTED_VALUE"""),178.0)</f>
        <v>178</v>
      </c>
      <c r="J20" s="9">
        <f>IFERROR(__xludf.DUMMYFUNCTION("""COMPUTED_VALUE"""),733.0)</f>
        <v>733</v>
      </c>
      <c r="K20" s="9">
        <f>IFERROR(__xludf.DUMMYFUNCTION("""COMPUTED_VALUE"""),5.0)</f>
        <v>5</v>
      </c>
      <c r="L20" s="9">
        <f>IFERROR(__xludf.DUMMYFUNCTION("""COMPUTED_VALUE"""),47.0)</f>
        <v>47</v>
      </c>
      <c r="M20" s="9">
        <f>IFERROR(__xludf.DUMMYFUNCTION("""COMPUTED_VALUE"""),47.8)</f>
        <v>47.8</v>
      </c>
      <c r="N20" s="9">
        <f>IFERROR(__xludf.DUMMYFUNCTION("""COMPUTED_VALUE"""),29.0)</f>
        <v>29</v>
      </c>
      <c r="O20" s="9">
        <f>IFERROR(__xludf.DUMMYFUNCTION("""COMPUTED_VALUE"""),4.1)</f>
        <v>4.1</v>
      </c>
      <c r="P20" s="9">
        <f>IFERROR(__xludf.DUMMYFUNCTION("""COMPUTED_VALUE"""),48.9)</f>
        <v>48.9</v>
      </c>
      <c r="Q20" s="9">
        <f>IFERROR(__xludf.DUMMYFUNCTION("""COMPUTED_VALUE"""),11.9)</f>
        <v>11.9</v>
      </c>
      <c r="R20" s="9">
        <f>IFERROR(__xludf.DUMMYFUNCTION("""COMPUTED_VALUE"""),43.0)</f>
        <v>43</v>
      </c>
      <c r="S20" s="9">
        <f>IFERROR(__xludf.DUMMYFUNCTION("""COMPUTED_VALUE"""),36.0)</f>
        <v>36</v>
      </c>
      <c r="T20" s="9">
        <f>IFERROR(__xludf.DUMMYFUNCTION("""COMPUTED_VALUE"""),368.0)</f>
        <v>368</v>
      </c>
      <c r="U20" s="9">
        <f>IFERROR(__xludf.DUMMYFUNCTION("""COMPUTED_VALUE"""),10.2)</f>
        <v>10.2</v>
      </c>
      <c r="V20" s="9">
        <f>IFERROR(__xludf.DUMMYFUNCTION("""COMPUTED_VALUE"""),4.0)</f>
        <v>4</v>
      </c>
      <c r="W20" s="9">
        <f>IFERROR(__xludf.DUMMYFUNCTION("""COMPUTED_VALUE"""),15.0)</f>
        <v>15</v>
      </c>
      <c r="X20" s="9">
        <f>IFERROR(__xludf.DUMMYFUNCTION("""COMPUTED_VALUE"""),53.5)</f>
        <v>53.5</v>
      </c>
      <c r="Y20" s="9">
        <f>IFERROR(__xludf.DUMMYFUNCTION("""COMPUTED_VALUE"""),51.0)</f>
        <v>51</v>
      </c>
      <c r="Z20" s="9">
        <f>IFERROR(__xludf.DUMMYFUNCTION("""COMPUTED_VALUE"""),2.4)</f>
        <v>2.4</v>
      </c>
      <c r="AA20" s="9">
        <f>IFERROR(__xludf.DUMMYFUNCTION("""COMPUTED_VALUE"""),24.5)</f>
        <v>24.5</v>
      </c>
      <c r="AB20" s="9">
        <f>IFERROR(__xludf.DUMMYFUNCTION("""COMPUTED_VALUE"""),83.7)</f>
        <v>83.7</v>
      </c>
      <c r="AC20" s="9">
        <f>IFERROR(__xludf.DUMMYFUNCTION("""COMPUTED_VALUE"""),8.6)</f>
        <v>8.6</v>
      </c>
      <c r="AD20" s="9">
        <f>IFERROR(__xludf.DUMMYFUNCTION("""COMPUTED_VALUE"""),214.0)</f>
        <v>214</v>
      </c>
      <c r="AE20" s="9">
        <f>IFERROR(__xludf.DUMMYFUNCTION("""COMPUTED_VALUE"""),5.1)</f>
        <v>5.1</v>
      </c>
      <c r="AF20" s="9">
        <f>IFERROR(__xludf.DUMMYFUNCTION("""COMPUTED_VALUE"""),1101.0)</f>
        <v>1101</v>
      </c>
      <c r="AG20" s="9">
        <f>IFERROR(__xludf.DUMMYFUNCTION("""COMPUTED_VALUE"""),9.0)</f>
        <v>9</v>
      </c>
      <c r="AH20" s="9">
        <f>IFERROR(__xludf.DUMMYFUNCTION("""COMPUTED_VALUE"""),4.0)</f>
        <v>4</v>
      </c>
      <c r="AI20" s="9">
        <f>IFERROR(__xludf.DUMMYFUNCTION("""COMPUTED_VALUE"""),7.0)</f>
        <v>7</v>
      </c>
      <c r="AJ20" s="9">
        <f>IFERROR(__xludf.DUMMYFUNCTION("""COMPUTED_VALUE"""),0.0)</f>
        <v>0</v>
      </c>
      <c r="AK20" s="6" t="str">
        <f>IFERROR(__xludf.DUMMYFUNCTION("SPLIT(""Ron Rivera,Eric Bieniemy,Sam Howell,Jahan Dotson,Terry McLaurin,N/A,Charles Leno Jr.,Saahdiq Charles,Nick Gates,Samuel Cosmi,Andrew Wylie"","","")"),"Ron Rivera")</f>
        <v>Ron Rivera</v>
      </c>
      <c r="AL20" s="9" t="str">
        <f>IFERROR(__xludf.DUMMYFUNCTION("""COMPUTED_VALUE"""),"Eric Bieniemy")</f>
        <v>Eric Bieniemy</v>
      </c>
      <c r="AM20" s="9" t="str">
        <f>IFERROR(__xludf.DUMMYFUNCTION("""COMPUTED_VALUE"""),"Sam Howell")</f>
        <v>Sam Howell</v>
      </c>
      <c r="AN20" s="9" t="str">
        <f>IFERROR(__xludf.DUMMYFUNCTION("""COMPUTED_VALUE"""),"Jahan Dotson")</f>
        <v>Jahan Dotson</v>
      </c>
      <c r="AO20" s="9" t="str">
        <f>IFERROR(__xludf.DUMMYFUNCTION("""COMPUTED_VALUE"""),"Terry McLaurin")</f>
        <v>Terry McLaurin</v>
      </c>
      <c r="AP20" s="9" t="str">
        <f>IFERROR(__xludf.DUMMYFUNCTION("""COMPUTED_VALUE"""),"N/A")</f>
        <v>N/A</v>
      </c>
      <c r="AQ20" s="9" t="str">
        <f>IFERROR(__xludf.DUMMYFUNCTION("""COMPUTED_VALUE"""),"Charles Leno Jr.")</f>
        <v>Charles Leno Jr.</v>
      </c>
      <c r="AR20" s="9" t="str">
        <f>IFERROR(__xludf.DUMMYFUNCTION("""COMPUTED_VALUE"""),"Saahdiq Charles")</f>
        <v>Saahdiq Charles</v>
      </c>
      <c r="AS20" s="9" t="str">
        <f>IFERROR(__xludf.DUMMYFUNCTION("""COMPUTED_VALUE"""),"Nick Gates")</f>
        <v>Nick Gates</v>
      </c>
      <c r="AT20" s="9" t="str">
        <f>IFERROR(__xludf.DUMMYFUNCTION("""COMPUTED_VALUE"""),"Samuel Cosmi")</f>
        <v>Samuel Cosmi</v>
      </c>
      <c r="AU20" s="9" t="str">
        <f>IFERROR(__xludf.DUMMYFUNCTION("""COMPUTED_VALUE"""),"Andrew Wylie")</f>
        <v>Andrew Wylie</v>
      </c>
    </row>
    <row r="21">
      <c r="A21" s="11" t="s">
        <v>66</v>
      </c>
      <c r="B21" s="8">
        <v>4.0</v>
      </c>
      <c r="C21" s="9">
        <f>IFERROR(__xludf.DUMMYFUNCTION("SPLIT(""25,WAS,NFL,RB,16,2,65,265,1,13,43.1,16,4.1,16.6,4.1,59,48,389,8.1,2,19,44.1,41,3.0,24.3,81.4,6.6,113,5.8,654,3,4,5,0,"","","")"),25.0)</f>
        <v>25</v>
      </c>
      <c r="D21" s="9" t="str">
        <f>IFERROR(__xludf.DUMMYFUNCTION("""COMPUTED_VALUE"""),"WAS")</f>
        <v>WAS</v>
      </c>
      <c r="E21" s="9" t="str">
        <f>IFERROR(__xludf.DUMMYFUNCTION("""COMPUTED_VALUE"""),"NFL")</f>
        <v>NFL</v>
      </c>
      <c r="F21" s="9" t="str">
        <f>IFERROR(__xludf.DUMMYFUNCTION("""COMPUTED_VALUE"""),"RB")</f>
        <v>RB</v>
      </c>
      <c r="G21" s="9">
        <f>IFERROR(__xludf.DUMMYFUNCTION("""COMPUTED_VALUE"""),16.0)</f>
        <v>16</v>
      </c>
      <c r="H21" s="9">
        <f>IFERROR(__xludf.DUMMYFUNCTION("""COMPUTED_VALUE"""),2.0)</f>
        <v>2</v>
      </c>
      <c r="I21" s="9">
        <f>IFERROR(__xludf.DUMMYFUNCTION("""COMPUTED_VALUE"""),65.0)</f>
        <v>65</v>
      </c>
      <c r="J21" s="9">
        <f>IFERROR(__xludf.DUMMYFUNCTION("""COMPUTED_VALUE"""),265.0)</f>
        <v>265</v>
      </c>
      <c r="K21" s="9">
        <f>IFERROR(__xludf.DUMMYFUNCTION("""COMPUTED_VALUE"""),1.0)</f>
        <v>1</v>
      </c>
      <c r="L21" s="9">
        <f>IFERROR(__xludf.DUMMYFUNCTION("""COMPUTED_VALUE"""),13.0)</f>
        <v>13</v>
      </c>
      <c r="M21" s="9">
        <f>IFERROR(__xludf.DUMMYFUNCTION("""COMPUTED_VALUE"""),43.1)</f>
        <v>43.1</v>
      </c>
      <c r="N21" s="9">
        <f>IFERROR(__xludf.DUMMYFUNCTION("""COMPUTED_VALUE"""),16.0)</f>
        <v>16</v>
      </c>
      <c r="O21" s="9">
        <f>IFERROR(__xludf.DUMMYFUNCTION("""COMPUTED_VALUE"""),4.1)</f>
        <v>4.1</v>
      </c>
      <c r="P21" s="9">
        <f>IFERROR(__xludf.DUMMYFUNCTION("""COMPUTED_VALUE"""),16.6)</f>
        <v>16.6</v>
      </c>
      <c r="Q21" s="9">
        <f>IFERROR(__xludf.DUMMYFUNCTION("""COMPUTED_VALUE"""),4.1)</f>
        <v>4.1</v>
      </c>
      <c r="R21" s="9">
        <f>IFERROR(__xludf.DUMMYFUNCTION("""COMPUTED_VALUE"""),59.0)</f>
        <v>59</v>
      </c>
      <c r="S21" s="9">
        <f>IFERROR(__xludf.DUMMYFUNCTION("""COMPUTED_VALUE"""),48.0)</f>
        <v>48</v>
      </c>
      <c r="T21" s="9">
        <f>IFERROR(__xludf.DUMMYFUNCTION("""COMPUTED_VALUE"""),389.0)</f>
        <v>389</v>
      </c>
      <c r="U21" s="9">
        <f>IFERROR(__xludf.DUMMYFUNCTION("""COMPUTED_VALUE"""),8.1)</f>
        <v>8.1</v>
      </c>
      <c r="V21" s="9">
        <f>IFERROR(__xludf.DUMMYFUNCTION("""COMPUTED_VALUE"""),2.0)</f>
        <v>2</v>
      </c>
      <c r="W21" s="9">
        <f>IFERROR(__xludf.DUMMYFUNCTION("""COMPUTED_VALUE"""),19.0)</f>
        <v>19</v>
      </c>
      <c r="X21" s="9">
        <f>IFERROR(__xludf.DUMMYFUNCTION("""COMPUTED_VALUE"""),44.1)</f>
        <v>44.1</v>
      </c>
      <c r="Y21" s="9">
        <f>IFERROR(__xludf.DUMMYFUNCTION("""COMPUTED_VALUE"""),41.0)</f>
        <v>41</v>
      </c>
      <c r="Z21" s="9">
        <f>IFERROR(__xludf.DUMMYFUNCTION("""COMPUTED_VALUE"""),3.0)</f>
        <v>3</v>
      </c>
      <c r="AA21" s="9">
        <f>IFERROR(__xludf.DUMMYFUNCTION("""COMPUTED_VALUE"""),24.3)</f>
        <v>24.3</v>
      </c>
      <c r="AB21" s="9">
        <f>IFERROR(__xludf.DUMMYFUNCTION("""COMPUTED_VALUE"""),81.4)</f>
        <v>81.4</v>
      </c>
      <c r="AC21" s="9">
        <f>IFERROR(__xludf.DUMMYFUNCTION("""COMPUTED_VALUE"""),6.6)</f>
        <v>6.6</v>
      </c>
      <c r="AD21" s="9">
        <f>IFERROR(__xludf.DUMMYFUNCTION("""COMPUTED_VALUE"""),113.0)</f>
        <v>113</v>
      </c>
      <c r="AE21" s="9">
        <f>IFERROR(__xludf.DUMMYFUNCTION("""COMPUTED_VALUE"""),5.8)</f>
        <v>5.8</v>
      </c>
      <c r="AF21" s="9">
        <f>IFERROR(__xludf.DUMMYFUNCTION("""COMPUTED_VALUE"""),654.0)</f>
        <v>654</v>
      </c>
      <c r="AG21" s="9">
        <f>IFERROR(__xludf.DUMMYFUNCTION("""COMPUTED_VALUE"""),3.0)</f>
        <v>3</v>
      </c>
      <c r="AH21" s="9">
        <f>IFERROR(__xludf.DUMMYFUNCTION("""COMPUTED_VALUE"""),4.0)</f>
        <v>4</v>
      </c>
      <c r="AI21" s="9">
        <f>IFERROR(__xludf.DUMMYFUNCTION("""COMPUTED_VALUE"""),5.0)</f>
        <v>5</v>
      </c>
      <c r="AJ21" s="9">
        <f>IFERROR(__xludf.DUMMYFUNCTION("""COMPUTED_VALUE"""),0.0)</f>
        <v>0</v>
      </c>
      <c r="AK21" s="6" t="str">
        <f>IFERROR(__xludf.DUMMYFUNCTION("SPLIT(""Ron Rivera,Eric Bieniemy,Sam Howell,Jahan Dotson,Terry McLaurin,N/A,Charles Leno Jr.,Saahdiq Charles,Nick Gates,Samuel Cosmi,Andrew Wylie"","","")"),"Ron Rivera")</f>
        <v>Ron Rivera</v>
      </c>
      <c r="AL21" s="9" t="str">
        <f>IFERROR(__xludf.DUMMYFUNCTION("""COMPUTED_VALUE"""),"Eric Bieniemy")</f>
        <v>Eric Bieniemy</v>
      </c>
      <c r="AM21" s="9" t="str">
        <f>IFERROR(__xludf.DUMMYFUNCTION("""COMPUTED_VALUE"""),"Sam Howell")</f>
        <v>Sam Howell</v>
      </c>
      <c r="AN21" s="9" t="str">
        <f>IFERROR(__xludf.DUMMYFUNCTION("""COMPUTED_VALUE"""),"Jahan Dotson")</f>
        <v>Jahan Dotson</v>
      </c>
      <c r="AO21" s="9" t="str">
        <f>IFERROR(__xludf.DUMMYFUNCTION("""COMPUTED_VALUE"""),"Terry McLaurin")</f>
        <v>Terry McLaurin</v>
      </c>
      <c r="AP21" s="9" t="str">
        <f>IFERROR(__xludf.DUMMYFUNCTION("""COMPUTED_VALUE"""),"N/A")</f>
        <v>N/A</v>
      </c>
      <c r="AQ21" s="9" t="str">
        <f>IFERROR(__xludf.DUMMYFUNCTION("""COMPUTED_VALUE"""),"Charles Leno Jr.")</f>
        <v>Charles Leno Jr.</v>
      </c>
      <c r="AR21" s="9" t="str">
        <f>IFERROR(__xludf.DUMMYFUNCTION("""COMPUTED_VALUE"""),"Saahdiq Charles")</f>
        <v>Saahdiq Charles</v>
      </c>
      <c r="AS21" s="9" t="str">
        <f>IFERROR(__xludf.DUMMYFUNCTION("""COMPUTED_VALUE"""),"Nick Gates")</f>
        <v>Nick Gates</v>
      </c>
      <c r="AT21" s="9" t="str">
        <f>IFERROR(__xludf.DUMMYFUNCTION("""COMPUTED_VALUE"""),"Samuel Cosmi")</f>
        <v>Samuel Cosmi</v>
      </c>
      <c r="AU21" s="9" t="str">
        <f>IFERROR(__xludf.DUMMYFUNCTION("""COMPUTED_VALUE"""),"Andrew Wylie")</f>
        <v>Andrew Wylie</v>
      </c>
    </row>
    <row r="22">
      <c r="A22" s="11" t="s">
        <v>67</v>
      </c>
      <c r="B22" s="8">
        <v>7.0</v>
      </c>
      <c r="C22" s="9">
        <f>IFERROR(__xludf.DUMMYFUNCTION("SPLIT(""28,DEN,NFL,RB,17,1,53,238,1,14,50.9,24,4.5,14.0,3.1,56,50,455,9.1,0,23,67.9,29,2.9,26.8,89.3,8.1,103,6.7,693,1,3,6,0,"","","")"),28.0)</f>
        <v>28</v>
      </c>
      <c r="D22" s="9" t="str">
        <f>IFERROR(__xludf.DUMMYFUNCTION("""COMPUTED_VALUE"""),"DEN")</f>
        <v>DEN</v>
      </c>
      <c r="E22" s="9" t="str">
        <f>IFERROR(__xludf.DUMMYFUNCTION("""COMPUTED_VALUE"""),"NFL")</f>
        <v>NFL</v>
      </c>
      <c r="F22" s="9" t="str">
        <f>IFERROR(__xludf.DUMMYFUNCTION("""COMPUTED_VALUE"""),"RB")</f>
        <v>RB</v>
      </c>
      <c r="G22" s="9">
        <f>IFERROR(__xludf.DUMMYFUNCTION("""COMPUTED_VALUE"""),17.0)</f>
        <v>17</v>
      </c>
      <c r="H22" s="9">
        <f>IFERROR(__xludf.DUMMYFUNCTION("""COMPUTED_VALUE"""),1.0)</f>
        <v>1</v>
      </c>
      <c r="I22" s="9">
        <f>IFERROR(__xludf.DUMMYFUNCTION("""COMPUTED_VALUE"""),53.0)</f>
        <v>53</v>
      </c>
      <c r="J22" s="9">
        <f>IFERROR(__xludf.DUMMYFUNCTION("""COMPUTED_VALUE"""),238.0)</f>
        <v>238</v>
      </c>
      <c r="K22" s="9">
        <f>IFERROR(__xludf.DUMMYFUNCTION("""COMPUTED_VALUE"""),1.0)</f>
        <v>1</v>
      </c>
      <c r="L22" s="9">
        <f>IFERROR(__xludf.DUMMYFUNCTION("""COMPUTED_VALUE"""),14.0)</f>
        <v>14</v>
      </c>
      <c r="M22" s="9">
        <f>IFERROR(__xludf.DUMMYFUNCTION("""COMPUTED_VALUE"""),50.9)</f>
        <v>50.9</v>
      </c>
      <c r="N22" s="9">
        <f>IFERROR(__xludf.DUMMYFUNCTION("""COMPUTED_VALUE"""),24.0)</f>
        <v>24</v>
      </c>
      <c r="O22" s="9">
        <f>IFERROR(__xludf.DUMMYFUNCTION("""COMPUTED_VALUE"""),4.5)</f>
        <v>4.5</v>
      </c>
      <c r="P22" s="9">
        <f>IFERROR(__xludf.DUMMYFUNCTION("""COMPUTED_VALUE"""),14.0)</f>
        <v>14</v>
      </c>
      <c r="Q22" s="9">
        <f>IFERROR(__xludf.DUMMYFUNCTION("""COMPUTED_VALUE"""),3.1)</f>
        <v>3.1</v>
      </c>
      <c r="R22" s="9">
        <f>IFERROR(__xludf.DUMMYFUNCTION("""COMPUTED_VALUE"""),56.0)</f>
        <v>56</v>
      </c>
      <c r="S22" s="9">
        <f>IFERROR(__xludf.DUMMYFUNCTION("""COMPUTED_VALUE"""),50.0)</f>
        <v>50</v>
      </c>
      <c r="T22" s="9">
        <f>IFERROR(__xludf.DUMMYFUNCTION("""COMPUTED_VALUE"""),455.0)</f>
        <v>455</v>
      </c>
      <c r="U22" s="9">
        <f>IFERROR(__xludf.DUMMYFUNCTION("""COMPUTED_VALUE"""),9.1)</f>
        <v>9.1</v>
      </c>
      <c r="V22" s="9">
        <f>IFERROR(__xludf.DUMMYFUNCTION("""COMPUTED_VALUE"""),0.0)</f>
        <v>0</v>
      </c>
      <c r="W22" s="9">
        <f>IFERROR(__xludf.DUMMYFUNCTION("""COMPUTED_VALUE"""),23.0)</f>
        <v>23</v>
      </c>
      <c r="X22" s="9">
        <f>IFERROR(__xludf.DUMMYFUNCTION("""COMPUTED_VALUE"""),67.9)</f>
        <v>67.9</v>
      </c>
      <c r="Y22" s="9">
        <f>IFERROR(__xludf.DUMMYFUNCTION("""COMPUTED_VALUE"""),29.0)</f>
        <v>29</v>
      </c>
      <c r="Z22" s="9">
        <f>IFERROR(__xludf.DUMMYFUNCTION("""COMPUTED_VALUE"""),2.9)</f>
        <v>2.9</v>
      </c>
      <c r="AA22" s="9">
        <f>IFERROR(__xludf.DUMMYFUNCTION("""COMPUTED_VALUE"""),26.8)</f>
        <v>26.8</v>
      </c>
      <c r="AB22" s="9">
        <f>IFERROR(__xludf.DUMMYFUNCTION("""COMPUTED_VALUE"""),89.3)</f>
        <v>89.3</v>
      </c>
      <c r="AC22" s="9">
        <f>IFERROR(__xludf.DUMMYFUNCTION("""COMPUTED_VALUE"""),8.1)</f>
        <v>8.1</v>
      </c>
      <c r="AD22" s="9">
        <f>IFERROR(__xludf.DUMMYFUNCTION("""COMPUTED_VALUE"""),103.0)</f>
        <v>103</v>
      </c>
      <c r="AE22" s="9">
        <f>IFERROR(__xludf.DUMMYFUNCTION("""COMPUTED_VALUE"""),6.7)</f>
        <v>6.7</v>
      </c>
      <c r="AF22" s="9">
        <f>IFERROR(__xludf.DUMMYFUNCTION("""COMPUTED_VALUE"""),693.0)</f>
        <v>693</v>
      </c>
      <c r="AG22" s="9">
        <f>IFERROR(__xludf.DUMMYFUNCTION("""COMPUTED_VALUE"""),1.0)</f>
        <v>1</v>
      </c>
      <c r="AH22" s="9">
        <f>IFERROR(__xludf.DUMMYFUNCTION("""COMPUTED_VALUE"""),3.0)</f>
        <v>3</v>
      </c>
      <c r="AI22" s="9">
        <f>IFERROR(__xludf.DUMMYFUNCTION("""COMPUTED_VALUE"""),6.0)</f>
        <v>6</v>
      </c>
      <c r="AJ22" s="9">
        <f>IFERROR(__xludf.DUMMYFUNCTION("""COMPUTED_VALUE"""),0.0)</f>
        <v>0</v>
      </c>
      <c r="AK22" s="6" t="str">
        <f>IFERROR(__xludf.DUMMYFUNCTION("SPLIT(""Sean Payton,Joe Lombardi,Russell Wilson,Jerry Jeudy,Marvin Mims,N/A,Garett Bolles,Ben Powers,Lloyd Cushenberry III,Quinn Meinerz,Mike McGlinchey"","","")"),"Sean Payton")</f>
        <v>Sean Payton</v>
      </c>
      <c r="AL22" s="9" t="str">
        <f>IFERROR(__xludf.DUMMYFUNCTION("""COMPUTED_VALUE"""),"Joe Lombardi")</f>
        <v>Joe Lombardi</v>
      </c>
      <c r="AM22" s="9" t="str">
        <f>IFERROR(__xludf.DUMMYFUNCTION("""COMPUTED_VALUE"""),"Russell Wilson")</f>
        <v>Russell Wilson</v>
      </c>
      <c r="AN22" s="9" t="str">
        <f>IFERROR(__xludf.DUMMYFUNCTION("""COMPUTED_VALUE"""),"Jerry Jeudy")</f>
        <v>Jerry Jeudy</v>
      </c>
      <c r="AO22" s="9" t="str">
        <f>IFERROR(__xludf.DUMMYFUNCTION("""COMPUTED_VALUE"""),"Marvin Mims")</f>
        <v>Marvin Mims</v>
      </c>
      <c r="AP22" s="9" t="str">
        <f>IFERROR(__xludf.DUMMYFUNCTION("""COMPUTED_VALUE"""),"N/A")</f>
        <v>N/A</v>
      </c>
      <c r="AQ22" s="9" t="str">
        <f>IFERROR(__xludf.DUMMYFUNCTION("""COMPUTED_VALUE"""),"Garett Bolles")</f>
        <v>Garett Bolles</v>
      </c>
      <c r="AR22" s="9" t="str">
        <f>IFERROR(__xludf.DUMMYFUNCTION("""COMPUTED_VALUE"""),"Ben Powers")</f>
        <v>Ben Powers</v>
      </c>
      <c r="AS22" s="9" t="str">
        <f>IFERROR(__xludf.DUMMYFUNCTION("""COMPUTED_VALUE"""),"Lloyd Cushenberry III")</f>
        <v>Lloyd Cushenberry III</v>
      </c>
      <c r="AT22" s="9" t="str">
        <f>IFERROR(__xludf.DUMMYFUNCTION("""COMPUTED_VALUE"""),"Quinn Meinerz")</f>
        <v>Quinn Meinerz</v>
      </c>
      <c r="AU22" s="9" t="str">
        <f>IFERROR(__xludf.DUMMYFUNCTION("""COMPUTED_VALUE"""),"Mike McGlinchey")</f>
        <v>Mike McGlinchey</v>
      </c>
    </row>
    <row r="23">
      <c r="A23" s="8" t="s">
        <v>68</v>
      </c>
      <c r="B23" s="8">
        <v>3.0</v>
      </c>
      <c r="C23" s="9">
        <f>IFERROR(__xludf.DUMMYFUNCTION("SPLIT(""24,NYJ,NFL,RB,9,0,8,38,0,2,25.0,9,4.8,4.2,0.9,20,15,68,4.5,0,4,30.0,10,1.7,7.6,75.0,3.4,23,4.6,106,0,0,1,0,"","","")"),24.0)</f>
        <v>24</v>
      </c>
      <c r="D23" s="9" t="str">
        <f>IFERROR(__xludf.DUMMYFUNCTION("""COMPUTED_VALUE"""),"NYJ")</f>
        <v>NYJ</v>
      </c>
      <c r="E23" s="9" t="str">
        <f>IFERROR(__xludf.DUMMYFUNCTION("""COMPUTED_VALUE"""),"NFL")</f>
        <v>NFL</v>
      </c>
      <c r="F23" s="9" t="str">
        <f>IFERROR(__xludf.DUMMYFUNCTION("""COMPUTED_VALUE"""),"RB")</f>
        <v>RB</v>
      </c>
      <c r="G23" s="9">
        <f>IFERROR(__xludf.DUMMYFUNCTION("""COMPUTED_VALUE"""),9.0)</f>
        <v>9</v>
      </c>
      <c r="H23" s="9">
        <f>IFERROR(__xludf.DUMMYFUNCTION("""COMPUTED_VALUE"""),0.0)</f>
        <v>0</v>
      </c>
      <c r="I23" s="9">
        <f>IFERROR(__xludf.DUMMYFUNCTION("""COMPUTED_VALUE"""),8.0)</f>
        <v>8</v>
      </c>
      <c r="J23" s="9">
        <f>IFERROR(__xludf.DUMMYFUNCTION("""COMPUTED_VALUE"""),38.0)</f>
        <v>38</v>
      </c>
      <c r="K23" s="9">
        <f>IFERROR(__xludf.DUMMYFUNCTION("""COMPUTED_VALUE"""),0.0)</f>
        <v>0</v>
      </c>
      <c r="L23" s="9">
        <f>IFERROR(__xludf.DUMMYFUNCTION("""COMPUTED_VALUE"""),2.0)</f>
        <v>2</v>
      </c>
      <c r="M23" s="9">
        <f>IFERROR(__xludf.DUMMYFUNCTION("""COMPUTED_VALUE"""),25.0)</f>
        <v>25</v>
      </c>
      <c r="N23" s="9">
        <f>IFERROR(__xludf.DUMMYFUNCTION("""COMPUTED_VALUE"""),9.0)</f>
        <v>9</v>
      </c>
      <c r="O23" s="9">
        <f>IFERROR(__xludf.DUMMYFUNCTION("""COMPUTED_VALUE"""),4.8)</f>
        <v>4.8</v>
      </c>
      <c r="P23" s="9">
        <f>IFERROR(__xludf.DUMMYFUNCTION("""COMPUTED_VALUE"""),4.2)</f>
        <v>4.2</v>
      </c>
      <c r="Q23" s="9">
        <f>IFERROR(__xludf.DUMMYFUNCTION("""COMPUTED_VALUE"""),0.9)</f>
        <v>0.9</v>
      </c>
      <c r="R23" s="9">
        <f>IFERROR(__xludf.DUMMYFUNCTION("""COMPUTED_VALUE"""),20.0)</f>
        <v>20</v>
      </c>
      <c r="S23" s="9">
        <f>IFERROR(__xludf.DUMMYFUNCTION("""COMPUTED_VALUE"""),15.0)</f>
        <v>15</v>
      </c>
      <c r="T23" s="9">
        <f>IFERROR(__xludf.DUMMYFUNCTION("""COMPUTED_VALUE"""),68.0)</f>
        <v>68</v>
      </c>
      <c r="U23" s="9">
        <f>IFERROR(__xludf.DUMMYFUNCTION("""COMPUTED_VALUE"""),4.5)</f>
        <v>4.5</v>
      </c>
      <c r="V23" s="9">
        <f>IFERROR(__xludf.DUMMYFUNCTION("""COMPUTED_VALUE"""),0.0)</f>
        <v>0</v>
      </c>
      <c r="W23" s="9">
        <f>IFERROR(__xludf.DUMMYFUNCTION("""COMPUTED_VALUE"""),4.0)</f>
        <v>4</v>
      </c>
      <c r="X23" s="9">
        <f>IFERROR(__xludf.DUMMYFUNCTION("""COMPUTED_VALUE"""),30.0)</f>
        <v>30</v>
      </c>
      <c r="Y23" s="9">
        <f>IFERROR(__xludf.DUMMYFUNCTION("""COMPUTED_VALUE"""),10.0)</f>
        <v>10</v>
      </c>
      <c r="Z23" s="9">
        <f>IFERROR(__xludf.DUMMYFUNCTION("""COMPUTED_VALUE"""),1.7)</f>
        <v>1.7</v>
      </c>
      <c r="AA23" s="9">
        <f>IFERROR(__xludf.DUMMYFUNCTION("""COMPUTED_VALUE"""),7.6)</f>
        <v>7.6</v>
      </c>
      <c r="AB23" s="9">
        <f>IFERROR(__xludf.DUMMYFUNCTION("""COMPUTED_VALUE"""),75.0)</f>
        <v>75</v>
      </c>
      <c r="AC23" s="9">
        <f>IFERROR(__xludf.DUMMYFUNCTION("""COMPUTED_VALUE"""),3.4)</f>
        <v>3.4</v>
      </c>
      <c r="AD23" s="9">
        <f>IFERROR(__xludf.DUMMYFUNCTION("""COMPUTED_VALUE"""),23.0)</f>
        <v>23</v>
      </c>
      <c r="AE23" s="9">
        <f>IFERROR(__xludf.DUMMYFUNCTION("""COMPUTED_VALUE"""),4.6)</f>
        <v>4.6</v>
      </c>
      <c r="AF23" s="9">
        <f>IFERROR(__xludf.DUMMYFUNCTION("""COMPUTED_VALUE"""),106.0)</f>
        <v>106</v>
      </c>
      <c r="AG23" s="9">
        <f>IFERROR(__xludf.DUMMYFUNCTION("""COMPUTED_VALUE"""),0.0)</f>
        <v>0</v>
      </c>
      <c r="AH23" s="9">
        <f>IFERROR(__xludf.DUMMYFUNCTION("""COMPUTED_VALUE"""),0.0)</f>
        <v>0</v>
      </c>
      <c r="AI23" s="9">
        <f>IFERROR(__xludf.DUMMYFUNCTION("""COMPUTED_VALUE"""),1.0)</f>
        <v>1</v>
      </c>
      <c r="AJ23" s="9">
        <f>IFERROR(__xludf.DUMMYFUNCTION("""COMPUTED_VALUE"""),0.0)</f>
        <v>0</v>
      </c>
      <c r="AK23" s="6" t="str">
        <f>IFERROR(__xludf.DUMMYFUNCTION("SPLIT(""Robert Saleh,Nathaniel Hackett,Zach Wilson,Allen Lazard,Garrett Wilson,N/A,Mekhi Becton,Laken Tomlinson,Joe Tippmann,Jake Hanson,Max Mitchell"","","")"),"Robert Saleh")</f>
        <v>Robert Saleh</v>
      </c>
      <c r="AL23" s="9" t="str">
        <f>IFERROR(__xludf.DUMMYFUNCTION("""COMPUTED_VALUE"""),"Nathaniel Hackett")</f>
        <v>Nathaniel Hackett</v>
      </c>
      <c r="AM23" s="9" t="str">
        <f>IFERROR(__xludf.DUMMYFUNCTION("""COMPUTED_VALUE"""),"Zach Wilson")</f>
        <v>Zach Wilson</v>
      </c>
      <c r="AN23" s="9" t="str">
        <f>IFERROR(__xludf.DUMMYFUNCTION("""COMPUTED_VALUE"""),"Allen Lazard")</f>
        <v>Allen Lazard</v>
      </c>
      <c r="AO23" s="9" t="str">
        <f>IFERROR(__xludf.DUMMYFUNCTION("""COMPUTED_VALUE"""),"Garrett Wilson")</f>
        <v>Garrett Wilson</v>
      </c>
      <c r="AP23" s="9" t="str">
        <f>IFERROR(__xludf.DUMMYFUNCTION("""COMPUTED_VALUE"""),"N/A")</f>
        <v>N/A</v>
      </c>
      <c r="AQ23" s="9" t="str">
        <f>IFERROR(__xludf.DUMMYFUNCTION("""COMPUTED_VALUE"""),"Mekhi Becton")</f>
        <v>Mekhi Becton</v>
      </c>
      <c r="AR23" s="9" t="str">
        <f>IFERROR(__xludf.DUMMYFUNCTION("""COMPUTED_VALUE"""),"Laken Tomlinson")</f>
        <v>Laken Tomlinson</v>
      </c>
      <c r="AS23" s="9" t="str">
        <f>IFERROR(__xludf.DUMMYFUNCTION("""COMPUTED_VALUE"""),"Joe Tippmann")</f>
        <v>Joe Tippmann</v>
      </c>
      <c r="AT23" s="9" t="str">
        <f>IFERROR(__xludf.DUMMYFUNCTION("""COMPUTED_VALUE"""),"Jake Hanson")</f>
        <v>Jake Hanson</v>
      </c>
      <c r="AU23" s="9" t="str">
        <f>IFERROR(__xludf.DUMMYFUNCTION("""COMPUTED_VALUE"""),"Max Mitchell")</f>
        <v>Max Mitchell</v>
      </c>
    </row>
    <row r="24">
      <c r="A24" s="8" t="s">
        <v>68</v>
      </c>
      <c r="B24" s="8">
        <v>3.0</v>
      </c>
      <c r="C24" s="9">
        <f>IFERROR(__xludf.DUMMYFUNCTION("SPLIT(""24,ARI,NFL,RB,6,0,22,149,0,7,45.5,21,6.8,24.8,3.7,11,9,33,3.7,1,1,36.4,8,1.5,5.5,81.8,3.0,31,5.9,182,1,0,1,0,"","","")"),24.0)</f>
        <v>24</v>
      </c>
      <c r="D24" s="9" t="str">
        <f>IFERROR(__xludf.DUMMYFUNCTION("""COMPUTED_VALUE"""),"ARI")</f>
        <v>ARI</v>
      </c>
      <c r="E24" s="9" t="str">
        <f>IFERROR(__xludf.DUMMYFUNCTION("""COMPUTED_VALUE"""),"NFL")</f>
        <v>NFL</v>
      </c>
      <c r="F24" s="9" t="str">
        <f>IFERROR(__xludf.DUMMYFUNCTION("""COMPUTED_VALUE"""),"RB")</f>
        <v>RB</v>
      </c>
      <c r="G24" s="9">
        <f>IFERROR(__xludf.DUMMYFUNCTION("""COMPUTED_VALUE"""),6.0)</f>
        <v>6</v>
      </c>
      <c r="H24" s="9">
        <f>IFERROR(__xludf.DUMMYFUNCTION("""COMPUTED_VALUE"""),0.0)</f>
        <v>0</v>
      </c>
      <c r="I24" s="9">
        <f>IFERROR(__xludf.DUMMYFUNCTION("""COMPUTED_VALUE"""),22.0)</f>
        <v>22</v>
      </c>
      <c r="J24" s="9">
        <f>IFERROR(__xludf.DUMMYFUNCTION("""COMPUTED_VALUE"""),149.0)</f>
        <v>149</v>
      </c>
      <c r="K24" s="9">
        <f>IFERROR(__xludf.DUMMYFUNCTION("""COMPUTED_VALUE"""),0.0)</f>
        <v>0</v>
      </c>
      <c r="L24" s="9">
        <f>IFERROR(__xludf.DUMMYFUNCTION("""COMPUTED_VALUE"""),7.0)</f>
        <v>7</v>
      </c>
      <c r="M24" s="9">
        <f>IFERROR(__xludf.DUMMYFUNCTION("""COMPUTED_VALUE"""),45.5)</f>
        <v>45.5</v>
      </c>
      <c r="N24" s="9">
        <f>IFERROR(__xludf.DUMMYFUNCTION("""COMPUTED_VALUE"""),21.0)</f>
        <v>21</v>
      </c>
      <c r="O24" s="9">
        <f>IFERROR(__xludf.DUMMYFUNCTION("""COMPUTED_VALUE"""),6.8)</f>
        <v>6.8</v>
      </c>
      <c r="P24" s="9">
        <f>IFERROR(__xludf.DUMMYFUNCTION("""COMPUTED_VALUE"""),24.8)</f>
        <v>24.8</v>
      </c>
      <c r="Q24" s="9">
        <f>IFERROR(__xludf.DUMMYFUNCTION("""COMPUTED_VALUE"""),3.7)</f>
        <v>3.7</v>
      </c>
      <c r="R24" s="9">
        <f>IFERROR(__xludf.DUMMYFUNCTION("""COMPUTED_VALUE"""),11.0)</f>
        <v>11</v>
      </c>
      <c r="S24" s="9">
        <f>IFERROR(__xludf.DUMMYFUNCTION("""COMPUTED_VALUE"""),9.0)</f>
        <v>9</v>
      </c>
      <c r="T24" s="9">
        <f>IFERROR(__xludf.DUMMYFUNCTION("""COMPUTED_VALUE"""),33.0)</f>
        <v>33</v>
      </c>
      <c r="U24" s="9">
        <f>IFERROR(__xludf.DUMMYFUNCTION("""COMPUTED_VALUE"""),3.7)</f>
        <v>3.7</v>
      </c>
      <c r="V24" s="9">
        <f>IFERROR(__xludf.DUMMYFUNCTION("""COMPUTED_VALUE"""),1.0)</f>
        <v>1</v>
      </c>
      <c r="W24" s="9">
        <f>IFERROR(__xludf.DUMMYFUNCTION("""COMPUTED_VALUE"""),1.0)</f>
        <v>1</v>
      </c>
      <c r="X24" s="9">
        <f>IFERROR(__xludf.DUMMYFUNCTION("""COMPUTED_VALUE"""),36.4)</f>
        <v>36.4</v>
      </c>
      <c r="Y24" s="9">
        <f>IFERROR(__xludf.DUMMYFUNCTION("""COMPUTED_VALUE"""),8.0)</f>
        <v>8</v>
      </c>
      <c r="Z24" s="9">
        <f>IFERROR(__xludf.DUMMYFUNCTION("""COMPUTED_VALUE"""),1.5)</f>
        <v>1.5</v>
      </c>
      <c r="AA24" s="9">
        <f>IFERROR(__xludf.DUMMYFUNCTION("""COMPUTED_VALUE"""),5.5)</f>
        <v>5.5</v>
      </c>
      <c r="AB24" s="9">
        <f>IFERROR(__xludf.DUMMYFUNCTION("""COMPUTED_VALUE"""),81.8)</f>
        <v>81.8</v>
      </c>
      <c r="AC24" s="9">
        <f>IFERROR(__xludf.DUMMYFUNCTION("""COMPUTED_VALUE"""),3.0)</f>
        <v>3</v>
      </c>
      <c r="AD24" s="9">
        <f>IFERROR(__xludf.DUMMYFUNCTION("""COMPUTED_VALUE"""),31.0)</f>
        <v>31</v>
      </c>
      <c r="AE24" s="9">
        <f>IFERROR(__xludf.DUMMYFUNCTION("""COMPUTED_VALUE"""),5.9)</f>
        <v>5.9</v>
      </c>
      <c r="AF24" s="9">
        <f>IFERROR(__xludf.DUMMYFUNCTION("""COMPUTED_VALUE"""),182.0)</f>
        <v>182</v>
      </c>
      <c r="AG24" s="9">
        <f>IFERROR(__xludf.DUMMYFUNCTION("""COMPUTED_VALUE"""),1.0)</f>
        <v>1</v>
      </c>
      <c r="AH24" s="9">
        <f>IFERROR(__xludf.DUMMYFUNCTION("""COMPUTED_VALUE"""),0.0)</f>
        <v>0</v>
      </c>
      <c r="AI24" s="9">
        <f>IFERROR(__xludf.DUMMYFUNCTION("""COMPUTED_VALUE"""),1.0)</f>
        <v>1</v>
      </c>
      <c r="AJ24" s="9">
        <f>IFERROR(__xludf.DUMMYFUNCTION("""COMPUTED_VALUE"""),0.0)</f>
        <v>0</v>
      </c>
      <c r="AK24" s="6" t="str">
        <f>IFERROR(__xludf.DUMMYFUNCTION("SPLIT(""Jonathan Gannon,Drew Petzing,Kyler Murray,Marquise Brown,Rondale Moore,N/A,D.J. Humphries,Elijah Wilkinson,Hjalte Froholdt,Will Hernandez,Paris Johnson"","","")"),"Jonathan Gannon")</f>
        <v>Jonathan Gannon</v>
      </c>
      <c r="AL24" s="9" t="str">
        <f>IFERROR(__xludf.DUMMYFUNCTION("""COMPUTED_VALUE"""),"Drew Petzing")</f>
        <v>Drew Petzing</v>
      </c>
      <c r="AM24" s="9" t="str">
        <f>IFERROR(__xludf.DUMMYFUNCTION("""COMPUTED_VALUE"""),"Kyler Murray")</f>
        <v>Kyler Murray</v>
      </c>
      <c r="AN24" s="9" t="str">
        <f>IFERROR(__xludf.DUMMYFUNCTION("""COMPUTED_VALUE"""),"Marquise Brown")</f>
        <v>Marquise Brown</v>
      </c>
      <c r="AO24" s="9" t="str">
        <f>IFERROR(__xludf.DUMMYFUNCTION("""COMPUTED_VALUE"""),"Rondale Moore")</f>
        <v>Rondale Moore</v>
      </c>
      <c r="AP24" s="9" t="str">
        <f>IFERROR(__xludf.DUMMYFUNCTION("""COMPUTED_VALUE"""),"N/A")</f>
        <v>N/A</v>
      </c>
      <c r="AQ24" s="9" t="str">
        <f>IFERROR(__xludf.DUMMYFUNCTION("""COMPUTED_VALUE"""),"D.J. Humphries")</f>
        <v>D.J. Humphries</v>
      </c>
      <c r="AR24" s="9" t="str">
        <f>IFERROR(__xludf.DUMMYFUNCTION("""COMPUTED_VALUE"""),"Elijah Wilkinson")</f>
        <v>Elijah Wilkinson</v>
      </c>
      <c r="AS24" s="9" t="str">
        <f>IFERROR(__xludf.DUMMYFUNCTION("""COMPUTED_VALUE"""),"Hjalte Froholdt")</f>
        <v>Hjalte Froholdt</v>
      </c>
      <c r="AT24" s="9" t="str">
        <f>IFERROR(__xludf.DUMMYFUNCTION("""COMPUTED_VALUE"""),"Will Hernandez")</f>
        <v>Will Hernandez</v>
      </c>
      <c r="AU24" s="9" t="str">
        <f>IFERROR(__xludf.DUMMYFUNCTION("""COMPUTED_VALUE"""),"Paris Johnson")</f>
        <v>Paris Johnson</v>
      </c>
    </row>
    <row r="25">
      <c r="A25" s="11" t="s">
        <v>69</v>
      </c>
      <c r="B25" s="8">
        <v>6.0</v>
      </c>
      <c r="C25" s="9">
        <f>IFERROR(__xludf.DUMMYFUNCTION("SPLIT(""27,TAM,NFL,RB,13,0,49,176,0,8,46.9,21,3.6,13.5,3.8,17,14,81,5.8,0,5,58.8,14,1.1,6.2,82.4,4.8,63,4.1,257,0,0,2,0,"","","")"),27.0)</f>
        <v>27</v>
      </c>
      <c r="D25" s="9" t="str">
        <f>IFERROR(__xludf.DUMMYFUNCTION("""COMPUTED_VALUE"""),"TAM")</f>
        <v>TAM</v>
      </c>
      <c r="E25" s="9" t="str">
        <f>IFERROR(__xludf.DUMMYFUNCTION("""COMPUTED_VALUE"""),"NFL")</f>
        <v>NFL</v>
      </c>
      <c r="F25" s="9" t="str">
        <f>IFERROR(__xludf.DUMMYFUNCTION("""COMPUTED_VALUE"""),"RB")</f>
        <v>RB</v>
      </c>
      <c r="G25" s="9">
        <f>IFERROR(__xludf.DUMMYFUNCTION("""COMPUTED_VALUE"""),13.0)</f>
        <v>13</v>
      </c>
      <c r="H25" s="9">
        <f>IFERROR(__xludf.DUMMYFUNCTION("""COMPUTED_VALUE"""),0.0)</f>
        <v>0</v>
      </c>
      <c r="I25" s="9">
        <f>IFERROR(__xludf.DUMMYFUNCTION("""COMPUTED_VALUE"""),49.0)</f>
        <v>49</v>
      </c>
      <c r="J25" s="9">
        <f>IFERROR(__xludf.DUMMYFUNCTION("""COMPUTED_VALUE"""),176.0)</f>
        <v>176</v>
      </c>
      <c r="K25" s="9">
        <f>IFERROR(__xludf.DUMMYFUNCTION("""COMPUTED_VALUE"""),0.0)</f>
        <v>0</v>
      </c>
      <c r="L25" s="9">
        <f>IFERROR(__xludf.DUMMYFUNCTION("""COMPUTED_VALUE"""),8.0)</f>
        <v>8</v>
      </c>
      <c r="M25" s="9">
        <f>IFERROR(__xludf.DUMMYFUNCTION("""COMPUTED_VALUE"""),46.9)</f>
        <v>46.9</v>
      </c>
      <c r="N25" s="9">
        <f>IFERROR(__xludf.DUMMYFUNCTION("""COMPUTED_VALUE"""),21.0)</f>
        <v>21</v>
      </c>
      <c r="O25" s="9">
        <f>IFERROR(__xludf.DUMMYFUNCTION("""COMPUTED_VALUE"""),3.6)</f>
        <v>3.6</v>
      </c>
      <c r="P25" s="9">
        <f>IFERROR(__xludf.DUMMYFUNCTION("""COMPUTED_VALUE"""),13.5)</f>
        <v>13.5</v>
      </c>
      <c r="Q25" s="9">
        <f>IFERROR(__xludf.DUMMYFUNCTION("""COMPUTED_VALUE"""),3.8)</f>
        <v>3.8</v>
      </c>
      <c r="R25" s="9">
        <f>IFERROR(__xludf.DUMMYFUNCTION("""COMPUTED_VALUE"""),17.0)</f>
        <v>17</v>
      </c>
      <c r="S25" s="9">
        <f>IFERROR(__xludf.DUMMYFUNCTION("""COMPUTED_VALUE"""),14.0)</f>
        <v>14</v>
      </c>
      <c r="T25" s="9">
        <f>IFERROR(__xludf.DUMMYFUNCTION("""COMPUTED_VALUE"""),81.0)</f>
        <v>81</v>
      </c>
      <c r="U25" s="9">
        <f>IFERROR(__xludf.DUMMYFUNCTION("""COMPUTED_VALUE"""),5.8)</f>
        <v>5.8</v>
      </c>
      <c r="V25" s="9">
        <f>IFERROR(__xludf.DUMMYFUNCTION("""COMPUTED_VALUE"""),0.0)</f>
        <v>0</v>
      </c>
      <c r="W25" s="9">
        <f>IFERROR(__xludf.DUMMYFUNCTION("""COMPUTED_VALUE"""),5.0)</f>
        <v>5</v>
      </c>
      <c r="X25" s="9">
        <f>IFERROR(__xludf.DUMMYFUNCTION("""COMPUTED_VALUE"""),58.8)</f>
        <v>58.8</v>
      </c>
      <c r="Y25" s="9">
        <f>IFERROR(__xludf.DUMMYFUNCTION("""COMPUTED_VALUE"""),14.0)</f>
        <v>14</v>
      </c>
      <c r="Z25" s="9">
        <f>IFERROR(__xludf.DUMMYFUNCTION("""COMPUTED_VALUE"""),1.1)</f>
        <v>1.1</v>
      </c>
      <c r="AA25" s="9">
        <f>IFERROR(__xludf.DUMMYFUNCTION("""COMPUTED_VALUE"""),6.2)</f>
        <v>6.2</v>
      </c>
      <c r="AB25" s="9">
        <f>IFERROR(__xludf.DUMMYFUNCTION("""COMPUTED_VALUE"""),82.4)</f>
        <v>82.4</v>
      </c>
      <c r="AC25" s="9">
        <f>IFERROR(__xludf.DUMMYFUNCTION("""COMPUTED_VALUE"""),4.8)</f>
        <v>4.8</v>
      </c>
      <c r="AD25" s="9">
        <f>IFERROR(__xludf.DUMMYFUNCTION("""COMPUTED_VALUE"""),63.0)</f>
        <v>63</v>
      </c>
      <c r="AE25" s="9">
        <f>IFERROR(__xludf.DUMMYFUNCTION("""COMPUTED_VALUE"""),4.1)</f>
        <v>4.1</v>
      </c>
      <c r="AF25" s="9">
        <f>IFERROR(__xludf.DUMMYFUNCTION("""COMPUTED_VALUE"""),257.0)</f>
        <v>257</v>
      </c>
      <c r="AG25" s="9">
        <f>IFERROR(__xludf.DUMMYFUNCTION("""COMPUTED_VALUE"""),0.0)</f>
        <v>0</v>
      </c>
      <c r="AH25" s="9">
        <f>IFERROR(__xludf.DUMMYFUNCTION("""COMPUTED_VALUE"""),0.0)</f>
        <v>0</v>
      </c>
      <c r="AI25" s="9">
        <f>IFERROR(__xludf.DUMMYFUNCTION("""COMPUTED_VALUE"""),2.0)</f>
        <v>2</v>
      </c>
      <c r="AJ25" s="9">
        <f>IFERROR(__xludf.DUMMYFUNCTION("""COMPUTED_VALUE"""),0.0)</f>
        <v>0</v>
      </c>
      <c r="AK25" s="6" t="str">
        <f>IFERROR(__xludf.DUMMYFUNCTION("SPLIT(""Todd Bowles,Dave Canales,Baker Mayfield,Mike Evans,Chris Godwin,N/A,Tristan Wirfs,Aaron Stinnie,Robert Hainsey,Cody Mauch,Luke Goedeke"","","")"),"Todd Bowles")</f>
        <v>Todd Bowles</v>
      </c>
      <c r="AL25" s="9" t="str">
        <f>IFERROR(__xludf.DUMMYFUNCTION("""COMPUTED_VALUE"""),"Dave Canales")</f>
        <v>Dave Canales</v>
      </c>
      <c r="AM25" s="9" t="str">
        <f>IFERROR(__xludf.DUMMYFUNCTION("""COMPUTED_VALUE"""),"Baker Mayfield")</f>
        <v>Baker Mayfield</v>
      </c>
      <c r="AN25" s="9" t="str">
        <f>IFERROR(__xludf.DUMMYFUNCTION("""COMPUTED_VALUE"""),"Mike Evans")</f>
        <v>Mike Evans</v>
      </c>
      <c r="AO25" s="9" t="str">
        <f>IFERROR(__xludf.DUMMYFUNCTION("""COMPUTED_VALUE"""),"Chris Godwin")</f>
        <v>Chris Godwin</v>
      </c>
      <c r="AP25" s="9" t="str">
        <f>IFERROR(__xludf.DUMMYFUNCTION("""COMPUTED_VALUE"""),"N/A")</f>
        <v>N/A</v>
      </c>
      <c r="AQ25" s="9" t="str">
        <f>IFERROR(__xludf.DUMMYFUNCTION("""COMPUTED_VALUE"""),"Tristan Wirfs")</f>
        <v>Tristan Wirfs</v>
      </c>
      <c r="AR25" s="9" t="str">
        <f>IFERROR(__xludf.DUMMYFUNCTION("""COMPUTED_VALUE"""),"Aaron Stinnie")</f>
        <v>Aaron Stinnie</v>
      </c>
      <c r="AS25" s="9" t="str">
        <f>IFERROR(__xludf.DUMMYFUNCTION("""COMPUTED_VALUE"""),"Robert Hainsey")</f>
        <v>Robert Hainsey</v>
      </c>
      <c r="AT25" s="9" t="str">
        <f>IFERROR(__xludf.DUMMYFUNCTION("""COMPUTED_VALUE"""),"Cody Mauch")</f>
        <v>Cody Mauch</v>
      </c>
      <c r="AU25" s="9" t="str">
        <f>IFERROR(__xludf.DUMMYFUNCTION("""COMPUTED_VALUE"""),"Luke Goedeke")</f>
        <v>Luke Goedeke</v>
      </c>
    </row>
    <row r="26">
      <c r="A26" s="11" t="s">
        <v>70</v>
      </c>
      <c r="B26" s="8">
        <v>8.0</v>
      </c>
      <c r="C26" s="9">
        <f>IFERROR(__xludf.DUMMYFUNCTION("SPLIT(""29,BAL,NFL,RB,2,0,1,0,0,0,0.0,0,0.0,0.0,0.5,3,2,31,15.5,0,0,66.7,24,1.0,15.5,66.7,10.3,3,10.3,31,0,1,0,0,"","","")"),29.0)</f>
        <v>29</v>
      </c>
      <c r="D26" s="9" t="str">
        <f>IFERROR(__xludf.DUMMYFUNCTION("""COMPUTED_VALUE"""),"BAL")</f>
        <v>BAL</v>
      </c>
      <c r="E26" s="9" t="str">
        <f>IFERROR(__xludf.DUMMYFUNCTION("""COMPUTED_VALUE"""),"NFL")</f>
        <v>NFL</v>
      </c>
      <c r="F26" s="9" t="str">
        <f>IFERROR(__xludf.DUMMYFUNCTION("""COMPUTED_VALUE"""),"RB")</f>
        <v>RB</v>
      </c>
      <c r="G26" s="9">
        <f>IFERROR(__xludf.DUMMYFUNCTION("""COMPUTED_VALUE"""),2.0)</f>
        <v>2</v>
      </c>
      <c r="H26" s="9">
        <f>IFERROR(__xludf.DUMMYFUNCTION("""COMPUTED_VALUE"""),0.0)</f>
        <v>0</v>
      </c>
      <c r="I26" s="9">
        <f>IFERROR(__xludf.DUMMYFUNCTION("""COMPUTED_VALUE"""),1.0)</f>
        <v>1</v>
      </c>
      <c r="J26" s="9">
        <f>IFERROR(__xludf.DUMMYFUNCTION("""COMPUTED_VALUE"""),0.0)</f>
        <v>0</v>
      </c>
      <c r="K26" s="9">
        <f>IFERROR(__xludf.DUMMYFUNCTION("""COMPUTED_VALUE"""),0.0)</f>
        <v>0</v>
      </c>
      <c r="L26" s="9">
        <f>IFERROR(__xludf.DUMMYFUNCTION("""COMPUTED_VALUE"""),0.0)</f>
        <v>0</v>
      </c>
      <c r="M26" s="9">
        <f>IFERROR(__xludf.DUMMYFUNCTION("""COMPUTED_VALUE"""),0.0)</f>
        <v>0</v>
      </c>
      <c r="N26" s="9">
        <f>IFERROR(__xludf.DUMMYFUNCTION("""COMPUTED_VALUE"""),0.0)</f>
        <v>0</v>
      </c>
      <c r="O26" s="9">
        <f>IFERROR(__xludf.DUMMYFUNCTION("""COMPUTED_VALUE"""),0.0)</f>
        <v>0</v>
      </c>
      <c r="P26" s="9">
        <f>IFERROR(__xludf.DUMMYFUNCTION("""COMPUTED_VALUE"""),0.0)</f>
        <v>0</v>
      </c>
      <c r="Q26" s="9">
        <f>IFERROR(__xludf.DUMMYFUNCTION("""COMPUTED_VALUE"""),0.5)</f>
        <v>0.5</v>
      </c>
      <c r="R26" s="9">
        <f>IFERROR(__xludf.DUMMYFUNCTION("""COMPUTED_VALUE"""),3.0)</f>
        <v>3</v>
      </c>
      <c r="S26" s="9">
        <f>IFERROR(__xludf.DUMMYFUNCTION("""COMPUTED_VALUE"""),2.0)</f>
        <v>2</v>
      </c>
      <c r="T26" s="9">
        <f>IFERROR(__xludf.DUMMYFUNCTION("""COMPUTED_VALUE"""),31.0)</f>
        <v>31</v>
      </c>
      <c r="U26" s="9">
        <f>IFERROR(__xludf.DUMMYFUNCTION("""COMPUTED_VALUE"""),15.5)</f>
        <v>15.5</v>
      </c>
      <c r="V26" s="9">
        <f>IFERROR(__xludf.DUMMYFUNCTION("""COMPUTED_VALUE"""),0.0)</f>
        <v>0</v>
      </c>
      <c r="W26" s="9">
        <f>IFERROR(__xludf.DUMMYFUNCTION("""COMPUTED_VALUE"""),0.0)</f>
        <v>0</v>
      </c>
      <c r="X26" s="9">
        <f>IFERROR(__xludf.DUMMYFUNCTION("""COMPUTED_VALUE"""),66.7)</f>
        <v>66.7</v>
      </c>
      <c r="Y26" s="9">
        <f>IFERROR(__xludf.DUMMYFUNCTION("""COMPUTED_VALUE"""),24.0)</f>
        <v>24</v>
      </c>
      <c r="Z26" s="9">
        <f>IFERROR(__xludf.DUMMYFUNCTION("""COMPUTED_VALUE"""),1.0)</f>
        <v>1</v>
      </c>
      <c r="AA26" s="9">
        <f>IFERROR(__xludf.DUMMYFUNCTION("""COMPUTED_VALUE"""),15.5)</f>
        <v>15.5</v>
      </c>
      <c r="AB26" s="9">
        <f>IFERROR(__xludf.DUMMYFUNCTION("""COMPUTED_VALUE"""),66.7)</f>
        <v>66.7</v>
      </c>
      <c r="AC26" s="9">
        <f>IFERROR(__xludf.DUMMYFUNCTION("""COMPUTED_VALUE"""),10.3)</f>
        <v>10.3</v>
      </c>
      <c r="AD26" s="9">
        <f>IFERROR(__xludf.DUMMYFUNCTION("""COMPUTED_VALUE"""),3.0)</f>
        <v>3</v>
      </c>
      <c r="AE26" s="9">
        <f>IFERROR(__xludf.DUMMYFUNCTION("""COMPUTED_VALUE"""),10.3)</f>
        <v>10.3</v>
      </c>
      <c r="AF26" s="9">
        <f>IFERROR(__xludf.DUMMYFUNCTION("""COMPUTED_VALUE"""),31.0)</f>
        <v>31</v>
      </c>
      <c r="AG26" s="9">
        <f>IFERROR(__xludf.DUMMYFUNCTION("""COMPUTED_VALUE"""),0.0)</f>
        <v>0</v>
      </c>
      <c r="AH26" s="9">
        <f>IFERROR(__xludf.DUMMYFUNCTION("""COMPUTED_VALUE"""),1.0)</f>
        <v>1</v>
      </c>
      <c r="AI26" s="9">
        <f>IFERROR(__xludf.DUMMYFUNCTION("""COMPUTED_VALUE"""),0.0)</f>
        <v>0</v>
      </c>
      <c r="AJ26" s="9">
        <f>IFERROR(__xludf.DUMMYFUNCTION("""COMPUTED_VALUE"""),0.0)</f>
        <v>0</v>
      </c>
      <c r="AK26" s="6" t="str">
        <f>IFERROR(__xludf.DUMMYFUNCTION("SPLIT(""John Harbaugh,Todd Monken,Lamar Jackson,Rashod Bateman,Zay Flowers,N/A,Ronnie Stanley,John Simpson,Tyler Linderbaum,Kevin Zeitler,Morgan Moses"","","")"),"John Harbaugh")</f>
        <v>John Harbaugh</v>
      </c>
      <c r="AL26" s="9" t="str">
        <f>IFERROR(__xludf.DUMMYFUNCTION("""COMPUTED_VALUE"""),"Todd Monken")</f>
        <v>Todd Monken</v>
      </c>
      <c r="AM26" s="9" t="str">
        <f>IFERROR(__xludf.DUMMYFUNCTION("""COMPUTED_VALUE"""),"Lamar Jackson")</f>
        <v>Lamar Jackson</v>
      </c>
      <c r="AN26" s="9" t="str">
        <f>IFERROR(__xludf.DUMMYFUNCTION("""COMPUTED_VALUE"""),"Rashod Bateman")</f>
        <v>Rashod Bateman</v>
      </c>
      <c r="AO26" s="9" t="str">
        <f>IFERROR(__xludf.DUMMYFUNCTION("""COMPUTED_VALUE"""),"Zay Flowers")</f>
        <v>Zay Flowers</v>
      </c>
      <c r="AP26" s="9" t="str">
        <f>IFERROR(__xludf.DUMMYFUNCTION("""COMPUTED_VALUE"""),"N/A")</f>
        <v>N/A</v>
      </c>
      <c r="AQ26" s="9" t="str">
        <f>IFERROR(__xludf.DUMMYFUNCTION("""COMPUTED_VALUE"""),"Ronnie Stanley")</f>
        <v>Ronnie Stanley</v>
      </c>
      <c r="AR26" s="9" t="str">
        <f>IFERROR(__xludf.DUMMYFUNCTION("""COMPUTED_VALUE"""),"John Simpson")</f>
        <v>John Simpson</v>
      </c>
      <c r="AS26" s="9" t="str">
        <f>IFERROR(__xludf.DUMMYFUNCTION("""COMPUTED_VALUE"""),"Tyler Linderbaum")</f>
        <v>Tyler Linderbaum</v>
      </c>
      <c r="AT26" s="9" t="str">
        <f>IFERROR(__xludf.DUMMYFUNCTION("""COMPUTED_VALUE"""),"Kevin Zeitler")</f>
        <v>Kevin Zeitler</v>
      </c>
      <c r="AU26" s="9" t="str">
        <f>IFERROR(__xludf.DUMMYFUNCTION("""COMPUTED_VALUE"""),"Morgan Moses")</f>
        <v>Morgan Moses</v>
      </c>
    </row>
    <row r="27">
      <c r="A27" s="11" t="s">
        <v>70</v>
      </c>
      <c r="B27" s="8">
        <v>8.0</v>
      </c>
      <c r="C27" s="9">
        <f>IFERROR(__xludf.DUMMYFUNCTION("SPLIT(""29,GNB,NFL,RB,1,0,1,0,0,0,0.0,0,0.0,0.0,1.0,0,0,0,0,0,0,0,0,0.0,0.0,0,0,1,0.0,0,0,0,0,0,"","","")"),29.0)</f>
        <v>29</v>
      </c>
      <c r="D27" s="9" t="str">
        <f>IFERROR(__xludf.DUMMYFUNCTION("""COMPUTED_VALUE"""),"GNB")</f>
        <v>GNB</v>
      </c>
      <c r="E27" s="9" t="str">
        <f>IFERROR(__xludf.DUMMYFUNCTION("""COMPUTED_VALUE"""),"NFL")</f>
        <v>NFL</v>
      </c>
      <c r="F27" s="9" t="str">
        <f>IFERROR(__xludf.DUMMYFUNCTION("""COMPUTED_VALUE"""),"RB")</f>
        <v>RB</v>
      </c>
      <c r="G27" s="9">
        <f>IFERROR(__xludf.DUMMYFUNCTION("""COMPUTED_VALUE"""),1.0)</f>
        <v>1</v>
      </c>
      <c r="H27" s="9">
        <f>IFERROR(__xludf.DUMMYFUNCTION("""COMPUTED_VALUE"""),0.0)</f>
        <v>0</v>
      </c>
      <c r="I27" s="9">
        <f>IFERROR(__xludf.DUMMYFUNCTION("""COMPUTED_VALUE"""),1.0)</f>
        <v>1</v>
      </c>
      <c r="J27" s="9">
        <f>IFERROR(__xludf.DUMMYFUNCTION("""COMPUTED_VALUE"""),0.0)</f>
        <v>0</v>
      </c>
      <c r="K27" s="9">
        <f>IFERROR(__xludf.DUMMYFUNCTION("""COMPUTED_VALUE"""),0.0)</f>
        <v>0</v>
      </c>
      <c r="L27" s="9">
        <f>IFERROR(__xludf.DUMMYFUNCTION("""COMPUTED_VALUE"""),0.0)</f>
        <v>0</v>
      </c>
      <c r="M27" s="9">
        <f>IFERROR(__xludf.DUMMYFUNCTION("""COMPUTED_VALUE"""),0.0)</f>
        <v>0</v>
      </c>
      <c r="N27" s="9">
        <f>IFERROR(__xludf.DUMMYFUNCTION("""COMPUTED_VALUE"""),0.0)</f>
        <v>0</v>
      </c>
      <c r="O27" s="9">
        <f>IFERROR(__xludf.DUMMYFUNCTION("""COMPUTED_VALUE"""),0.0)</f>
        <v>0</v>
      </c>
      <c r="P27" s="9">
        <f>IFERROR(__xludf.DUMMYFUNCTION("""COMPUTED_VALUE"""),0.0)</f>
        <v>0</v>
      </c>
      <c r="Q27" s="9">
        <f>IFERROR(__xludf.DUMMYFUNCTION("""COMPUTED_VALUE"""),1.0)</f>
        <v>1</v>
      </c>
      <c r="R27" s="9">
        <f>IFERROR(__xludf.DUMMYFUNCTION("""COMPUTED_VALUE"""),0.0)</f>
        <v>0</v>
      </c>
      <c r="S27" s="9">
        <f>IFERROR(__xludf.DUMMYFUNCTION("""COMPUTED_VALUE"""),0.0)</f>
        <v>0</v>
      </c>
      <c r="T27" s="9">
        <f>IFERROR(__xludf.DUMMYFUNCTION("""COMPUTED_VALUE"""),0.0)</f>
        <v>0</v>
      </c>
      <c r="U27" s="9">
        <f>IFERROR(__xludf.DUMMYFUNCTION("""COMPUTED_VALUE"""),0.0)</f>
        <v>0</v>
      </c>
      <c r="V27" s="9">
        <f>IFERROR(__xludf.DUMMYFUNCTION("""COMPUTED_VALUE"""),0.0)</f>
        <v>0</v>
      </c>
      <c r="W27" s="9">
        <f>IFERROR(__xludf.DUMMYFUNCTION("""COMPUTED_VALUE"""),0.0)</f>
        <v>0</v>
      </c>
      <c r="X27" s="9">
        <f>IFERROR(__xludf.DUMMYFUNCTION("""COMPUTED_VALUE"""),0.0)</f>
        <v>0</v>
      </c>
      <c r="Y27" s="9">
        <f>IFERROR(__xludf.DUMMYFUNCTION("""COMPUTED_VALUE"""),0.0)</f>
        <v>0</v>
      </c>
      <c r="Z27" s="9">
        <f>IFERROR(__xludf.DUMMYFUNCTION("""COMPUTED_VALUE"""),0.0)</f>
        <v>0</v>
      </c>
      <c r="AA27" s="9">
        <f>IFERROR(__xludf.DUMMYFUNCTION("""COMPUTED_VALUE"""),0.0)</f>
        <v>0</v>
      </c>
      <c r="AB27" s="9">
        <f>IFERROR(__xludf.DUMMYFUNCTION("""COMPUTED_VALUE"""),0.0)</f>
        <v>0</v>
      </c>
      <c r="AC27" s="9">
        <f>IFERROR(__xludf.DUMMYFUNCTION("""COMPUTED_VALUE"""),0.0)</f>
        <v>0</v>
      </c>
      <c r="AD27" s="9">
        <f>IFERROR(__xludf.DUMMYFUNCTION("""COMPUTED_VALUE"""),1.0)</f>
        <v>1</v>
      </c>
      <c r="AE27" s="9">
        <f>IFERROR(__xludf.DUMMYFUNCTION("""COMPUTED_VALUE"""),0.0)</f>
        <v>0</v>
      </c>
      <c r="AF27" s="9">
        <f>IFERROR(__xludf.DUMMYFUNCTION("""COMPUTED_VALUE"""),0.0)</f>
        <v>0</v>
      </c>
      <c r="AG27" s="9">
        <f>IFERROR(__xludf.DUMMYFUNCTION("""COMPUTED_VALUE"""),0.0)</f>
        <v>0</v>
      </c>
      <c r="AH27" s="9">
        <f>IFERROR(__xludf.DUMMYFUNCTION("""COMPUTED_VALUE"""),0.0)</f>
        <v>0</v>
      </c>
      <c r="AI27" s="9">
        <f>IFERROR(__xludf.DUMMYFUNCTION("""COMPUTED_VALUE"""),0.0)</f>
        <v>0</v>
      </c>
      <c r="AJ27" s="9">
        <f>IFERROR(__xludf.DUMMYFUNCTION("""COMPUTED_VALUE"""),0.0)</f>
        <v>0</v>
      </c>
      <c r="AK27" s="6" t="str">
        <f>IFERROR(__xludf.DUMMYFUNCTION("SPLIT(""Matt LaFleur,Adam Stenavich,Jordan Love,Romeo Doubs,Jayden Reed,N/A,Rasheed Walker,N/A,Josh Myers,Jon Runyan Jr.,Zach Tom"","","")"),"Matt LaFleur")</f>
        <v>Matt LaFleur</v>
      </c>
      <c r="AL27" s="9" t="str">
        <f>IFERROR(__xludf.DUMMYFUNCTION("""COMPUTED_VALUE"""),"Adam Stenavich")</f>
        <v>Adam Stenavich</v>
      </c>
      <c r="AM27" s="9" t="str">
        <f>IFERROR(__xludf.DUMMYFUNCTION("""COMPUTED_VALUE"""),"Jordan Love")</f>
        <v>Jordan Love</v>
      </c>
      <c r="AN27" s="9" t="str">
        <f>IFERROR(__xludf.DUMMYFUNCTION("""COMPUTED_VALUE"""),"Romeo Doubs")</f>
        <v>Romeo Doubs</v>
      </c>
      <c r="AO27" s="9" t="str">
        <f>IFERROR(__xludf.DUMMYFUNCTION("""COMPUTED_VALUE"""),"Jayden Reed")</f>
        <v>Jayden Reed</v>
      </c>
      <c r="AP27" s="9" t="str">
        <f>IFERROR(__xludf.DUMMYFUNCTION("""COMPUTED_VALUE"""),"N/A")</f>
        <v>N/A</v>
      </c>
      <c r="AQ27" s="9" t="str">
        <f>IFERROR(__xludf.DUMMYFUNCTION("""COMPUTED_VALUE"""),"Rasheed Walker")</f>
        <v>Rasheed Walker</v>
      </c>
      <c r="AR27" s="9" t="str">
        <f>IFERROR(__xludf.DUMMYFUNCTION("""COMPUTED_VALUE"""),"N/A")</f>
        <v>N/A</v>
      </c>
      <c r="AS27" s="9" t="str">
        <f>IFERROR(__xludf.DUMMYFUNCTION("""COMPUTED_VALUE"""),"Josh Myers")</f>
        <v>Josh Myers</v>
      </c>
      <c r="AT27" s="9" t="str">
        <f>IFERROR(__xludf.DUMMYFUNCTION("""COMPUTED_VALUE"""),"Jon Runyan Jr.")</f>
        <v>Jon Runyan Jr.</v>
      </c>
      <c r="AU27" s="9" t="str">
        <f>IFERROR(__xludf.DUMMYFUNCTION("""COMPUTED_VALUE"""),"Zach Tom")</f>
        <v>Zach Tom</v>
      </c>
    </row>
    <row r="28">
      <c r="A28" s="11" t="s">
        <v>71</v>
      </c>
      <c r="B28" s="8">
        <v>2.0</v>
      </c>
      <c r="C28" s="9">
        <f>IFERROR(__xludf.DUMMYFUNCTION("SPLIT(""23,ATL,NFL,RB,17,3,186,683,4,39,48.4,31,3.7,40.2,10.9,23,18,193,10.7,1,6,39.1,75,1.1,11.4,78.3,8.4,204,4.3,876,5,0,5,0,"","","")"),23.0)</f>
        <v>23</v>
      </c>
      <c r="D28" s="9" t="str">
        <f>IFERROR(__xludf.DUMMYFUNCTION("""COMPUTED_VALUE"""),"ATL")</f>
        <v>ATL</v>
      </c>
      <c r="E28" s="9" t="str">
        <f>IFERROR(__xludf.DUMMYFUNCTION("""COMPUTED_VALUE"""),"NFL")</f>
        <v>NFL</v>
      </c>
      <c r="F28" s="9" t="str">
        <f>IFERROR(__xludf.DUMMYFUNCTION("""COMPUTED_VALUE"""),"RB")</f>
        <v>RB</v>
      </c>
      <c r="G28" s="9">
        <f>IFERROR(__xludf.DUMMYFUNCTION("""COMPUTED_VALUE"""),17.0)</f>
        <v>17</v>
      </c>
      <c r="H28" s="9">
        <f>IFERROR(__xludf.DUMMYFUNCTION("""COMPUTED_VALUE"""),3.0)</f>
        <v>3</v>
      </c>
      <c r="I28" s="9">
        <f>IFERROR(__xludf.DUMMYFUNCTION("""COMPUTED_VALUE"""),186.0)</f>
        <v>186</v>
      </c>
      <c r="J28" s="9">
        <f>IFERROR(__xludf.DUMMYFUNCTION("""COMPUTED_VALUE"""),683.0)</f>
        <v>683</v>
      </c>
      <c r="K28" s="9">
        <f>IFERROR(__xludf.DUMMYFUNCTION("""COMPUTED_VALUE"""),4.0)</f>
        <v>4</v>
      </c>
      <c r="L28" s="9">
        <f>IFERROR(__xludf.DUMMYFUNCTION("""COMPUTED_VALUE"""),39.0)</f>
        <v>39</v>
      </c>
      <c r="M28" s="9">
        <f>IFERROR(__xludf.DUMMYFUNCTION("""COMPUTED_VALUE"""),48.4)</f>
        <v>48.4</v>
      </c>
      <c r="N28" s="9">
        <f>IFERROR(__xludf.DUMMYFUNCTION("""COMPUTED_VALUE"""),31.0)</f>
        <v>31</v>
      </c>
      <c r="O28" s="9">
        <f>IFERROR(__xludf.DUMMYFUNCTION("""COMPUTED_VALUE"""),3.7)</f>
        <v>3.7</v>
      </c>
      <c r="P28" s="9">
        <f>IFERROR(__xludf.DUMMYFUNCTION("""COMPUTED_VALUE"""),40.2)</f>
        <v>40.2</v>
      </c>
      <c r="Q28" s="9">
        <f>IFERROR(__xludf.DUMMYFUNCTION("""COMPUTED_VALUE"""),10.9)</f>
        <v>10.9</v>
      </c>
      <c r="R28" s="9">
        <f>IFERROR(__xludf.DUMMYFUNCTION("""COMPUTED_VALUE"""),23.0)</f>
        <v>23</v>
      </c>
      <c r="S28" s="9">
        <f>IFERROR(__xludf.DUMMYFUNCTION("""COMPUTED_VALUE"""),18.0)</f>
        <v>18</v>
      </c>
      <c r="T28" s="9">
        <f>IFERROR(__xludf.DUMMYFUNCTION("""COMPUTED_VALUE"""),193.0)</f>
        <v>193</v>
      </c>
      <c r="U28" s="9">
        <f>IFERROR(__xludf.DUMMYFUNCTION("""COMPUTED_VALUE"""),10.7)</f>
        <v>10.7</v>
      </c>
      <c r="V28" s="9">
        <f>IFERROR(__xludf.DUMMYFUNCTION("""COMPUTED_VALUE"""),1.0)</f>
        <v>1</v>
      </c>
      <c r="W28" s="9">
        <f>IFERROR(__xludf.DUMMYFUNCTION("""COMPUTED_VALUE"""),6.0)</f>
        <v>6</v>
      </c>
      <c r="X28" s="9">
        <f>IFERROR(__xludf.DUMMYFUNCTION("""COMPUTED_VALUE"""),39.1)</f>
        <v>39.1</v>
      </c>
      <c r="Y28" s="9">
        <f>IFERROR(__xludf.DUMMYFUNCTION("""COMPUTED_VALUE"""),75.0)</f>
        <v>75</v>
      </c>
      <c r="Z28" s="9">
        <f>IFERROR(__xludf.DUMMYFUNCTION("""COMPUTED_VALUE"""),1.1)</f>
        <v>1.1</v>
      </c>
      <c r="AA28" s="9">
        <f>IFERROR(__xludf.DUMMYFUNCTION("""COMPUTED_VALUE"""),11.4)</f>
        <v>11.4</v>
      </c>
      <c r="AB28" s="9">
        <f>IFERROR(__xludf.DUMMYFUNCTION("""COMPUTED_VALUE"""),78.3)</f>
        <v>78.3</v>
      </c>
      <c r="AC28" s="9">
        <f>IFERROR(__xludf.DUMMYFUNCTION("""COMPUTED_VALUE"""),8.4)</f>
        <v>8.4</v>
      </c>
      <c r="AD28" s="9">
        <f>IFERROR(__xludf.DUMMYFUNCTION("""COMPUTED_VALUE"""),204.0)</f>
        <v>204</v>
      </c>
      <c r="AE28" s="9">
        <f>IFERROR(__xludf.DUMMYFUNCTION("""COMPUTED_VALUE"""),4.3)</f>
        <v>4.3</v>
      </c>
      <c r="AF28" s="9">
        <f>IFERROR(__xludf.DUMMYFUNCTION("""COMPUTED_VALUE"""),876.0)</f>
        <v>876</v>
      </c>
      <c r="AG28" s="9">
        <f>IFERROR(__xludf.DUMMYFUNCTION("""COMPUTED_VALUE"""),5.0)</f>
        <v>5</v>
      </c>
      <c r="AH28" s="9">
        <f>IFERROR(__xludf.DUMMYFUNCTION("""COMPUTED_VALUE"""),0.0)</f>
        <v>0</v>
      </c>
      <c r="AI28" s="9">
        <f>IFERROR(__xludf.DUMMYFUNCTION("""COMPUTED_VALUE"""),5.0)</f>
        <v>5</v>
      </c>
      <c r="AJ28" s="9">
        <f>IFERROR(__xludf.DUMMYFUNCTION("""COMPUTED_VALUE"""),0.0)</f>
        <v>0</v>
      </c>
      <c r="AK28" s="6" t="str">
        <f>IFERROR(__xludf.DUMMYFUNCTION("SPLIT(""Arthur Smith,Dave Ragone,Desmond Ridder,Drake London,N/A,N/A,Jake Matthews,Matthew Bergeron,Drew Dalman,N/A,Kaleb McGary"","","")"),"Arthur Smith")</f>
        <v>Arthur Smith</v>
      </c>
      <c r="AL28" s="9" t="str">
        <f>IFERROR(__xludf.DUMMYFUNCTION("""COMPUTED_VALUE"""),"Dave Ragone")</f>
        <v>Dave Ragone</v>
      </c>
      <c r="AM28" s="9" t="str">
        <f>IFERROR(__xludf.DUMMYFUNCTION("""COMPUTED_VALUE"""),"Desmond Ridder")</f>
        <v>Desmond Ridder</v>
      </c>
      <c r="AN28" s="9" t="str">
        <f>IFERROR(__xludf.DUMMYFUNCTION("""COMPUTED_VALUE"""),"Drake London")</f>
        <v>Drake London</v>
      </c>
      <c r="AO28" s="9" t="str">
        <f>IFERROR(__xludf.DUMMYFUNCTION("""COMPUTED_VALUE"""),"N/A")</f>
        <v>N/A</v>
      </c>
      <c r="AP28" s="9" t="str">
        <f>IFERROR(__xludf.DUMMYFUNCTION("""COMPUTED_VALUE"""),"N/A")</f>
        <v>N/A</v>
      </c>
      <c r="AQ28" s="9" t="str">
        <f>IFERROR(__xludf.DUMMYFUNCTION("""COMPUTED_VALUE"""),"Jake Matthews")</f>
        <v>Jake Matthews</v>
      </c>
      <c r="AR28" s="9" t="str">
        <f>IFERROR(__xludf.DUMMYFUNCTION("""COMPUTED_VALUE"""),"Matthew Bergeron")</f>
        <v>Matthew Bergeron</v>
      </c>
      <c r="AS28" s="9" t="str">
        <f>IFERROR(__xludf.DUMMYFUNCTION("""COMPUTED_VALUE"""),"Drew Dalman")</f>
        <v>Drew Dalman</v>
      </c>
      <c r="AT28" s="9" t="str">
        <f>IFERROR(__xludf.DUMMYFUNCTION("""COMPUTED_VALUE"""),"N/A")</f>
        <v>N/A</v>
      </c>
      <c r="AU28" s="9" t="str">
        <f>IFERROR(__xludf.DUMMYFUNCTION("""COMPUTED_VALUE"""),"Kaleb McGary")</f>
        <v>Kaleb McGary</v>
      </c>
    </row>
    <row r="29">
      <c r="A29" s="11" t="s">
        <v>72</v>
      </c>
      <c r="B29" s="8">
        <v>11.0</v>
      </c>
      <c r="C29" s="9">
        <f>IFERROR(__xludf.DUMMYFUNCTION("SPLIT(""32,ATL,NFL,RB,14,0,50,181,0,9,46.0,18,3.6,12.9,3.6,12,9,38,4.2,1,2,33.3,11,0.6,2.7,75.0,3.2,59,3.7,219,1,1,1,0,"","","")"),32.0)</f>
        <v>32</v>
      </c>
      <c r="D29" s="9" t="str">
        <f>IFERROR(__xludf.DUMMYFUNCTION("""COMPUTED_VALUE"""),"ATL")</f>
        <v>ATL</v>
      </c>
      <c r="E29" s="9" t="str">
        <f>IFERROR(__xludf.DUMMYFUNCTION("""COMPUTED_VALUE"""),"NFL")</f>
        <v>NFL</v>
      </c>
      <c r="F29" s="9" t="str">
        <f>IFERROR(__xludf.DUMMYFUNCTION("""COMPUTED_VALUE"""),"RB")</f>
        <v>RB</v>
      </c>
      <c r="G29" s="9">
        <f>IFERROR(__xludf.DUMMYFUNCTION("""COMPUTED_VALUE"""),14.0)</f>
        <v>14</v>
      </c>
      <c r="H29" s="9">
        <f>IFERROR(__xludf.DUMMYFUNCTION("""COMPUTED_VALUE"""),0.0)</f>
        <v>0</v>
      </c>
      <c r="I29" s="9">
        <f>IFERROR(__xludf.DUMMYFUNCTION("""COMPUTED_VALUE"""),50.0)</f>
        <v>50</v>
      </c>
      <c r="J29" s="9">
        <f>IFERROR(__xludf.DUMMYFUNCTION("""COMPUTED_VALUE"""),181.0)</f>
        <v>181</v>
      </c>
      <c r="K29" s="9">
        <f>IFERROR(__xludf.DUMMYFUNCTION("""COMPUTED_VALUE"""),0.0)</f>
        <v>0</v>
      </c>
      <c r="L29" s="9">
        <f>IFERROR(__xludf.DUMMYFUNCTION("""COMPUTED_VALUE"""),9.0)</f>
        <v>9</v>
      </c>
      <c r="M29" s="9">
        <f>IFERROR(__xludf.DUMMYFUNCTION("""COMPUTED_VALUE"""),46.0)</f>
        <v>46</v>
      </c>
      <c r="N29" s="9">
        <f>IFERROR(__xludf.DUMMYFUNCTION("""COMPUTED_VALUE"""),18.0)</f>
        <v>18</v>
      </c>
      <c r="O29" s="9">
        <f>IFERROR(__xludf.DUMMYFUNCTION("""COMPUTED_VALUE"""),3.6)</f>
        <v>3.6</v>
      </c>
      <c r="P29" s="9">
        <f>IFERROR(__xludf.DUMMYFUNCTION("""COMPUTED_VALUE"""),12.9)</f>
        <v>12.9</v>
      </c>
      <c r="Q29" s="9">
        <f>IFERROR(__xludf.DUMMYFUNCTION("""COMPUTED_VALUE"""),3.6)</f>
        <v>3.6</v>
      </c>
      <c r="R29" s="9">
        <f>IFERROR(__xludf.DUMMYFUNCTION("""COMPUTED_VALUE"""),12.0)</f>
        <v>12</v>
      </c>
      <c r="S29" s="9">
        <f>IFERROR(__xludf.DUMMYFUNCTION("""COMPUTED_VALUE"""),9.0)</f>
        <v>9</v>
      </c>
      <c r="T29" s="9">
        <f>IFERROR(__xludf.DUMMYFUNCTION("""COMPUTED_VALUE"""),38.0)</f>
        <v>38</v>
      </c>
      <c r="U29" s="9">
        <f>IFERROR(__xludf.DUMMYFUNCTION("""COMPUTED_VALUE"""),4.2)</f>
        <v>4.2</v>
      </c>
      <c r="V29" s="9">
        <f>IFERROR(__xludf.DUMMYFUNCTION("""COMPUTED_VALUE"""),1.0)</f>
        <v>1</v>
      </c>
      <c r="W29" s="9">
        <f>IFERROR(__xludf.DUMMYFUNCTION("""COMPUTED_VALUE"""),2.0)</f>
        <v>2</v>
      </c>
      <c r="X29" s="9">
        <f>IFERROR(__xludf.DUMMYFUNCTION("""COMPUTED_VALUE"""),33.3)</f>
        <v>33.3</v>
      </c>
      <c r="Y29" s="9">
        <f>IFERROR(__xludf.DUMMYFUNCTION("""COMPUTED_VALUE"""),11.0)</f>
        <v>11</v>
      </c>
      <c r="Z29" s="9">
        <f>IFERROR(__xludf.DUMMYFUNCTION("""COMPUTED_VALUE"""),0.6)</f>
        <v>0.6</v>
      </c>
      <c r="AA29" s="9">
        <f>IFERROR(__xludf.DUMMYFUNCTION("""COMPUTED_VALUE"""),2.7)</f>
        <v>2.7</v>
      </c>
      <c r="AB29" s="9">
        <f>IFERROR(__xludf.DUMMYFUNCTION("""COMPUTED_VALUE"""),75.0)</f>
        <v>75</v>
      </c>
      <c r="AC29" s="9">
        <f>IFERROR(__xludf.DUMMYFUNCTION("""COMPUTED_VALUE"""),3.2)</f>
        <v>3.2</v>
      </c>
      <c r="AD29" s="9">
        <f>IFERROR(__xludf.DUMMYFUNCTION("""COMPUTED_VALUE"""),59.0)</f>
        <v>59</v>
      </c>
      <c r="AE29" s="9">
        <f>IFERROR(__xludf.DUMMYFUNCTION("""COMPUTED_VALUE"""),3.7)</f>
        <v>3.7</v>
      </c>
      <c r="AF29" s="9">
        <f>IFERROR(__xludf.DUMMYFUNCTION("""COMPUTED_VALUE"""),219.0)</f>
        <v>219</v>
      </c>
      <c r="AG29" s="9">
        <f>IFERROR(__xludf.DUMMYFUNCTION("""COMPUTED_VALUE"""),1.0)</f>
        <v>1</v>
      </c>
      <c r="AH29" s="9">
        <f>IFERROR(__xludf.DUMMYFUNCTION("""COMPUTED_VALUE"""),1.0)</f>
        <v>1</v>
      </c>
      <c r="AI29" s="9">
        <f>IFERROR(__xludf.DUMMYFUNCTION("""COMPUTED_VALUE"""),1.0)</f>
        <v>1</v>
      </c>
      <c r="AJ29" s="9">
        <f>IFERROR(__xludf.DUMMYFUNCTION("""COMPUTED_VALUE"""),0.0)</f>
        <v>0</v>
      </c>
      <c r="AK29" s="6" t="str">
        <f>IFERROR(__xludf.DUMMYFUNCTION("SPLIT(""Arthur Smith,Dave Ragone,Desmond Ridder,Drake London,N/A,N/A,Jake Matthews,Matthew Bergeron,Drew Dalman,N/A,Kaleb McGary"","","")"),"Arthur Smith")</f>
        <v>Arthur Smith</v>
      </c>
      <c r="AL29" s="9" t="str">
        <f>IFERROR(__xludf.DUMMYFUNCTION("""COMPUTED_VALUE"""),"Dave Ragone")</f>
        <v>Dave Ragone</v>
      </c>
      <c r="AM29" s="9" t="str">
        <f>IFERROR(__xludf.DUMMYFUNCTION("""COMPUTED_VALUE"""),"Desmond Ridder")</f>
        <v>Desmond Ridder</v>
      </c>
      <c r="AN29" s="9" t="str">
        <f>IFERROR(__xludf.DUMMYFUNCTION("""COMPUTED_VALUE"""),"Drake London")</f>
        <v>Drake London</v>
      </c>
      <c r="AO29" s="9" t="str">
        <f>IFERROR(__xludf.DUMMYFUNCTION("""COMPUTED_VALUE"""),"N/A")</f>
        <v>N/A</v>
      </c>
      <c r="AP29" s="9" t="str">
        <f>IFERROR(__xludf.DUMMYFUNCTION("""COMPUTED_VALUE"""),"N/A")</f>
        <v>N/A</v>
      </c>
      <c r="AQ29" s="9" t="str">
        <f>IFERROR(__xludf.DUMMYFUNCTION("""COMPUTED_VALUE"""),"Jake Matthews")</f>
        <v>Jake Matthews</v>
      </c>
      <c r="AR29" s="9" t="str">
        <f>IFERROR(__xludf.DUMMYFUNCTION("""COMPUTED_VALUE"""),"Matthew Bergeron")</f>
        <v>Matthew Bergeron</v>
      </c>
      <c r="AS29" s="9" t="str">
        <f>IFERROR(__xludf.DUMMYFUNCTION("""COMPUTED_VALUE"""),"Drew Dalman")</f>
        <v>Drew Dalman</v>
      </c>
      <c r="AT29" s="9" t="str">
        <f>IFERROR(__xludf.DUMMYFUNCTION("""COMPUTED_VALUE"""),"N/A")</f>
        <v>N/A</v>
      </c>
      <c r="AU29" s="9" t="str">
        <f>IFERROR(__xludf.DUMMYFUNCTION("""COMPUTED_VALUE"""),"Kaleb McGary")</f>
        <v>Kaleb McGary</v>
      </c>
    </row>
    <row r="30">
      <c r="A30" s="11" t="s">
        <v>73</v>
      </c>
      <c r="B30" s="8">
        <v>1.0</v>
      </c>
      <c r="C30" s="9">
        <f>IFERROR(__xludf.DUMMYFUNCTION("SPLIT(""21,ATL,NFL,RB,17,16,214,976,4,50,43.5,38,4.6,57.4,12.6,86,58,487,8.4,4,24,45.3,71,3.4,28.6,67.4,5.7,272,5.4,1463,8,4,9,AP ORoY-5,"","","")"),21.0)</f>
        <v>21</v>
      </c>
      <c r="D30" s="9" t="str">
        <f>IFERROR(__xludf.DUMMYFUNCTION("""COMPUTED_VALUE"""),"ATL")</f>
        <v>ATL</v>
      </c>
      <c r="E30" s="9" t="str">
        <f>IFERROR(__xludf.DUMMYFUNCTION("""COMPUTED_VALUE"""),"NFL")</f>
        <v>NFL</v>
      </c>
      <c r="F30" s="9" t="str">
        <f>IFERROR(__xludf.DUMMYFUNCTION("""COMPUTED_VALUE"""),"RB")</f>
        <v>RB</v>
      </c>
      <c r="G30" s="9">
        <f>IFERROR(__xludf.DUMMYFUNCTION("""COMPUTED_VALUE"""),17.0)</f>
        <v>17</v>
      </c>
      <c r="H30" s="9">
        <f>IFERROR(__xludf.DUMMYFUNCTION("""COMPUTED_VALUE"""),16.0)</f>
        <v>16</v>
      </c>
      <c r="I30" s="9">
        <f>IFERROR(__xludf.DUMMYFUNCTION("""COMPUTED_VALUE"""),214.0)</f>
        <v>214</v>
      </c>
      <c r="J30" s="9">
        <f>IFERROR(__xludf.DUMMYFUNCTION("""COMPUTED_VALUE"""),976.0)</f>
        <v>976</v>
      </c>
      <c r="K30" s="9">
        <f>IFERROR(__xludf.DUMMYFUNCTION("""COMPUTED_VALUE"""),4.0)</f>
        <v>4</v>
      </c>
      <c r="L30" s="9">
        <f>IFERROR(__xludf.DUMMYFUNCTION("""COMPUTED_VALUE"""),50.0)</f>
        <v>50</v>
      </c>
      <c r="M30" s="9">
        <f>IFERROR(__xludf.DUMMYFUNCTION("""COMPUTED_VALUE"""),43.5)</f>
        <v>43.5</v>
      </c>
      <c r="N30" s="9">
        <f>IFERROR(__xludf.DUMMYFUNCTION("""COMPUTED_VALUE"""),38.0)</f>
        <v>38</v>
      </c>
      <c r="O30" s="9">
        <f>IFERROR(__xludf.DUMMYFUNCTION("""COMPUTED_VALUE"""),4.6)</f>
        <v>4.6</v>
      </c>
      <c r="P30" s="9">
        <f>IFERROR(__xludf.DUMMYFUNCTION("""COMPUTED_VALUE"""),57.4)</f>
        <v>57.4</v>
      </c>
      <c r="Q30" s="9">
        <f>IFERROR(__xludf.DUMMYFUNCTION("""COMPUTED_VALUE"""),12.6)</f>
        <v>12.6</v>
      </c>
      <c r="R30" s="9">
        <f>IFERROR(__xludf.DUMMYFUNCTION("""COMPUTED_VALUE"""),86.0)</f>
        <v>86</v>
      </c>
      <c r="S30" s="9">
        <f>IFERROR(__xludf.DUMMYFUNCTION("""COMPUTED_VALUE"""),58.0)</f>
        <v>58</v>
      </c>
      <c r="T30" s="9">
        <f>IFERROR(__xludf.DUMMYFUNCTION("""COMPUTED_VALUE"""),487.0)</f>
        <v>487</v>
      </c>
      <c r="U30" s="9">
        <f>IFERROR(__xludf.DUMMYFUNCTION("""COMPUTED_VALUE"""),8.4)</f>
        <v>8.4</v>
      </c>
      <c r="V30" s="9">
        <f>IFERROR(__xludf.DUMMYFUNCTION("""COMPUTED_VALUE"""),4.0)</f>
        <v>4</v>
      </c>
      <c r="W30" s="9">
        <f>IFERROR(__xludf.DUMMYFUNCTION("""COMPUTED_VALUE"""),24.0)</f>
        <v>24</v>
      </c>
      <c r="X30" s="9">
        <f>IFERROR(__xludf.DUMMYFUNCTION("""COMPUTED_VALUE"""),45.3)</f>
        <v>45.3</v>
      </c>
      <c r="Y30" s="9">
        <f>IFERROR(__xludf.DUMMYFUNCTION("""COMPUTED_VALUE"""),71.0)</f>
        <v>71</v>
      </c>
      <c r="Z30" s="9">
        <f>IFERROR(__xludf.DUMMYFUNCTION("""COMPUTED_VALUE"""),3.4)</f>
        <v>3.4</v>
      </c>
      <c r="AA30" s="9">
        <f>IFERROR(__xludf.DUMMYFUNCTION("""COMPUTED_VALUE"""),28.6)</f>
        <v>28.6</v>
      </c>
      <c r="AB30" s="9">
        <f>IFERROR(__xludf.DUMMYFUNCTION("""COMPUTED_VALUE"""),67.4)</f>
        <v>67.4</v>
      </c>
      <c r="AC30" s="9">
        <f>IFERROR(__xludf.DUMMYFUNCTION("""COMPUTED_VALUE"""),5.7)</f>
        <v>5.7</v>
      </c>
      <c r="AD30" s="9">
        <f>IFERROR(__xludf.DUMMYFUNCTION("""COMPUTED_VALUE"""),272.0)</f>
        <v>272</v>
      </c>
      <c r="AE30" s="9">
        <f>IFERROR(__xludf.DUMMYFUNCTION("""COMPUTED_VALUE"""),5.4)</f>
        <v>5.4</v>
      </c>
      <c r="AF30" s="9">
        <f>IFERROR(__xludf.DUMMYFUNCTION("""COMPUTED_VALUE"""),1463.0)</f>
        <v>1463</v>
      </c>
      <c r="AG30" s="9">
        <f>IFERROR(__xludf.DUMMYFUNCTION("""COMPUTED_VALUE"""),8.0)</f>
        <v>8</v>
      </c>
      <c r="AH30" s="9">
        <f>IFERROR(__xludf.DUMMYFUNCTION("""COMPUTED_VALUE"""),4.0)</f>
        <v>4</v>
      </c>
      <c r="AI30" s="9">
        <f>IFERROR(__xludf.DUMMYFUNCTION("""COMPUTED_VALUE"""),9.0)</f>
        <v>9</v>
      </c>
      <c r="AJ30" s="9" t="str">
        <f>IFERROR(__xludf.DUMMYFUNCTION("""COMPUTED_VALUE"""),"AP ORoY-5")</f>
        <v>AP ORoY-5</v>
      </c>
      <c r="AK30" s="6" t="str">
        <f>IFERROR(__xludf.DUMMYFUNCTION("SPLIT(""Arthur Smith,Dave Ragone,Desmond Ridder,Drake London,N/A,N/A,Jake Matthews,Matthew Bergeron,Drew Dalman,N/A,Kaleb McGary"","","")"),"Arthur Smith")</f>
        <v>Arthur Smith</v>
      </c>
      <c r="AL30" s="9" t="str">
        <f>IFERROR(__xludf.DUMMYFUNCTION("""COMPUTED_VALUE"""),"Dave Ragone")</f>
        <v>Dave Ragone</v>
      </c>
      <c r="AM30" s="9" t="str">
        <f>IFERROR(__xludf.DUMMYFUNCTION("""COMPUTED_VALUE"""),"Desmond Ridder")</f>
        <v>Desmond Ridder</v>
      </c>
      <c r="AN30" s="9" t="str">
        <f>IFERROR(__xludf.DUMMYFUNCTION("""COMPUTED_VALUE"""),"Drake London")</f>
        <v>Drake London</v>
      </c>
      <c r="AO30" s="9" t="str">
        <f>IFERROR(__xludf.DUMMYFUNCTION("""COMPUTED_VALUE"""),"N/A")</f>
        <v>N/A</v>
      </c>
      <c r="AP30" s="9" t="str">
        <f>IFERROR(__xludf.DUMMYFUNCTION("""COMPUTED_VALUE"""),"N/A")</f>
        <v>N/A</v>
      </c>
      <c r="AQ30" s="9" t="str">
        <f>IFERROR(__xludf.DUMMYFUNCTION("""COMPUTED_VALUE"""),"Jake Matthews")</f>
        <v>Jake Matthews</v>
      </c>
      <c r="AR30" s="9" t="str">
        <f>IFERROR(__xludf.DUMMYFUNCTION("""COMPUTED_VALUE"""),"Matthew Bergeron")</f>
        <v>Matthew Bergeron</v>
      </c>
      <c r="AS30" s="9" t="str">
        <f>IFERROR(__xludf.DUMMYFUNCTION("""COMPUTED_VALUE"""),"Drew Dalman")</f>
        <v>Drew Dalman</v>
      </c>
      <c r="AT30" s="9" t="str">
        <f>IFERROR(__xludf.DUMMYFUNCTION("""COMPUTED_VALUE"""),"N/A")</f>
        <v>N/A</v>
      </c>
      <c r="AU30" s="9" t="str">
        <f>IFERROR(__xludf.DUMMYFUNCTION("""COMPUTED_VALUE"""),"Kaleb McGary")</f>
        <v>Kaleb McGary</v>
      </c>
    </row>
    <row r="31">
      <c r="A31" s="11" t="s">
        <v>74</v>
      </c>
      <c r="B31" s="8">
        <v>5.0</v>
      </c>
      <c r="C31" s="9">
        <f>IFERROR(__xludf.DUMMYFUNCTION("SPLIT(""28,BAL,NFL,RB,17,9,198,810,13,49,54.0,42,4.1,47.6,11.6,13,12,180,15.0,0,5,69.2,80,0.7,10.6,92.3,13.8,210,4.7,990,13,3,7,0,"","","")"),28.0)</f>
        <v>28</v>
      </c>
      <c r="D31" s="9" t="str">
        <f>IFERROR(__xludf.DUMMYFUNCTION("""COMPUTED_VALUE"""),"BAL")</f>
        <v>BAL</v>
      </c>
      <c r="E31" s="9" t="str">
        <f>IFERROR(__xludf.DUMMYFUNCTION("""COMPUTED_VALUE"""),"NFL")</f>
        <v>NFL</v>
      </c>
      <c r="F31" s="9" t="str">
        <f>IFERROR(__xludf.DUMMYFUNCTION("""COMPUTED_VALUE"""),"RB")</f>
        <v>RB</v>
      </c>
      <c r="G31" s="9">
        <f>IFERROR(__xludf.DUMMYFUNCTION("""COMPUTED_VALUE"""),17.0)</f>
        <v>17</v>
      </c>
      <c r="H31" s="9">
        <f>IFERROR(__xludf.DUMMYFUNCTION("""COMPUTED_VALUE"""),9.0)</f>
        <v>9</v>
      </c>
      <c r="I31" s="9">
        <f>IFERROR(__xludf.DUMMYFUNCTION("""COMPUTED_VALUE"""),198.0)</f>
        <v>198</v>
      </c>
      <c r="J31" s="9">
        <f>IFERROR(__xludf.DUMMYFUNCTION("""COMPUTED_VALUE"""),810.0)</f>
        <v>810</v>
      </c>
      <c r="K31" s="9">
        <f>IFERROR(__xludf.DUMMYFUNCTION("""COMPUTED_VALUE"""),13.0)</f>
        <v>13</v>
      </c>
      <c r="L31" s="9">
        <f>IFERROR(__xludf.DUMMYFUNCTION("""COMPUTED_VALUE"""),49.0)</f>
        <v>49</v>
      </c>
      <c r="M31" s="9">
        <f>IFERROR(__xludf.DUMMYFUNCTION("""COMPUTED_VALUE"""),54.0)</f>
        <v>54</v>
      </c>
      <c r="N31" s="9">
        <f>IFERROR(__xludf.DUMMYFUNCTION("""COMPUTED_VALUE"""),42.0)</f>
        <v>42</v>
      </c>
      <c r="O31" s="9">
        <f>IFERROR(__xludf.DUMMYFUNCTION("""COMPUTED_VALUE"""),4.1)</f>
        <v>4.1</v>
      </c>
      <c r="P31" s="9">
        <f>IFERROR(__xludf.DUMMYFUNCTION("""COMPUTED_VALUE"""),47.6)</f>
        <v>47.6</v>
      </c>
      <c r="Q31" s="9">
        <f>IFERROR(__xludf.DUMMYFUNCTION("""COMPUTED_VALUE"""),11.6)</f>
        <v>11.6</v>
      </c>
      <c r="R31" s="9">
        <f>IFERROR(__xludf.DUMMYFUNCTION("""COMPUTED_VALUE"""),13.0)</f>
        <v>13</v>
      </c>
      <c r="S31" s="9">
        <f>IFERROR(__xludf.DUMMYFUNCTION("""COMPUTED_VALUE"""),12.0)</f>
        <v>12</v>
      </c>
      <c r="T31" s="9">
        <f>IFERROR(__xludf.DUMMYFUNCTION("""COMPUTED_VALUE"""),180.0)</f>
        <v>180</v>
      </c>
      <c r="U31" s="9">
        <f>IFERROR(__xludf.DUMMYFUNCTION("""COMPUTED_VALUE"""),15.0)</f>
        <v>15</v>
      </c>
      <c r="V31" s="9">
        <f>IFERROR(__xludf.DUMMYFUNCTION("""COMPUTED_VALUE"""),0.0)</f>
        <v>0</v>
      </c>
      <c r="W31" s="9">
        <f>IFERROR(__xludf.DUMMYFUNCTION("""COMPUTED_VALUE"""),5.0)</f>
        <v>5</v>
      </c>
      <c r="X31" s="9">
        <f>IFERROR(__xludf.DUMMYFUNCTION("""COMPUTED_VALUE"""),69.2)</f>
        <v>69.2</v>
      </c>
      <c r="Y31" s="9">
        <f>IFERROR(__xludf.DUMMYFUNCTION("""COMPUTED_VALUE"""),80.0)</f>
        <v>80</v>
      </c>
      <c r="Z31" s="9">
        <f>IFERROR(__xludf.DUMMYFUNCTION("""COMPUTED_VALUE"""),0.7)</f>
        <v>0.7</v>
      </c>
      <c r="AA31" s="9">
        <f>IFERROR(__xludf.DUMMYFUNCTION("""COMPUTED_VALUE"""),10.6)</f>
        <v>10.6</v>
      </c>
      <c r="AB31" s="9">
        <f>IFERROR(__xludf.DUMMYFUNCTION("""COMPUTED_VALUE"""),92.3)</f>
        <v>92.3</v>
      </c>
      <c r="AC31" s="9">
        <f>IFERROR(__xludf.DUMMYFUNCTION("""COMPUTED_VALUE"""),13.8)</f>
        <v>13.8</v>
      </c>
      <c r="AD31" s="9">
        <f>IFERROR(__xludf.DUMMYFUNCTION("""COMPUTED_VALUE"""),210.0)</f>
        <v>210</v>
      </c>
      <c r="AE31" s="9">
        <f>IFERROR(__xludf.DUMMYFUNCTION("""COMPUTED_VALUE"""),4.7)</f>
        <v>4.7</v>
      </c>
      <c r="AF31" s="9">
        <f>IFERROR(__xludf.DUMMYFUNCTION("""COMPUTED_VALUE"""),990.0)</f>
        <v>990</v>
      </c>
      <c r="AG31" s="9">
        <f>IFERROR(__xludf.DUMMYFUNCTION("""COMPUTED_VALUE"""),13.0)</f>
        <v>13</v>
      </c>
      <c r="AH31" s="9">
        <f>IFERROR(__xludf.DUMMYFUNCTION("""COMPUTED_VALUE"""),3.0)</f>
        <v>3</v>
      </c>
      <c r="AI31" s="9">
        <f>IFERROR(__xludf.DUMMYFUNCTION("""COMPUTED_VALUE"""),7.0)</f>
        <v>7</v>
      </c>
      <c r="AJ31" s="9">
        <f>IFERROR(__xludf.DUMMYFUNCTION("""COMPUTED_VALUE"""),0.0)</f>
        <v>0</v>
      </c>
      <c r="AK31" s="6" t="str">
        <f>IFERROR(__xludf.DUMMYFUNCTION("SPLIT(""John Harbaugh,Todd Monken,Lamar Jackson,Rashod Bateman,Zay Flowers,N/A,Ronnie Stanley,John Simpson,Tyler Linderbaum,Kevin Zeitler,Morgan Moses"","","")"),"John Harbaugh")</f>
        <v>John Harbaugh</v>
      </c>
      <c r="AL31" s="9" t="str">
        <f>IFERROR(__xludf.DUMMYFUNCTION("""COMPUTED_VALUE"""),"Todd Monken")</f>
        <v>Todd Monken</v>
      </c>
      <c r="AM31" s="9" t="str">
        <f>IFERROR(__xludf.DUMMYFUNCTION("""COMPUTED_VALUE"""),"Lamar Jackson")</f>
        <v>Lamar Jackson</v>
      </c>
      <c r="AN31" s="9" t="str">
        <f>IFERROR(__xludf.DUMMYFUNCTION("""COMPUTED_VALUE"""),"Rashod Bateman")</f>
        <v>Rashod Bateman</v>
      </c>
      <c r="AO31" s="9" t="str">
        <f>IFERROR(__xludf.DUMMYFUNCTION("""COMPUTED_VALUE"""),"Zay Flowers")</f>
        <v>Zay Flowers</v>
      </c>
      <c r="AP31" s="9" t="str">
        <f>IFERROR(__xludf.DUMMYFUNCTION("""COMPUTED_VALUE"""),"N/A")</f>
        <v>N/A</v>
      </c>
      <c r="AQ31" s="9" t="str">
        <f>IFERROR(__xludf.DUMMYFUNCTION("""COMPUTED_VALUE"""),"Ronnie Stanley")</f>
        <v>Ronnie Stanley</v>
      </c>
      <c r="AR31" s="9" t="str">
        <f>IFERROR(__xludf.DUMMYFUNCTION("""COMPUTED_VALUE"""),"John Simpson")</f>
        <v>John Simpson</v>
      </c>
      <c r="AS31" s="9" t="str">
        <f>IFERROR(__xludf.DUMMYFUNCTION("""COMPUTED_VALUE"""),"Tyler Linderbaum")</f>
        <v>Tyler Linderbaum</v>
      </c>
      <c r="AT31" s="9" t="str">
        <f>IFERROR(__xludf.DUMMYFUNCTION("""COMPUTED_VALUE"""),"Kevin Zeitler")</f>
        <v>Kevin Zeitler</v>
      </c>
      <c r="AU31" s="9" t="str">
        <f>IFERROR(__xludf.DUMMYFUNCTION("""COMPUTED_VALUE"""),"Morgan Moses")</f>
        <v>Morgan Moses</v>
      </c>
    </row>
    <row r="32">
      <c r="A32" s="11" t="s">
        <v>75</v>
      </c>
      <c r="B32" s="8">
        <v>3.0</v>
      </c>
      <c r="C32" s="9">
        <f>IFERROR(__xludf.DUMMYFUNCTION("SPLIT(""25,BAL,NFL,RB,1,1,8,22,1,1,50.0,4,2.8,22.0,8.0,3,2,15,7.5,0,0,66.7,10,2.0,15.0,66.7,5.0,10,3.7,37,1,0,0,0,"","","")"),25.0)</f>
        <v>25</v>
      </c>
      <c r="D32" s="9" t="str">
        <f>IFERROR(__xludf.DUMMYFUNCTION("""COMPUTED_VALUE"""),"BAL")</f>
        <v>BAL</v>
      </c>
      <c r="E32" s="9" t="str">
        <f>IFERROR(__xludf.DUMMYFUNCTION("""COMPUTED_VALUE"""),"NFL")</f>
        <v>NFL</v>
      </c>
      <c r="F32" s="9" t="str">
        <f>IFERROR(__xludf.DUMMYFUNCTION("""COMPUTED_VALUE"""),"RB")</f>
        <v>RB</v>
      </c>
      <c r="G32" s="9">
        <f>IFERROR(__xludf.DUMMYFUNCTION("""COMPUTED_VALUE"""),1.0)</f>
        <v>1</v>
      </c>
      <c r="H32" s="9">
        <f>IFERROR(__xludf.DUMMYFUNCTION("""COMPUTED_VALUE"""),1.0)</f>
        <v>1</v>
      </c>
      <c r="I32" s="9">
        <f>IFERROR(__xludf.DUMMYFUNCTION("""COMPUTED_VALUE"""),8.0)</f>
        <v>8</v>
      </c>
      <c r="J32" s="9">
        <f>IFERROR(__xludf.DUMMYFUNCTION("""COMPUTED_VALUE"""),22.0)</f>
        <v>22</v>
      </c>
      <c r="K32" s="9">
        <f>IFERROR(__xludf.DUMMYFUNCTION("""COMPUTED_VALUE"""),1.0)</f>
        <v>1</v>
      </c>
      <c r="L32" s="9">
        <f>IFERROR(__xludf.DUMMYFUNCTION("""COMPUTED_VALUE"""),1.0)</f>
        <v>1</v>
      </c>
      <c r="M32" s="9">
        <f>IFERROR(__xludf.DUMMYFUNCTION("""COMPUTED_VALUE"""),50.0)</f>
        <v>50</v>
      </c>
      <c r="N32" s="9">
        <f>IFERROR(__xludf.DUMMYFUNCTION("""COMPUTED_VALUE"""),4.0)</f>
        <v>4</v>
      </c>
      <c r="O32" s="9">
        <f>IFERROR(__xludf.DUMMYFUNCTION("""COMPUTED_VALUE"""),2.8)</f>
        <v>2.8</v>
      </c>
      <c r="P32" s="9">
        <f>IFERROR(__xludf.DUMMYFUNCTION("""COMPUTED_VALUE"""),22.0)</f>
        <v>22</v>
      </c>
      <c r="Q32" s="9">
        <f>IFERROR(__xludf.DUMMYFUNCTION("""COMPUTED_VALUE"""),8.0)</f>
        <v>8</v>
      </c>
      <c r="R32" s="9">
        <f>IFERROR(__xludf.DUMMYFUNCTION("""COMPUTED_VALUE"""),3.0)</f>
        <v>3</v>
      </c>
      <c r="S32" s="9">
        <f>IFERROR(__xludf.DUMMYFUNCTION("""COMPUTED_VALUE"""),2.0)</f>
        <v>2</v>
      </c>
      <c r="T32" s="9">
        <f>IFERROR(__xludf.DUMMYFUNCTION("""COMPUTED_VALUE"""),15.0)</f>
        <v>15</v>
      </c>
      <c r="U32" s="9">
        <f>IFERROR(__xludf.DUMMYFUNCTION("""COMPUTED_VALUE"""),7.5)</f>
        <v>7.5</v>
      </c>
      <c r="V32" s="9">
        <f>IFERROR(__xludf.DUMMYFUNCTION("""COMPUTED_VALUE"""),0.0)</f>
        <v>0</v>
      </c>
      <c r="W32" s="9">
        <f>IFERROR(__xludf.DUMMYFUNCTION("""COMPUTED_VALUE"""),0.0)</f>
        <v>0</v>
      </c>
      <c r="X32" s="9">
        <f>IFERROR(__xludf.DUMMYFUNCTION("""COMPUTED_VALUE"""),66.7)</f>
        <v>66.7</v>
      </c>
      <c r="Y32" s="9">
        <f>IFERROR(__xludf.DUMMYFUNCTION("""COMPUTED_VALUE"""),10.0)</f>
        <v>10</v>
      </c>
      <c r="Z32" s="9">
        <f>IFERROR(__xludf.DUMMYFUNCTION("""COMPUTED_VALUE"""),2.0)</f>
        <v>2</v>
      </c>
      <c r="AA32" s="9">
        <f>IFERROR(__xludf.DUMMYFUNCTION("""COMPUTED_VALUE"""),15.0)</f>
        <v>15</v>
      </c>
      <c r="AB32" s="9">
        <f>IFERROR(__xludf.DUMMYFUNCTION("""COMPUTED_VALUE"""),66.7)</f>
        <v>66.7</v>
      </c>
      <c r="AC32" s="9">
        <f>IFERROR(__xludf.DUMMYFUNCTION("""COMPUTED_VALUE"""),5.0)</f>
        <v>5</v>
      </c>
      <c r="AD32" s="9">
        <f>IFERROR(__xludf.DUMMYFUNCTION("""COMPUTED_VALUE"""),10.0)</f>
        <v>10</v>
      </c>
      <c r="AE32" s="9">
        <f>IFERROR(__xludf.DUMMYFUNCTION("""COMPUTED_VALUE"""),3.7)</f>
        <v>3.7</v>
      </c>
      <c r="AF32" s="9">
        <f>IFERROR(__xludf.DUMMYFUNCTION("""COMPUTED_VALUE"""),37.0)</f>
        <v>37</v>
      </c>
      <c r="AG32" s="9">
        <f>IFERROR(__xludf.DUMMYFUNCTION("""COMPUTED_VALUE"""),1.0)</f>
        <v>1</v>
      </c>
      <c r="AH32" s="9">
        <f>IFERROR(__xludf.DUMMYFUNCTION("""COMPUTED_VALUE"""),0.0)</f>
        <v>0</v>
      </c>
      <c r="AI32" s="9">
        <f>IFERROR(__xludf.DUMMYFUNCTION("""COMPUTED_VALUE"""),0.0)</f>
        <v>0</v>
      </c>
      <c r="AJ32" s="9">
        <f>IFERROR(__xludf.DUMMYFUNCTION("""COMPUTED_VALUE"""),0.0)</f>
        <v>0</v>
      </c>
      <c r="AK32" s="6" t="str">
        <f>IFERROR(__xludf.DUMMYFUNCTION("SPLIT(""John Harbaugh,Todd Monken,Lamar Jackson,Rashod Bateman,Zay Flowers,N/A,Ronnie Stanley,John Simpson,Tyler Linderbaum,Kevin Zeitler,Morgan Moses"","","")"),"John Harbaugh")</f>
        <v>John Harbaugh</v>
      </c>
      <c r="AL32" s="9" t="str">
        <f>IFERROR(__xludf.DUMMYFUNCTION("""COMPUTED_VALUE"""),"Todd Monken")</f>
        <v>Todd Monken</v>
      </c>
      <c r="AM32" s="9" t="str">
        <f>IFERROR(__xludf.DUMMYFUNCTION("""COMPUTED_VALUE"""),"Lamar Jackson")</f>
        <v>Lamar Jackson</v>
      </c>
      <c r="AN32" s="9" t="str">
        <f>IFERROR(__xludf.DUMMYFUNCTION("""COMPUTED_VALUE"""),"Rashod Bateman")</f>
        <v>Rashod Bateman</v>
      </c>
      <c r="AO32" s="9" t="str">
        <f>IFERROR(__xludf.DUMMYFUNCTION("""COMPUTED_VALUE"""),"Zay Flowers")</f>
        <v>Zay Flowers</v>
      </c>
      <c r="AP32" s="9" t="str">
        <f>IFERROR(__xludf.DUMMYFUNCTION("""COMPUTED_VALUE"""),"N/A")</f>
        <v>N/A</v>
      </c>
      <c r="AQ32" s="9" t="str">
        <f>IFERROR(__xludf.DUMMYFUNCTION("""COMPUTED_VALUE"""),"Ronnie Stanley")</f>
        <v>Ronnie Stanley</v>
      </c>
      <c r="AR32" s="9" t="str">
        <f>IFERROR(__xludf.DUMMYFUNCTION("""COMPUTED_VALUE"""),"John Simpson")</f>
        <v>John Simpson</v>
      </c>
      <c r="AS32" s="9" t="str">
        <f>IFERROR(__xludf.DUMMYFUNCTION("""COMPUTED_VALUE"""),"Tyler Linderbaum")</f>
        <v>Tyler Linderbaum</v>
      </c>
      <c r="AT32" s="9" t="str">
        <f>IFERROR(__xludf.DUMMYFUNCTION("""COMPUTED_VALUE"""),"Kevin Zeitler")</f>
        <v>Kevin Zeitler</v>
      </c>
      <c r="AU32" s="9" t="str">
        <f>IFERROR(__xludf.DUMMYFUNCTION("""COMPUTED_VALUE"""),"Morgan Moses")</f>
        <v>Morgan Moses</v>
      </c>
    </row>
    <row r="33">
      <c r="A33" s="11" t="s">
        <v>76</v>
      </c>
      <c r="B33" s="8">
        <v>2.0</v>
      </c>
      <c r="C33" s="11">
        <v>24.0</v>
      </c>
      <c r="D33" s="11" t="s">
        <v>77</v>
      </c>
      <c r="E33" s="11" t="s">
        <v>78</v>
      </c>
      <c r="F33" s="11" t="s">
        <v>79</v>
      </c>
      <c r="G33" s="11">
        <v>17.0</v>
      </c>
      <c r="H33" s="11">
        <v>13.0</v>
      </c>
      <c r="I33" s="11">
        <v>237.0</v>
      </c>
      <c r="J33" s="11">
        <v>1122.0</v>
      </c>
      <c r="K33" s="11">
        <v>2.0</v>
      </c>
      <c r="L33" s="11">
        <v>53.0</v>
      </c>
      <c r="M33" s="11">
        <v>55.7</v>
      </c>
      <c r="N33" s="11">
        <v>42.0</v>
      </c>
      <c r="O33" s="11">
        <v>4.7</v>
      </c>
      <c r="P33" s="11">
        <v>66.0</v>
      </c>
      <c r="Q33" s="11">
        <v>13.9</v>
      </c>
      <c r="R33" s="11">
        <v>54.0</v>
      </c>
      <c r="S33" s="11">
        <v>44.0</v>
      </c>
      <c r="T33" s="11">
        <v>445.0</v>
      </c>
      <c r="U33" s="11">
        <v>10.1</v>
      </c>
      <c r="V33" s="11">
        <v>4.0</v>
      </c>
      <c r="W33" s="11">
        <v>16.0</v>
      </c>
      <c r="X33" s="11">
        <v>59.3</v>
      </c>
      <c r="Y33" s="11">
        <v>48.0</v>
      </c>
      <c r="Z33" s="11">
        <v>2.6</v>
      </c>
      <c r="AA33" s="11">
        <v>26.2</v>
      </c>
      <c r="AB33" s="11">
        <v>81.5</v>
      </c>
      <c r="AC33" s="11">
        <v>8.2</v>
      </c>
      <c r="AD33" s="11">
        <v>281.0</v>
      </c>
      <c r="AE33" s="11">
        <v>5.6</v>
      </c>
      <c r="AF33" s="11">
        <v>1567.0</v>
      </c>
      <c r="AG33" s="11">
        <v>6.0</v>
      </c>
      <c r="AH33" s="11">
        <v>4.0</v>
      </c>
      <c r="AI33" s="11">
        <v>13.0</v>
      </c>
      <c r="AJ33" s="11" t="s">
        <v>80</v>
      </c>
      <c r="AK33" s="11" t="s">
        <v>81</v>
      </c>
      <c r="AL33" s="11" t="s">
        <v>82</v>
      </c>
      <c r="AM33" s="11" t="s">
        <v>83</v>
      </c>
      <c r="AN33" s="11" t="s">
        <v>84</v>
      </c>
      <c r="AO33" s="11" t="s">
        <v>85</v>
      </c>
      <c r="AP33" s="11" t="s">
        <v>86</v>
      </c>
      <c r="AQ33" s="11" t="s">
        <v>87</v>
      </c>
      <c r="AR33" s="11" t="s">
        <v>88</v>
      </c>
      <c r="AS33" s="11" t="s">
        <v>89</v>
      </c>
      <c r="AT33" s="11" t="s">
        <v>90</v>
      </c>
      <c r="AU33" s="11" t="s">
        <v>91</v>
      </c>
    </row>
    <row r="34">
      <c r="A34" s="11" t="s">
        <v>92</v>
      </c>
      <c r="B34" s="8">
        <v>3.0</v>
      </c>
      <c r="C34" s="9">
        <f>IFERROR(__xludf.DUMMYFUNCTION("SPLIT(""24,CAR,NFL,RB,17,12,238,902,5,59,47.5,22,3.8,53.1,14.0,44,39,233,6.0,0,9,36.4,25,2.3,13.7,88.6,5.3,277,4.1,1135,5,1,6,0,"","","")"),24.0)</f>
        <v>24</v>
      </c>
      <c r="D34" s="9" t="str">
        <f>IFERROR(__xludf.DUMMYFUNCTION("""COMPUTED_VALUE"""),"CAR")</f>
        <v>CAR</v>
      </c>
      <c r="E34" s="9" t="str">
        <f>IFERROR(__xludf.DUMMYFUNCTION("""COMPUTED_VALUE"""),"NFL")</f>
        <v>NFL</v>
      </c>
      <c r="F34" s="9" t="str">
        <f>IFERROR(__xludf.DUMMYFUNCTION("""COMPUTED_VALUE"""),"RB")</f>
        <v>RB</v>
      </c>
      <c r="G34" s="9">
        <f>IFERROR(__xludf.DUMMYFUNCTION("""COMPUTED_VALUE"""),17.0)</f>
        <v>17</v>
      </c>
      <c r="H34" s="9">
        <f>IFERROR(__xludf.DUMMYFUNCTION("""COMPUTED_VALUE"""),12.0)</f>
        <v>12</v>
      </c>
      <c r="I34" s="9">
        <f>IFERROR(__xludf.DUMMYFUNCTION("""COMPUTED_VALUE"""),238.0)</f>
        <v>238</v>
      </c>
      <c r="J34" s="9">
        <f>IFERROR(__xludf.DUMMYFUNCTION("""COMPUTED_VALUE"""),902.0)</f>
        <v>902</v>
      </c>
      <c r="K34" s="9">
        <f>IFERROR(__xludf.DUMMYFUNCTION("""COMPUTED_VALUE"""),5.0)</f>
        <v>5</v>
      </c>
      <c r="L34" s="9">
        <f>IFERROR(__xludf.DUMMYFUNCTION("""COMPUTED_VALUE"""),59.0)</f>
        <v>59</v>
      </c>
      <c r="M34" s="9">
        <f>IFERROR(__xludf.DUMMYFUNCTION("""COMPUTED_VALUE"""),47.5)</f>
        <v>47.5</v>
      </c>
      <c r="N34" s="9">
        <f>IFERROR(__xludf.DUMMYFUNCTION("""COMPUTED_VALUE"""),22.0)</f>
        <v>22</v>
      </c>
      <c r="O34" s="9">
        <f>IFERROR(__xludf.DUMMYFUNCTION("""COMPUTED_VALUE"""),3.8)</f>
        <v>3.8</v>
      </c>
      <c r="P34" s="9">
        <f>IFERROR(__xludf.DUMMYFUNCTION("""COMPUTED_VALUE"""),53.1)</f>
        <v>53.1</v>
      </c>
      <c r="Q34" s="9">
        <f>IFERROR(__xludf.DUMMYFUNCTION("""COMPUTED_VALUE"""),14.0)</f>
        <v>14</v>
      </c>
      <c r="R34" s="9">
        <f>IFERROR(__xludf.DUMMYFUNCTION("""COMPUTED_VALUE"""),44.0)</f>
        <v>44</v>
      </c>
      <c r="S34" s="9">
        <f>IFERROR(__xludf.DUMMYFUNCTION("""COMPUTED_VALUE"""),39.0)</f>
        <v>39</v>
      </c>
      <c r="T34" s="9">
        <f>IFERROR(__xludf.DUMMYFUNCTION("""COMPUTED_VALUE"""),233.0)</f>
        <v>233</v>
      </c>
      <c r="U34" s="9">
        <f>IFERROR(__xludf.DUMMYFUNCTION("""COMPUTED_VALUE"""),6.0)</f>
        <v>6</v>
      </c>
      <c r="V34" s="9">
        <f>IFERROR(__xludf.DUMMYFUNCTION("""COMPUTED_VALUE"""),0.0)</f>
        <v>0</v>
      </c>
      <c r="W34" s="9">
        <f>IFERROR(__xludf.DUMMYFUNCTION("""COMPUTED_VALUE"""),9.0)</f>
        <v>9</v>
      </c>
      <c r="X34" s="9">
        <f>IFERROR(__xludf.DUMMYFUNCTION("""COMPUTED_VALUE"""),36.4)</f>
        <v>36.4</v>
      </c>
      <c r="Y34" s="9">
        <f>IFERROR(__xludf.DUMMYFUNCTION("""COMPUTED_VALUE"""),25.0)</f>
        <v>25</v>
      </c>
      <c r="Z34" s="9">
        <f>IFERROR(__xludf.DUMMYFUNCTION("""COMPUTED_VALUE"""),2.3)</f>
        <v>2.3</v>
      </c>
      <c r="AA34" s="9">
        <f>IFERROR(__xludf.DUMMYFUNCTION("""COMPUTED_VALUE"""),13.7)</f>
        <v>13.7</v>
      </c>
      <c r="AB34" s="9">
        <f>IFERROR(__xludf.DUMMYFUNCTION("""COMPUTED_VALUE"""),88.6)</f>
        <v>88.6</v>
      </c>
      <c r="AC34" s="9">
        <f>IFERROR(__xludf.DUMMYFUNCTION("""COMPUTED_VALUE"""),5.3)</f>
        <v>5.3</v>
      </c>
      <c r="AD34" s="9">
        <f>IFERROR(__xludf.DUMMYFUNCTION("""COMPUTED_VALUE"""),277.0)</f>
        <v>277</v>
      </c>
      <c r="AE34" s="9">
        <f>IFERROR(__xludf.DUMMYFUNCTION("""COMPUTED_VALUE"""),4.1)</f>
        <v>4.1</v>
      </c>
      <c r="AF34" s="9">
        <f>IFERROR(__xludf.DUMMYFUNCTION("""COMPUTED_VALUE"""),1135.0)</f>
        <v>1135</v>
      </c>
      <c r="AG34" s="9">
        <f>IFERROR(__xludf.DUMMYFUNCTION("""COMPUTED_VALUE"""),5.0)</f>
        <v>5</v>
      </c>
      <c r="AH34" s="9">
        <f>IFERROR(__xludf.DUMMYFUNCTION("""COMPUTED_VALUE"""),1.0)</f>
        <v>1</v>
      </c>
      <c r="AI34" s="9">
        <f>IFERROR(__xludf.DUMMYFUNCTION("""COMPUTED_VALUE"""),6.0)</f>
        <v>6</v>
      </c>
      <c r="AJ34" s="9">
        <f>IFERROR(__xludf.DUMMYFUNCTION("""COMPUTED_VALUE"""),0.0)</f>
        <v>0</v>
      </c>
      <c r="AK34" s="6" t="str">
        <f>IFERROR(__xludf.DUMMYFUNCTION("SPLIT(""Chris Tabor,Thomas Brown,Bryce Young,DJ Chark,Jonathan Mingo,N/A,Ikem Ekwonu,Chandler Zavala,Bradley Bozeman,Nash Jensen,Taylor Moton"","","")"),"Chris Tabor")</f>
        <v>Chris Tabor</v>
      </c>
      <c r="AL34" s="9" t="str">
        <f>IFERROR(__xludf.DUMMYFUNCTION("""COMPUTED_VALUE"""),"Thomas Brown")</f>
        <v>Thomas Brown</v>
      </c>
      <c r="AM34" s="9" t="str">
        <f>IFERROR(__xludf.DUMMYFUNCTION("""COMPUTED_VALUE"""),"Bryce Young")</f>
        <v>Bryce Young</v>
      </c>
      <c r="AN34" s="9" t="str">
        <f>IFERROR(__xludf.DUMMYFUNCTION("""COMPUTED_VALUE"""),"DJ Chark")</f>
        <v>DJ Chark</v>
      </c>
      <c r="AO34" s="9" t="str">
        <f>IFERROR(__xludf.DUMMYFUNCTION("""COMPUTED_VALUE"""),"Jonathan Mingo")</f>
        <v>Jonathan Mingo</v>
      </c>
      <c r="AP34" s="9" t="str">
        <f>IFERROR(__xludf.DUMMYFUNCTION("""COMPUTED_VALUE"""),"N/A")</f>
        <v>N/A</v>
      </c>
      <c r="AQ34" s="9" t="str">
        <f>IFERROR(__xludf.DUMMYFUNCTION("""COMPUTED_VALUE"""),"Ikem Ekwonu")</f>
        <v>Ikem Ekwonu</v>
      </c>
      <c r="AR34" s="9" t="str">
        <f>IFERROR(__xludf.DUMMYFUNCTION("""COMPUTED_VALUE"""),"Chandler Zavala")</f>
        <v>Chandler Zavala</v>
      </c>
      <c r="AS34" s="9" t="str">
        <f>IFERROR(__xludf.DUMMYFUNCTION("""COMPUTED_VALUE"""),"Bradley Bozeman")</f>
        <v>Bradley Bozeman</v>
      </c>
      <c r="AT34" s="9" t="str">
        <f>IFERROR(__xludf.DUMMYFUNCTION("""COMPUTED_VALUE"""),"Nash Jensen")</f>
        <v>Nash Jensen</v>
      </c>
      <c r="AU34" s="9" t="str">
        <f>IFERROR(__xludf.DUMMYFUNCTION("""COMPUTED_VALUE"""),"Taylor Moton")</f>
        <v>Taylor Moton</v>
      </c>
    </row>
    <row r="35">
      <c r="A35" s="11" t="s">
        <v>93</v>
      </c>
      <c r="B35" s="8">
        <v>6.0</v>
      </c>
      <c r="C35" s="9">
        <f>IFERROR(__xludf.DUMMYFUNCTION("SPLIT(""27,CHI,NFL,RB,9,8,109,425,4,24,53.2,22,3.9,47.2,12.1,16,11,77,7.0,1,6,43.8,17,1.2,8.6,68.8,4.8,120,4.2,502,5,1,3,0,"","","")"),27.0)</f>
        <v>27</v>
      </c>
      <c r="D35" s="9" t="str">
        <f>IFERROR(__xludf.DUMMYFUNCTION("""COMPUTED_VALUE"""),"CHI")</f>
        <v>CHI</v>
      </c>
      <c r="E35" s="9" t="str">
        <f>IFERROR(__xludf.DUMMYFUNCTION("""COMPUTED_VALUE"""),"NFL")</f>
        <v>NFL</v>
      </c>
      <c r="F35" s="9" t="str">
        <f>IFERROR(__xludf.DUMMYFUNCTION("""COMPUTED_VALUE"""),"RB")</f>
        <v>RB</v>
      </c>
      <c r="G35" s="9">
        <f>IFERROR(__xludf.DUMMYFUNCTION("""COMPUTED_VALUE"""),9.0)</f>
        <v>9</v>
      </c>
      <c r="H35" s="9">
        <f>IFERROR(__xludf.DUMMYFUNCTION("""COMPUTED_VALUE"""),8.0)</f>
        <v>8</v>
      </c>
      <c r="I35" s="9">
        <f>IFERROR(__xludf.DUMMYFUNCTION("""COMPUTED_VALUE"""),109.0)</f>
        <v>109</v>
      </c>
      <c r="J35" s="9">
        <f>IFERROR(__xludf.DUMMYFUNCTION("""COMPUTED_VALUE"""),425.0)</f>
        <v>425</v>
      </c>
      <c r="K35" s="9">
        <f>IFERROR(__xludf.DUMMYFUNCTION("""COMPUTED_VALUE"""),4.0)</f>
        <v>4</v>
      </c>
      <c r="L35" s="9">
        <f>IFERROR(__xludf.DUMMYFUNCTION("""COMPUTED_VALUE"""),24.0)</f>
        <v>24</v>
      </c>
      <c r="M35" s="9">
        <f>IFERROR(__xludf.DUMMYFUNCTION("""COMPUTED_VALUE"""),53.2)</f>
        <v>53.2</v>
      </c>
      <c r="N35" s="9">
        <f>IFERROR(__xludf.DUMMYFUNCTION("""COMPUTED_VALUE"""),22.0)</f>
        <v>22</v>
      </c>
      <c r="O35" s="9">
        <f>IFERROR(__xludf.DUMMYFUNCTION("""COMPUTED_VALUE"""),3.9)</f>
        <v>3.9</v>
      </c>
      <c r="P35" s="9">
        <f>IFERROR(__xludf.DUMMYFUNCTION("""COMPUTED_VALUE"""),47.2)</f>
        <v>47.2</v>
      </c>
      <c r="Q35" s="9">
        <f>IFERROR(__xludf.DUMMYFUNCTION("""COMPUTED_VALUE"""),12.1)</f>
        <v>12.1</v>
      </c>
      <c r="R35" s="9">
        <f>IFERROR(__xludf.DUMMYFUNCTION("""COMPUTED_VALUE"""),16.0)</f>
        <v>16</v>
      </c>
      <c r="S35" s="9">
        <f>IFERROR(__xludf.DUMMYFUNCTION("""COMPUTED_VALUE"""),11.0)</f>
        <v>11</v>
      </c>
      <c r="T35" s="9">
        <f>IFERROR(__xludf.DUMMYFUNCTION("""COMPUTED_VALUE"""),77.0)</f>
        <v>77</v>
      </c>
      <c r="U35" s="9">
        <f>IFERROR(__xludf.DUMMYFUNCTION("""COMPUTED_VALUE"""),7.0)</f>
        <v>7</v>
      </c>
      <c r="V35" s="9">
        <f>IFERROR(__xludf.DUMMYFUNCTION("""COMPUTED_VALUE"""),1.0)</f>
        <v>1</v>
      </c>
      <c r="W35" s="9">
        <f>IFERROR(__xludf.DUMMYFUNCTION("""COMPUTED_VALUE"""),6.0)</f>
        <v>6</v>
      </c>
      <c r="X35" s="9">
        <f>IFERROR(__xludf.DUMMYFUNCTION("""COMPUTED_VALUE"""),43.8)</f>
        <v>43.8</v>
      </c>
      <c r="Y35" s="9">
        <f>IFERROR(__xludf.DUMMYFUNCTION("""COMPUTED_VALUE"""),17.0)</f>
        <v>17</v>
      </c>
      <c r="Z35" s="9">
        <f>IFERROR(__xludf.DUMMYFUNCTION("""COMPUTED_VALUE"""),1.2)</f>
        <v>1.2</v>
      </c>
      <c r="AA35" s="9">
        <f>IFERROR(__xludf.DUMMYFUNCTION("""COMPUTED_VALUE"""),8.6)</f>
        <v>8.6</v>
      </c>
      <c r="AB35" s="9">
        <f>IFERROR(__xludf.DUMMYFUNCTION("""COMPUTED_VALUE"""),68.8)</f>
        <v>68.8</v>
      </c>
      <c r="AC35" s="9">
        <f>IFERROR(__xludf.DUMMYFUNCTION("""COMPUTED_VALUE"""),4.8)</f>
        <v>4.8</v>
      </c>
      <c r="AD35" s="9">
        <f>IFERROR(__xludf.DUMMYFUNCTION("""COMPUTED_VALUE"""),120.0)</f>
        <v>120</v>
      </c>
      <c r="AE35" s="9">
        <f>IFERROR(__xludf.DUMMYFUNCTION("""COMPUTED_VALUE"""),4.2)</f>
        <v>4.2</v>
      </c>
      <c r="AF35" s="9">
        <f>IFERROR(__xludf.DUMMYFUNCTION("""COMPUTED_VALUE"""),502.0)</f>
        <v>502</v>
      </c>
      <c r="AG35" s="9">
        <f>IFERROR(__xludf.DUMMYFUNCTION("""COMPUTED_VALUE"""),5.0)</f>
        <v>5</v>
      </c>
      <c r="AH35" s="9">
        <f>IFERROR(__xludf.DUMMYFUNCTION("""COMPUTED_VALUE"""),1.0)</f>
        <v>1</v>
      </c>
      <c r="AI35" s="9">
        <f>IFERROR(__xludf.DUMMYFUNCTION("""COMPUTED_VALUE"""),3.0)</f>
        <v>3</v>
      </c>
      <c r="AJ35" s="9">
        <f>IFERROR(__xludf.DUMMYFUNCTION("""COMPUTED_VALUE"""),0.0)</f>
        <v>0</v>
      </c>
      <c r="AK35" s="6" t="str">
        <f>IFERROR(__xludf.DUMMYFUNCTION("SPLIT(""Matt Eberflus,Luke Getsy,Justin Fields,Darnell Mooney,D.J. Moore,N/A,Braxton Jones,Cody Whitehair,Lucas Patrick,Nate Davis,Darnell Wright"","","")"),"Matt Eberflus")</f>
        <v>Matt Eberflus</v>
      </c>
      <c r="AL35" s="9" t="str">
        <f>IFERROR(__xludf.DUMMYFUNCTION("""COMPUTED_VALUE"""),"Luke Getsy")</f>
        <v>Luke Getsy</v>
      </c>
      <c r="AM35" s="9" t="str">
        <f>IFERROR(__xludf.DUMMYFUNCTION("""COMPUTED_VALUE"""),"Justin Fields")</f>
        <v>Justin Fields</v>
      </c>
      <c r="AN35" s="9" t="str">
        <f>IFERROR(__xludf.DUMMYFUNCTION("""COMPUTED_VALUE"""),"Darnell Mooney")</f>
        <v>Darnell Mooney</v>
      </c>
      <c r="AO35" s="9" t="str">
        <f>IFERROR(__xludf.DUMMYFUNCTION("""COMPUTED_VALUE"""),"D.J. Moore")</f>
        <v>D.J. Moore</v>
      </c>
      <c r="AP35" s="9" t="str">
        <f>IFERROR(__xludf.DUMMYFUNCTION("""COMPUTED_VALUE"""),"N/A")</f>
        <v>N/A</v>
      </c>
      <c r="AQ35" s="9" t="str">
        <f>IFERROR(__xludf.DUMMYFUNCTION("""COMPUTED_VALUE"""),"Braxton Jones")</f>
        <v>Braxton Jones</v>
      </c>
      <c r="AR35" s="9" t="str">
        <f>IFERROR(__xludf.DUMMYFUNCTION("""COMPUTED_VALUE"""),"Cody Whitehair")</f>
        <v>Cody Whitehair</v>
      </c>
      <c r="AS35" s="9" t="str">
        <f>IFERROR(__xludf.DUMMYFUNCTION("""COMPUTED_VALUE"""),"Lucas Patrick")</f>
        <v>Lucas Patrick</v>
      </c>
      <c r="AT35" s="9" t="str">
        <f>IFERROR(__xludf.DUMMYFUNCTION("""COMPUTED_VALUE"""),"Nate Davis")</f>
        <v>Nate Davis</v>
      </c>
      <c r="AU35" s="9" t="str">
        <f>IFERROR(__xludf.DUMMYFUNCTION("""COMPUTED_VALUE"""),"Darnell Wright")</f>
        <v>Darnell Wright</v>
      </c>
    </row>
    <row r="36">
      <c r="A36" s="12" t="s">
        <v>94</v>
      </c>
      <c r="B36" s="4">
        <v>7.0</v>
      </c>
      <c r="C36" s="5">
        <f>IFERROR(__xludf.DUMMYFUNCTION("SPLIT(""28,NOR,NFL,RB,13,4,106,306,1,19,39.6,17,2.9,23.5,8.2,20,18,62,3.4,0,1,30.0,12,1.4,4.8,90.0,3.1,124,3.0,368,1,1,2,0,"","","")"),28.0)</f>
        <v>28</v>
      </c>
      <c r="D36" s="6" t="str">
        <f>IFERROR(__xludf.DUMMYFUNCTION("""COMPUTED_VALUE"""),"NOR")</f>
        <v>NOR</v>
      </c>
      <c r="E36" s="6" t="str">
        <f>IFERROR(__xludf.DUMMYFUNCTION("""COMPUTED_VALUE"""),"NFL")</f>
        <v>NFL</v>
      </c>
      <c r="F36" s="6" t="str">
        <f>IFERROR(__xludf.DUMMYFUNCTION("""COMPUTED_VALUE"""),"RB")</f>
        <v>RB</v>
      </c>
      <c r="G36" s="5">
        <f>IFERROR(__xludf.DUMMYFUNCTION("""COMPUTED_VALUE"""),13.0)</f>
        <v>13</v>
      </c>
      <c r="H36" s="5">
        <f>IFERROR(__xludf.DUMMYFUNCTION("""COMPUTED_VALUE"""),4.0)</f>
        <v>4</v>
      </c>
      <c r="I36" s="5">
        <f>IFERROR(__xludf.DUMMYFUNCTION("""COMPUTED_VALUE"""),106.0)</f>
        <v>106</v>
      </c>
      <c r="J36" s="5">
        <f>IFERROR(__xludf.DUMMYFUNCTION("""COMPUTED_VALUE"""),306.0)</f>
        <v>306</v>
      </c>
      <c r="K36" s="5">
        <f>IFERROR(__xludf.DUMMYFUNCTION("""COMPUTED_VALUE"""),1.0)</f>
        <v>1</v>
      </c>
      <c r="L36" s="5">
        <f>IFERROR(__xludf.DUMMYFUNCTION("""COMPUTED_VALUE"""),19.0)</f>
        <v>19</v>
      </c>
      <c r="M36" s="5">
        <f>IFERROR(__xludf.DUMMYFUNCTION("""COMPUTED_VALUE"""),39.6)</f>
        <v>39.6</v>
      </c>
      <c r="N36" s="5">
        <f>IFERROR(__xludf.DUMMYFUNCTION("""COMPUTED_VALUE"""),17.0)</f>
        <v>17</v>
      </c>
      <c r="O36" s="5">
        <f>IFERROR(__xludf.DUMMYFUNCTION("""COMPUTED_VALUE"""),2.9)</f>
        <v>2.9</v>
      </c>
      <c r="P36" s="5">
        <f>IFERROR(__xludf.DUMMYFUNCTION("""COMPUTED_VALUE"""),23.5)</f>
        <v>23.5</v>
      </c>
      <c r="Q36" s="5">
        <f>IFERROR(__xludf.DUMMYFUNCTION("""COMPUTED_VALUE"""),8.2)</f>
        <v>8.2</v>
      </c>
      <c r="R36" s="5">
        <f>IFERROR(__xludf.DUMMYFUNCTION("""COMPUTED_VALUE"""),20.0)</f>
        <v>20</v>
      </c>
      <c r="S36" s="5">
        <f>IFERROR(__xludf.DUMMYFUNCTION("""COMPUTED_VALUE"""),18.0)</f>
        <v>18</v>
      </c>
      <c r="T36" s="5">
        <f>IFERROR(__xludf.DUMMYFUNCTION("""COMPUTED_VALUE"""),62.0)</f>
        <v>62</v>
      </c>
      <c r="U36" s="5">
        <f>IFERROR(__xludf.DUMMYFUNCTION("""COMPUTED_VALUE"""),3.4)</f>
        <v>3.4</v>
      </c>
      <c r="V36" s="5">
        <f>IFERROR(__xludf.DUMMYFUNCTION("""COMPUTED_VALUE"""),0.0)</f>
        <v>0</v>
      </c>
      <c r="W36" s="5">
        <f>IFERROR(__xludf.DUMMYFUNCTION("""COMPUTED_VALUE"""),1.0)</f>
        <v>1</v>
      </c>
      <c r="X36" s="5">
        <f>IFERROR(__xludf.DUMMYFUNCTION("""COMPUTED_VALUE"""),30.0)</f>
        <v>30</v>
      </c>
      <c r="Y36" s="5">
        <f>IFERROR(__xludf.DUMMYFUNCTION("""COMPUTED_VALUE"""),12.0)</f>
        <v>12</v>
      </c>
      <c r="Z36" s="5">
        <f>IFERROR(__xludf.DUMMYFUNCTION("""COMPUTED_VALUE"""),1.4)</f>
        <v>1.4</v>
      </c>
      <c r="AA36" s="5">
        <f>IFERROR(__xludf.DUMMYFUNCTION("""COMPUTED_VALUE"""),4.8)</f>
        <v>4.8</v>
      </c>
      <c r="AB36" s="5">
        <f>IFERROR(__xludf.DUMMYFUNCTION("""COMPUTED_VALUE"""),90.0)</f>
        <v>90</v>
      </c>
      <c r="AC36" s="5">
        <f>IFERROR(__xludf.DUMMYFUNCTION("""COMPUTED_VALUE"""),3.1)</f>
        <v>3.1</v>
      </c>
      <c r="AD36" s="5">
        <f>IFERROR(__xludf.DUMMYFUNCTION("""COMPUTED_VALUE"""),124.0)</f>
        <v>124</v>
      </c>
      <c r="AE36" s="5">
        <f>IFERROR(__xludf.DUMMYFUNCTION("""COMPUTED_VALUE"""),3.0)</f>
        <v>3</v>
      </c>
      <c r="AF36" s="5">
        <f>IFERROR(__xludf.DUMMYFUNCTION("""COMPUTED_VALUE"""),368.0)</f>
        <v>368</v>
      </c>
      <c r="AG36" s="5">
        <f>IFERROR(__xludf.DUMMYFUNCTION("""COMPUTED_VALUE"""),1.0)</f>
        <v>1</v>
      </c>
      <c r="AH36" s="5">
        <f>IFERROR(__xludf.DUMMYFUNCTION("""COMPUTED_VALUE"""),1.0)</f>
        <v>1</v>
      </c>
      <c r="AI36" s="5">
        <f>IFERROR(__xludf.DUMMYFUNCTION("""COMPUTED_VALUE"""),2.0)</f>
        <v>2</v>
      </c>
      <c r="AJ36" s="5">
        <f>IFERROR(__xludf.DUMMYFUNCTION("""COMPUTED_VALUE"""),0.0)</f>
        <v>0</v>
      </c>
      <c r="AK36" s="6" t="str">
        <f>IFERROR(__xludf.DUMMYFUNCTION("SPLIT(""Dennis Allen,Pete Carmichael,Derek Carr,Chris Olave,Rashid Shaheed,N/A,Andrus Peat,James Hurst,Erik McCoy,Cesar Ruiz,Ryan Ramczyk"","","")"),"Dennis Allen")</f>
        <v>Dennis Allen</v>
      </c>
      <c r="AL36" s="6" t="str">
        <f>IFERROR(__xludf.DUMMYFUNCTION("""COMPUTED_VALUE"""),"Pete Carmichael")</f>
        <v>Pete Carmichael</v>
      </c>
      <c r="AM36" s="6" t="str">
        <f>IFERROR(__xludf.DUMMYFUNCTION("""COMPUTED_VALUE"""),"Derek Carr")</f>
        <v>Derek Carr</v>
      </c>
      <c r="AN36" s="6" t="str">
        <f>IFERROR(__xludf.DUMMYFUNCTION("""COMPUTED_VALUE"""),"Chris Olave")</f>
        <v>Chris Olave</v>
      </c>
      <c r="AO36" s="6" t="str">
        <f>IFERROR(__xludf.DUMMYFUNCTION("""COMPUTED_VALUE"""),"Rashid Shaheed")</f>
        <v>Rashid Shaheed</v>
      </c>
      <c r="AP36" s="6" t="str">
        <f>IFERROR(__xludf.DUMMYFUNCTION("""COMPUTED_VALUE"""),"N/A")</f>
        <v>N/A</v>
      </c>
      <c r="AQ36" s="6" t="str">
        <f>IFERROR(__xludf.DUMMYFUNCTION("""COMPUTED_VALUE"""),"Andrus Peat")</f>
        <v>Andrus Peat</v>
      </c>
      <c r="AR36" s="6" t="str">
        <f>IFERROR(__xludf.DUMMYFUNCTION("""COMPUTED_VALUE"""),"James Hurst")</f>
        <v>James Hurst</v>
      </c>
      <c r="AS36" s="6" t="str">
        <f>IFERROR(__xludf.DUMMYFUNCTION("""COMPUTED_VALUE"""),"Erik McCoy")</f>
        <v>Erik McCoy</v>
      </c>
      <c r="AT36" s="6" t="str">
        <f>IFERROR(__xludf.DUMMYFUNCTION("""COMPUTED_VALUE"""),"Cesar Ruiz")</f>
        <v>Cesar Ruiz</v>
      </c>
      <c r="AU36" s="6" t="str">
        <f>IFERROR(__xludf.DUMMYFUNCTION("""COMPUTED_VALUE"""),"Ryan Ramczyk")</f>
        <v>Ryan Ramczyk</v>
      </c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</row>
    <row r="37">
      <c r="A37" s="12" t="s">
        <v>95</v>
      </c>
      <c r="B37" s="4">
        <v>7.0</v>
      </c>
      <c r="C37" s="5">
        <f>IFERROR(__xludf.DUMMYFUNCTION("SPLIT(""29,GNB,NFL,RB,11,11,142,656,2,34,62.0,39,4.6,59.6,12.9,43,30,233,7.8,1,13,39.5,51,2.7,21.2,69.8,5.4,172,5.2,889,3,2,7,0,"","","")"),29.0)</f>
        <v>29</v>
      </c>
      <c r="D37" s="6" t="str">
        <f>IFERROR(__xludf.DUMMYFUNCTION("""COMPUTED_VALUE"""),"GNB")</f>
        <v>GNB</v>
      </c>
      <c r="E37" s="6" t="str">
        <f>IFERROR(__xludf.DUMMYFUNCTION("""COMPUTED_VALUE"""),"NFL")</f>
        <v>NFL</v>
      </c>
      <c r="F37" s="6" t="str">
        <f>IFERROR(__xludf.DUMMYFUNCTION("""COMPUTED_VALUE"""),"RB")</f>
        <v>RB</v>
      </c>
      <c r="G37" s="5">
        <f>IFERROR(__xludf.DUMMYFUNCTION("""COMPUTED_VALUE"""),11.0)</f>
        <v>11</v>
      </c>
      <c r="H37" s="5">
        <f>IFERROR(__xludf.DUMMYFUNCTION("""COMPUTED_VALUE"""),11.0)</f>
        <v>11</v>
      </c>
      <c r="I37" s="5">
        <f>IFERROR(__xludf.DUMMYFUNCTION("""COMPUTED_VALUE"""),142.0)</f>
        <v>142</v>
      </c>
      <c r="J37" s="5">
        <f>IFERROR(__xludf.DUMMYFUNCTION("""COMPUTED_VALUE"""),656.0)</f>
        <v>656</v>
      </c>
      <c r="K37" s="5">
        <f>IFERROR(__xludf.DUMMYFUNCTION("""COMPUTED_VALUE"""),2.0)</f>
        <v>2</v>
      </c>
      <c r="L37" s="5">
        <f>IFERROR(__xludf.DUMMYFUNCTION("""COMPUTED_VALUE"""),34.0)</f>
        <v>34</v>
      </c>
      <c r="M37" s="5">
        <f>IFERROR(__xludf.DUMMYFUNCTION("""COMPUTED_VALUE"""),62.0)</f>
        <v>62</v>
      </c>
      <c r="N37" s="5">
        <f>IFERROR(__xludf.DUMMYFUNCTION("""COMPUTED_VALUE"""),39.0)</f>
        <v>39</v>
      </c>
      <c r="O37" s="5">
        <f>IFERROR(__xludf.DUMMYFUNCTION("""COMPUTED_VALUE"""),4.6)</f>
        <v>4.6</v>
      </c>
      <c r="P37" s="5">
        <f>IFERROR(__xludf.DUMMYFUNCTION("""COMPUTED_VALUE"""),59.6)</f>
        <v>59.6</v>
      </c>
      <c r="Q37" s="5">
        <f>IFERROR(__xludf.DUMMYFUNCTION("""COMPUTED_VALUE"""),12.9)</f>
        <v>12.9</v>
      </c>
      <c r="R37" s="5">
        <f>IFERROR(__xludf.DUMMYFUNCTION("""COMPUTED_VALUE"""),43.0)</f>
        <v>43</v>
      </c>
      <c r="S37" s="5">
        <f>IFERROR(__xludf.DUMMYFUNCTION("""COMPUTED_VALUE"""),30.0)</f>
        <v>30</v>
      </c>
      <c r="T37" s="5">
        <f>IFERROR(__xludf.DUMMYFUNCTION("""COMPUTED_VALUE"""),233.0)</f>
        <v>233</v>
      </c>
      <c r="U37" s="5">
        <f>IFERROR(__xludf.DUMMYFUNCTION("""COMPUTED_VALUE"""),7.8)</f>
        <v>7.8</v>
      </c>
      <c r="V37" s="5">
        <f>IFERROR(__xludf.DUMMYFUNCTION("""COMPUTED_VALUE"""),1.0)</f>
        <v>1</v>
      </c>
      <c r="W37" s="5">
        <f>IFERROR(__xludf.DUMMYFUNCTION("""COMPUTED_VALUE"""),13.0)</f>
        <v>13</v>
      </c>
      <c r="X37" s="5">
        <f>IFERROR(__xludf.DUMMYFUNCTION("""COMPUTED_VALUE"""),39.5)</f>
        <v>39.5</v>
      </c>
      <c r="Y37" s="5">
        <f>IFERROR(__xludf.DUMMYFUNCTION("""COMPUTED_VALUE"""),51.0)</f>
        <v>51</v>
      </c>
      <c r="Z37" s="5">
        <f>IFERROR(__xludf.DUMMYFUNCTION("""COMPUTED_VALUE"""),2.7)</f>
        <v>2.7</v>
      </c>
      <c r="AA37" s="5">
        <f>IFERROR(__xludf.DUMMYFUNCTION("""COMPUTED_VALUE"""),21.2)</f>
        <v>21.2</v>
      </c>
      <c r="AB37" s="5">
        <f>IFERROR(__xludf.DUMMYFUNCTION("""COMPUTED_VALUE"""),69.8)</f>
        <v>69.8</v>
      </c>
      <c r="AC37" s="5">
        <f>IFERROR(__xludf.DUMMYFUNCTION("""COMPUTED_VALUE"""),5.4)</f>
        <v>5.4</v>
      </c>
      <c r="AD37" s="5">
        <f>IFERROR(__xludf.DUMMYFUNCTION("""COMPUTED_VALUE"""),172.0)</f>
        <v>172</v>
      </c>
      <c r="AE37" s="5">
        <f>IFERROR(__xludf.DUMMYFUNCTION("""COMPUTED_VALUE"""),5.2)</f>
        <v>5.2</v>
      </c>
      <c r="AF37" s="5">
        <f>IFERROR(__xludf.DUMMYFUNCTION("""COMPUTED_VALUE"""),889.0)</f>
        <v>889</v>
      </c>
      <c r="AG37" s="5">
        <f>IFERROR(__xludf.DUMMYFUNCTION("""COMPUTED_VALUE"""),3.0)</f>
        <v>3</v>
      </c>
      <c r="AH37" s="5">
        <f>IFERROR(__xludf.DUMMYFUNCTION("""COMPUTED_VALUE"""),2.0)</f>
        <v>2</v>
      </c>
      <c r="AI37" s="5">
        <f>IFERROR(__xludf.DUMMYFUNCTION("""COMPUTED_VALUE"""),7.0)</f>
        <v>7</v>
      </c>
      <c r="AJ37" s="5">
        <f>IFERROR(__xludf.DUMMYFUNCTION("""COMPUTED_VALUE"""),0.0)</f>
        <v>0</v>
      </c>
      <c r="AK37" s="6" t="str">
        <f>IFERROR(__xludf.DUMMYFUNCTION("SPLIT(""Matt LaFleur,Adam Stenavich,Jordan Love,Romeo Doubs,Jayden Reed,N/A,Rasheed Walker,N/A,Josh Myers,Jon Runyan Jr.,Zach Tom"","","")"),"Matt LaFleur")</f>
        <v>Matt LaFleur</v>
      </c>
      <c r="AL37" s="6" t="str">
        <f>IFERROR(__xludf.DUMMYFUNCTION("""COMPUTED_VALUE"""),"Adam Stenavich")</f>
        <v>Adam Stenavich</v>
      </c>
      <c r="AM37" s="6" t="str">
        <f>IFERROR(__xludf.DUMMYFUNCTION("""COMPUTED_VALUE"""),"Jordan Love")</f>
        <v>Jordan Love</v>
      </c>
      <c r="AN37" s="6" t="str">
        <f>IFERROR(__xludf.DUMMYFUNCTION("""COMPUTED_VALUE"""),"Romeo Doubs")</f>
        <v>Romeo Doubs</v>
      </c>
      <c r="AO37" s="6" t="str">
        <f>IFERROR(__xludf.DUMMYFUNCTION("""COMPUTED_VALUE"""),"Jayden Reed")</f>
        <v>Jayden Reed</v>
      </c>
      <c r="AP37" s="6" t="str">
        <f>IFERROR(__xludf.DUMMYFUNCTION("""COMPUTED_VALUE"""),"N/A")</f>
        <v>N/A</v>
      </c>
      <c r="AQ37" s="6" t="str">
        <f>IFERROR(__xludf.DUMMYFUNCTION("""COMPUTED_VALUE"""),"Rasheed Walker")</f>
        <v>Rasheed Walker</v>
      </c>
      <c r="AR37" s="6" t="str">
        <f>IFERROR(__xludf.DUMMYFUNCTION("""COMPUTED_VALUE"""),"N/A")</f>
        <v>N/A</v>
      </c>
      <c r="AS37" s="6" t="str">
        <f>IFERROR(__xludf.DUMMYFUNCTION("""COMPUTED_VALUE"""),"Josh Myers")</f>
        <v>Josh Myers</v>
      </c>
      <c r="AT37" s="6" t="str">
        <f>IFERROR(__xludf.DUMMYFUNCTION("""COMPUTED_VALUE"""),"Jon Runyan Jr.")</f>
        <v>Jon Runyan Jr.</v>
      </c>
      <c r="AU37" s="6" t="str">
        <f>IFERROR(__xludf.DUMMYFUNCTION("""COMPUTED_VALUE"""),"Zach Tom")</f>
        <v>Zach Tom</v>
      </c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</row>
    <row r="38">
      <c r="A38" s="12" t="s">
        <v>96</v>
      </c>
      <c r="B38" s="4">
        <v>9.0</v>
      </c>
      <c r="C38" s="5">
        <f>IFERROR(__xludf.DUMMYFUNCTION("SPLIT(""30,NWE,NFL,RB,13,0,3,9,0,0,33.3,7,3.0,0.7,0.2,12,5,40,8.0,0,3,33.3,17,0.4,3.1,41.7,3.3,8,6.1,49,0,0,0,0,"","","")"),30.0)</f>
        <v>30</v>
      </c>
      <c r="D38" s="6" t="str">
        <f>IFERROR(__xludf.DUMMYFUNCTION("""COMPUTED_VALUE"""),"NWE")</f>
        <v>NWE</v>
      </c>
      <c r="E38" s="6" t="str">
        <f>IFERROR(__xludf.DUMMYFUNCTION("""COMPUTED_VALUE"""),"NFL")</f>
        <v>NFL</v>
      </c>
      <c r="F38" s="6" t="str">
        <f>IFERROR(__xludf.DUMMYFUNCTION("""COMPUTED_VALUE"""),"RB")</f>
        <v>RB</v>
      </c>
      <c r="G38" s="5">
        <f>IFERROR(__xludf.DUMMYFUNCTION("""COMPUTED_VALUE"""),13.0)</f>
        <v>13</v>
      </c>
      <c r="H38" s="5">
        <f>IFERROR(__xludf.DUMMYFUNCTION("""COMPUTED_VALUE"""),0.0)</f>
        <v>0</v>
      </c>
      <c r="I38" s="5">
        <f>IFERROR(__xludf.DUMMYFUNCTION("""COMPUTED_VALUE"""),3.0)</f>
        <v>3</v>
      </c>
      <c r="J38" s="5">
        <f>IFERROR(__xludf.DUMMYFUNCTION("""COMPUTED_VALUE"""),9.0)</f>
        <v>9</v>
      </c>
      <c r="K38" s="5">
        <f>IFERROR(__xludf.DUMMYFUNCTION("""COMPUTED_VALUE"""),0.0)</f>
        <v>0</v>
      </c>
      <c r="L38" s="5">
        <f>IFERROR(__xludf.DUMMYFUNCTION("""COMPUTED_VALUE"""),0.0)</f>
        <v>0</v>
      </c>
      <c r="M38" s="5">
        <f>IFERROR(__xludf.DUMMYFUNCTION("""COMPUTED_VALUE"""),33.3)</f>
        <v>33.3</v>
      </c>
      <c r="N38" s="5">
        <f>IFERROR(__xludf.DUMMYFUNCTION("""COMPUTED_VALUE"""),7.0)</f>
        <v>7</v>
      </c>
      <c r="O38" s="5">
        <f>IFERROR(__xludf.DUMMYFUNCTION("""COMPUTED_VALUE"""),3.0)</f>
        <v>3</v>
      </c>
      <c r="P38" s="5">
        <f>IFERROR(__xludf.DUMMYFUNCTION("""COMPUTED_VALUE"""),0.7)</f>
        <v>0.7</v>
      </c>
      <c r="Q38" s="5">
        <f>IFERROR(__xludf.DUMMYFUNCTION("""COMPUTED_VALUE"""),0.2)</f>
        <v>0.2</v>
      </c>
      <c r="R38" s="5">
        <f>IFERROR(__xludf.DUMMYFUNCTION("""COMPUTED_VALUE"""),12.0)</f>
        <v>12</v>
      </c>
      <c r="S38" s="5">
        <f>IFERROR(__xludf.DUMMYFUNCTION("""COMPUTED_VALUE"""),5.0)</f>
        <v>5</v>
      </c>
      <c r="T38" s="5">
        <f>IFERROR(__xludf.DUMMYFUNCTION("""COMPUTED_VALUE"""),40.0)</f>
        <v>40</v>
      </c>
      <c r="U38" s="5">
        <f>IFERROR(__xludf.DUMMYFUNCTION("""COMPUTED_VALUE"""),8.0)</f>
        <v>8</v>
      </c>
      <c r="V38" s="5">
        <f>IFERROR(__xludf.DUMMYFUNCTION("""COMPUTED_VALUE"""),0.0)</f>
        <v>0</v>
      </c>
      <c r="W38" s="5">
        <f>IFERROR(__xludf.DUMMYFUNCTION("""COMPUTED_VALUE"""),3.0)</f>
        <v>3</v>
      </c>
      <c r="X38" s="5">
        <f>IFERROR(__xludf.DUMMYFUNCTION("""COMPUTED_VALUE"""),33.3)</f>
        <v>33.3</v>
      </c>
      <c r="Y38" s="5">
        <f>IFERROR(__xludf.DUMMYFUNCTION("""COMPUTED_VALUE"""),17.0)</f>
        <v>17</v>
      </c>
      <c r="Z38" s="5">
        <f>IFERROR(__xludf.DUMMYFUNCTION("""COMPUTED_VALUE"""),0.4)</f>
        <v>0.4</v>
      </c>
      <c r="AA38" s="5">
        <f>IFERROR(__xludf.DUMMYFUNCTION("""COMPUTED_VALUE"""),3.1)</f>
        <v>3.1</v>
      </c>
      <c r="AB38" s="5">
        <f>IFERROR(__xludf.DUMMYFUNCTION("""COMPUTED_VALUE"""),41.7)</f>
        <v>41.7</v>
      </c>
      <c r="AC38" s="5">
        <f>IFERROR(__xludf.DUMMYFUNCTION("""COMPUTED_VALUE"""),3.3)</f>
        <v>3.3</v>
      </c>
      <c r="AD38" s="5">
        <f>IFERROR(__xludf.DUMMYFUNCTION("""COMPUTED_VALUE"""),8.0)</f>
        <v>8</v>
      </c>
      <c r="AE38" s="5">
        <f>IFERROR(__xludf.DUMMYFUNCTION("""COMPUTED_VALUE"""),6.1)</f>
        <v>6.1</v>
      </c>
      <c r="AF38" s="5">
        <f>IFERROR(__xludf.DUMMYFUNCTION("""COMPUTED_VALUE"""),49.0)</f>
        <v>49</v>
      </c>
      <c r="AG38" s="5">
        <f>IFERROR(__xludf.DUMMYFUNCTION("""COMPUTED_VALUE"""),0.0)</f>
        <v>0</v>
      </c>
      <c r="AH38" s="5">
        <f>IFERROR(__xludf.DUMMYFUNCTION("""COMPUTED_VALUE"""),0.0)</f>
        <v>0</v>
      </c>
      <c r="AI38" s="5">
        <f>IFERROR(__xludf.DUMMYFUNCTION("""COMPUTED_VALUE"""),0.0)</f>
        <v>0</v>
      </c>
      <c r="AJ38" s="5">
        <f>IFERROR(__xludf.DUMMYFUNCTION("""COMPUTED_VALUE"""),0.0)</f>
        <v>0</v>
      </c>
      <c r="AK38" s="6" t="str">
        <f>IFERROR(__xludf.DUMMYFUNCTION("SPLIT(""Bill Belichick,Bill O'Brien,Mac Jones,Kendrick Bourne,DeVante Parker,N/A,Trent Brown,Cole Strange,David Andrews,Sidy Sow,Michael Onwenu"","","")"),"Bill Belichick")</f>
        <v>Bill Belichick</v>
      </c>
      <c r="AL38" s="6" t="str">
        <f>IFERROR(__xludf.DUMMYFUNCTION("""COMPUTED_VALUE"""),"Bill O'Brien")</f>
        <v>Bill O'Brien</v>
      </c>
      <c r="AM38" s="6" t="str">
        <f>IFERROR(__xludf.DUMMYFUNCTION("""COMPUTED_VALUE"""),"Mac Jones")</f>
        <v>Mac Jones</v>
      </c>
      <c r="AN38" s="6" t="str">
        <f>IFERROR(__xludf.DUMMYFUNCTION("""COMPUTED_VALUE"""),"Kendrick Bourne")</f>
        <v>Kendrick Bourne</v>
      </c>
      <c r="AO38" s="6" t="str">
        <f>IFERROR(__xludf.DUMMYFUNCTION("""COMPUTED_VALUE"""),"DeVante Parker")</f>
        <v>DeVante Parker</v>
      </c>
      <c r="AP38" s="6" t="str">
        <f>IFERROR(__xludf.DUMMYFUNCTION("""COMPUTED_VALUE"""),"N/A")</f>
        <v>N/A</v>
      </c>
      <c r="AQ38" s="6" t="str">
        <f>IFERROR(__xludf.DUMMYFUNCTION("""COMPUTED_VALUE"""),"Trent Brown")</f>
        <v>Trent Brown</v>
      </c>
      <c r="AR38" s="6" t="str">
        <f>IFERROR(__xludf.DUMMYFUNCTION("""COMPUTED_VALUE"""),"Cole Strange")</f>
        <v>Cole Strange</v>
      </c>
      <c r="AS38" s="6" t="str">
        <f>IFERROR(__xludf.DUMMYFUNCTION("""COMPUTED_VALUE"""),"David Andrews")</f>
        <v>David Andrews</v>
      </c>
      <c r="AT38" s="6" t="str">
        <f>IFERROR(__xludf.DUMMYFUNCTION("""COMPUTED_VALUE"""),"Sidy Sow")</f>
        <v>Sidy Sow</v>
      </c>
      <c r="AU38" s="6" t="str">
        <f>IFERROR(__xludf.DUMMYFUNCTION("""COMPUTED_VALUE"""),"Michael Onwenu")</f>
        <v>Michael Onwenu</v>
      </c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</row>
    <row r="39">
      <c r="A39" s="11" t="s">
        <v>97</v>
      </c>
      <c r="B39" s="8">
        <v>5.0</v>
      </c>
      <c r="C39" s="9">
        <f>IFERROR(__xludf.DUMMYFUNCTION("SPLIT(""26,DET,NFL,RB,14,14,219,1015,13,59,54.8,75,4.6,72.5,15.6,24,16,117,7.3,0,7,54.2,19,1.1,8.4,66.7,4.9,235,4.8,1132,13,2,9,0,"","","")"),26.0)</f>
        <v>26</v>
      </c>
      <c r="D39" s="9" t="str">
        <f>IFERROR(__xludf.DUMMYFUNCTION("""COMPUTED_VALUE"""),"DET")</f>
        <v>DET</v>
      </c>
      <c r="E39" s="9" t="str">
        <f>IFERROR(__xludf.DUMMYFUNCTION("""COMPUTED_VALUE"""),"NFL")</f>
        <v>NFL</v>
      </c>
      <c r="F39" s="9" t="str">
        <f>IFERROR(__xludf.DUMMYFUNCTION("""COMPUTED_VALUE"""),"RB")</f>
        <v>RB</v>
      </c>
      <c r="G39" s="9">
        <f>IFERROR(__xludf.DUMMYFUNCTION("""COMPUTED_VALUE"""),14.0)</f>
        <v>14</v>
      </c>
      <c r="H39" s="9">
        <f>IFERROR(__xludf.DUMMYFUNCTION("""COMPUTED_VALUE"""),14.0)</f>
        <v>14</v>
      </c>
      <c r="I39" s="9">
        <f>IFERROR(__xludf.DUMMYFUNCTION("""COMPUTED_VALUE"""),219.0)</f>
        <v>219</v>
      </c>
      <c r="J39" s="9">
        <f>IFERROR(__xludf.DUMMYFUNCTION("""COMPUTED_VALUE"""),1015.0)</f>
        <v>1015</v>
      </c>
      <c r="K39" s="9">
        <f>IFERROR(__xludf.DUMMYFUNCTION("""COMPUTED_VALUE"""),13.0)</f>
        <v>13</v>
      </c>
      <c r="L39" s="9">
        <f>IFERROR(__xludf.DUMMYFUNCTION("""COMPUTED_VALUE"""),59.0)</f>
        <v>59</v>
      </c>
      <c r="M39" s="9">
        <f>IFERROR(__xludf.DUMMYFUNCTION("""COMPUTED_VALUE"""),54.8)</f>
        <v>54.8</v>
      </c>
      <c r="N39" s="9">
        <f>IFERROR(__xludf.DUMMYFUNCTION("""COMPUTED_VALUE"""),75.0)</f>
        <v>75</v>
      </c>
      <c r="O39" s="9">
        <f>IFERROR(__xludf.DUMMYFUNCTION("""COMPUTED_VALUE"""),4.6)</f>
        <v>4.6</v>
      </c>
      <c r="P39" s="9">
        <f>IFERROR(__xludf.DUMMYFUNCTION("""COMPUTED_VALUE"""),72.5)</f>
        <v>72.5</v>
      </c>
      <c r="Q39" s="9">
        <f>IFERROR(__xludf.DUMMYFUNCTION("""COMPUTED_VALUE"""),15.6)</f>
        <v>15.6</v>
      </c>
      <c r="R39" s="9">
        <f>IFERROR(__xludf.DUMMYFUNCTION("""COMPUTED_VALUE"""),24.0)</f>
        <v>24</v>
      </c>
      <c r="S39" s="9">
        <f>IFERROR(__xludf.DUMMYFUNCTION("""COMPUTED_VALUE"""),16.0)</f>
        <v>16</v>
      </c>
      <c r="T39" s="9">
        <f>IFERROR(__xludf.DUMMYFUNCTION("""COMPUTED_VALUE"""),117.0)</f>
        <v>117</v>
      </c>
      <c r="U39" s="9">
        <f>IFERROR(__xludf.DUMMYFUNCTION("""COMPUTED_VALUE"""),7.3)</f>
        <v>7.3</v>
      </c>
      <c r="V39" s="9">
        <f>IFERROR(__xludf.DUMMYFUNCTION("""COMPUTED_VALUE"""),0.0)</f>
        <v>0</v>
      </c>
      <c r="W39" s="9">
        <f>IFERROR(__xludf.DUMMYFUNCTION("""COMPUTED_VALUE"""),7.0)</f>
        <v>7</v>
      </c>
      <c r="X39" s="9">
        <f>IFERROR(__xludf.DUMMYFUNCTION("""COMPUTED_VALUE"""),54.2)</f>
        <v>54.2</v>
      </c>
      <c r="Y39" s="9">
        <f>IFERROR(__xludf.DUMMYFUNCTION("""COMPUTED_VALUE"""),19.0)</f>
        <v>19</v>
      </c>
      <c r="Z39" s="9">
        <f>IFERROR(__xludf.DUMMYFUNCTION("""COMPUTED_VALUE"""),1.1)</f>
        <v>1.1</v>
      </c>
      <c r="AA39" s="9">
        <f>IFERROR(__xludf.DUMMYFUNCTION("""COMPUTED_VALUE"""),8.4)</f>
        <v>8.4</v>
      </c>
      <c r="AB39" s="9">
        <f>IFERROR(__xludf.DUMMYFUNCTION("""COMPUTED_VALUE"""),66.7)</f>
        <v>66.7</v>
      </c>
      <c r="AC39" s="9">
        <f>IFERROR(__xludf.DUMMYFUNCTION("""COMPUTED_VALUE"""),4.9)</f>
        <v>4.9</v>
      </c>
      <c r="AD39" s="9">
        <f>IFERROR(__xludf.DUMMYFUNCTION("""COMPUTED_VALUE"""),235.0)</f>
        <v>235</v>
      </c>
      <c r="AE39" s="9">
        <f>IFERROR(__xludf.DUMMYFUNCTION("""COMPUTED_VALUE"""),4.8)</f>
        <v>4.8</v>
      </c>
      <c r="AF39" s="9">
        <f>IFERROR(__xludf.DUMMYFUNCTION("""COMPUTED_VALUE"""),1132.0)</f>
        <v>1132</v>
      </c>
      <c r="AG39" s="9">
        <f>IFERROR(__xludf.DUMMYFUNCTION("""COMPUTED_VALUE"""),13.0)</f>
        <v>13</v>
      </c>
      <c r="AH39" s="9">
        <f>IFERROR(__xludf.DUMMYFUNCTION("""COMPUTED_VALUE"""),2.0)</f>
        <v>2</v>
      </c>
      <c r="AI39" s="9">
        <f>IFERROR(__xludf.DUMMYFUNCTION("""COMPUTED_VALUE"""),9.0)</f>
        <v>9</v>
      </c>
      <c r="AJ39" s="9">
        <f>IFERROR(__xludf.DUMMYFUNCTION("""COMPUTED_VALUE"""),0.0)</f>
        <v>0</v>
      </c>
      <c r="AK39" s="6" t="str">
        <f>IFERROR(__xludf.DUMMYFUNCTION("SPLIT(""Dan Campbell,Ben Johnson,Jared Goff,Josh Reynolds,Amon-Ra St. Brown,N/A,Taylor Decker,Jonah Jackson,Frank Ragnow,Graham Glasgow,Penei Sewell"","","")"),"Dan Campbell")</f>
        <v>Dan Campbell</v>
      </c>
      <c r="AL39" s="9" t="str">
        <f>IFERROR(__xludf.DUMMYFUNCTION("""COMPUTED_VALUE"""),"Ben Johnson")</f>
        <v>Ben Johnson</v>
      </c>
      <c r="AM39" s="9" t="str">
        <f>IFERROR(__xludf.DUMMYFUNCTION("""COMPUTED_VALUE"""),"Jared Goff")</f>
        <v>Jared Goff</v>
      </c>
      <c r="AN39" s="9" t="str">
        <f>IFERROR(__xludf.DUMMYFUNCTION("""COMPUTED_VALUE"""),"Josh Reynolds")</f>
        <v>Josh Reynolds</v>
      </c>
      <c r="AO39" s="9" t="str">
        <f>IFERROR(__xludf.DUMMYFUNCTION("""COMPUTED_VALUE"""),"Amon-Ra St. Brown")</f>
        <v>Amon-Ra St. Brown</v>
      </c>
      <c r="AP39" s="9" t="str">
        <f>IFERROR(__xludf.DUMMYFUNCTION("""COMPUTED_VALUE"""),"N/A")</f>
        <v>N/A</v>
      </c>
      <c r="AQ39" s="9" t="str">
        <f>IFERROR(__xludf.DUMMYFUNCTION("""COMPUTED_VALUE"""),"Taylor Decker")</f>
        <v>Taylor Decker</v>
      </c>
      <c r="AR39" s="9" t="str">
        <f>IFERROR(__xludf.DUMMYFUNCTION("""COMPUTED_VALUE"""),"Jonah Jackson")</f>
        <v>Jonah Jackson</v>
      </c>
      <c r="AS39" s="9" t="str">
        <f>IFERROR(__xludf.DUMMYFUNCTION("""COMPUTED_VALUE"""),"Frank Ragnow")</f>
        <v>Frank Ragnow</v>
      </c>
      <c r="AT39" s="9" t="str">
        <f>IFERROR(__xludf.DUMMYFUNCTION("""COMPUTED_VALUE"""),"Graham Glasgow")</f>
        <v>Graham Glasgow</v>
      </c>
      <c r="AU39" s="9" t="str">
        <f>IFERROR(__xludf.DUMMYFUNCTION("""COMPUTED_VALUE"""),"Penei Sewell")</f>
        <v>Penei Sewell</v>
      </c>
    </row>
    <row r="40">
      <c r="A40" s="11" t="s">
        <v>98</v>
      </c>
      <c r="B40" s="8">
        <v>3.0</v>
      </c>
      <c r="C40" s="9">
        <f>IFERROR(__xludf.DUMMYFUNCTION("SPLIT(""25,CHI,NFL,RB,12,9,132,611,2,25,49.2,38,4.6,50.9,11.0,31,20,134,6.7,1,9,41.9,23,1.7,11.2,64.5,4.3,152,4.9,745,3,1,5,0,"","","")"),25.0)</f>
        <v>25</v>
      </c>
      <c r="D40" s="9" t="str">
        <f>IFERROR(__xludf.DUMMYFUNCTION("""COMPUTED_VALUE"""),"CHI")</f>
        <v>CHI</v>
      </c>
      <c r="E40" s="9" t="str">
        <f>IFERROR(__xludf.DUMMYFUNCTION("""COMPUTED_VALUE"""),"NFL")</f>
        <v>NFL</v>
      </c>
      <c r="F40" s="9" t="str">
        <f>IFERROR(__xludf.DUMMYFUNCTION("""COMPUTED_VALUE"""),"RB")</f>
        <v>RB</v>
      </c>
      <c r="G40" s="9">
        <f>IFERROR(__xludf.DUMMYFUNCTION("""COMPUTED_VALUE"""),12.0)</f>
        <v>12</v>
      </c>
      <c r="H40" s="9">
        <f>IFERROR(__xludf.DUMMYFUNCTION("""COMPUTED_VALUE"""),9.0)</f>
        <v>9</v>
      </c>
      <c r="I40" s="9">
        <f>IFERROR(__xludf.DUMMYFUNCTION("""COMPUTED_VALUE"""),132.0)</f>
        <v>132</v>
      </c>
      <c r="J40" s="9">
        <f>IFERROR(__xludf.DUMMYFUNCTION("""COMPUTED_VALUE"""),611.0)</f>
        <v>611</v>
      </c>
      <c r="K40" s="9">
        <f>IFERROR(__xludf.DUMMYFUNCTION("""COMPUTED_VALUE"""),2.0)</f>
        <v>2</v>
      </c>
      <c r="L40" s="9">
        <f>IFERROR(__xludf.DUMMYFUNCTION("""COMPUTED_VALUE"""),25.0)</f>
        <v>25</v>
      </c>
      <c r="M40" s="9">
        <f>IFERROR(__xludf.DUMMYFUNCTION("""COMPUTED_VALUE"""),49.2)</f>
        <v>49.2</v>
      </c>
      <c r="N40" s="9">
        <f>IFERROR(__xludf.DUMMYFUNCTION("""COMPUTED_VALUE"""),38.0)</f>
        <v>38</v>
      </c>
      <c r="O40" s="9">
        <f>IFERROR(__xludf.DUMMYFUNCTION("""COMPUTED_VALUE"""),4.6)</f>
        <v>4.6</v>
      </c>
      <c r="P40" s="9">
        <f>IFERROR(__xludf.DUMMYFUNCTION("""COMPUTED_VALUE"""),50.9)</f>
        <v>50.9</v>
      </c>
      <c r="Q40" s="9">
        <f>IFERROR(__xludf.DUMMYFUNCTION("""COMPUTED_VALUE"""),11.0)</f>
        <v>11</v>
      </c>
      <c r="R40" s="9">
        <f>IFERROR(__xludf.DUMMYFUNCTION("""COMPUTED_VALUE"""),31.0)</f>
        <v>31</v>
      </c>
      <c r="S40" s="9">
        <f>IFERROR(__xludf.DUMMYFUNCTION("""COMPUTED_VALUE"""),20.0)</f>
        <v>20</v>
      </c>
      <c r="T40" s="9">
        <f>IFERROR(__xludf.DUMMYFUNCTION("""COMPUTED_VALUE"""),134.0)</f>
        <v>134</v>
      </c>
      <c r="U40" s="9">
        <f>IFERROR(__xludf.DUMMYFUNCTION("""COMPUTED_VALUE"""),6.7)</f>
        <v>6.7</v>
      </c>
      <c r="V40" s="9">
        <f>IFERROR(__xludf.DUMMYFUNCTION("""COMPUTED_VALUE"""),1.0)</f>
        <v>1</v>
      </c>
      <c r="W40" s="9">
        <f>IFERROR(__xludf.DUMMYFUNCTION("""COMPUTED_VALUE"""),9.0)</f>
        <v>9</v>
      </c>
      <c r="X40" s="9">
        <f>IFERROR(__xludf.DUMMYFUNCTION("""COMPUTED_VALUE"""),41.9)</f>
        <v>41.9</v>
      </c>
      <c r="Y40" s="9">
        <f>IFERROR(__xludf.DUMMYFUNCTION("""COMPUTED_VALUE"""),23.0)</f>
        <v>23</v>
      </c>
      <c r="Z40" s="9">
        <f>IFERROR(__xludf.DUMMYFUNCTION("""COMPUTED_VALUE"""),1.7)</f>
        <v>1.7</v>
      </c>
      <c r="AA40" s="9">
        <f>IFERROR(__xludf.DUMMYFUNCTION("""COMPUTED_VALUE"""),11.2)</f>
        <v>11.2</v>
      </c>
      <c r="AB40" s="9">
        <f>IFERROR(__xludf.DUMMYFUNCTION("""COMPUTED_VALUE"""),64.5)</f>
        <v>64.5</v>
      </c>
      <c r="AC40" s="9">
        <f>IFERROR(__xludf.DUMMYFUNCTION("""COMPUTED_VALUE"""),4.3)</f>
        <v>4.3</v>
      </c>
      <c r="AD40" s="9">
        <f>IFERROR(__xludf.DUMMYFUNCTION("""COMPUTED_VALUE"""),152.0)</f>
        <v>152</v>
      </c>
      <c r="AE40" s="9">
        <f>IFERROR(__xludf.DUMMYFUNCTION("""COMPUTED_VALUE"""),4.9)</f>
        <v>4.9</v>
      </c>
      <c r="AF40" s="9">
        <f>IFERROR(__xludf.DUMMYFUNCTION("""COMPUTED_VALUE"""),745.0)</f>
        <v>745</v>
      </c>
      <c r="AG40" s="9">
        <f>IFERROR(__xludf.DUMMYFUNCTION("""COMPUTED_VALUE"""),3.0)</f>
        <v>3</v>
      </c>
      <c r="AH40" s="9">
        <f>IFERROR(__xludf.DUMMYFUNCTION("""COMPUTED_VALUE"""),1.0)</f>
        <v>1</v>
      </c>
      <c r="AI40" s="9">
        <f>IFERROR(__xludf.DUMMYFUNCTION("""COMPUTED_VALUE"""),5.0)</f>
        <v>5</v>
      </c>
      <c r="AJ40" s="9">
        <f>IFERROR(__xludf.DUMMYFUNCTION("""COMPUTED_VALUE"""),0.0)</f>
        <v>0</v>
      </c>
      <c r="AK40" s="6" t="str">
        <f>IFERROR(__xludf.DUMMYFUNCTION("SPLIT(""Matt Eberflus,Luke Getsy,Justin Fields,Darnell Mooney,D.J. Moore,N/A,Braxton Jones,Cody Whitehair,Lucas Patrick,Nate Davis,Darnell Wright"","","")"),"Matt Eberflus")</f>
        <v>Matt Eberflus</v>
      </c>
      <c r="AL40" s="9" t="str">
        <f>IFERROR(__xludf.DUMMYFUNCTION("""COMPUTED_VALUE"""),"Luke Getsy")</f>
        <v>Luke Getsy</v>
      </c>
      <c r="AM40" s="9" t="str">
        <f>IFERROR(__xludf.DUMMYFUNCTION("""COMPUTED_VALUE"""),"Justin Fields")</f>
        <v>Justin Fields</v>
      </c>
      <c r="AN40" s="9" t="str">
        <f>IFERROR(__xludf.DUMMYFUNCTION("""COMPUTED_VALUE"""),"Darnell Mooney")</f>
        <v>Darnell Mooney</v>
      </c>
      <c r="AO40" s="9" t="str">
        <f>IFERROR(__xludf.DUMMYFUNCTION("""COMPUTED_VALUE"""),"D.J. Moore")</f>
        <v>D.J. Moore</v>
      </c>
      <c r="AP40" s="9" t="str">
        <f>IFERROR(__xludf.DUMMYFUNCTION("""COMPUTED_VALUE"""),"N/A")</f>
        <v>N/A</v>
      </c>
      <c r="AQ40" s="9" t="str">
        <f>IFERROR(__xludf.DUMMYFUNCTION("""COMPUTED_VALUE"""),"Braxton Jones")</f>
        <v>Braxton Jones</v>
      </c>
      <c r="AR40" s="9" t="str">
        <f>IFERROR(__xludf.DUMMYFUNCTION("""COMPUTED_VALUE"""),"Cody Whitehair")</f>
        <v>Cody Whitehair</v>
      </c>
      <c r="AS40" s="9" t="str">
        <f>IFERROR(__xludf.DUMMYFUNCTION("""COMPUTED_VALUE"""),"Lucas Patrick")</f>
        <v>Lucas Patrick</v>
      </c>
      <c r="AT40" s="9" t="str">
        <f>IFERROR(__xludf.DUMMYFUNCTION("""COMPUTED_VALUE"""),"Nate Davis")</f>
        <v>Nate Davis</v>
      </c>
      <c r="AU40" s="9" t="str">
        <f>IFERROR(__xludf.DUMMYFUNCTION("""COMPUTED_VALUE"""),"Darnell Wright")</f>
        <v>Darnell Wright</v>
      </c>
    </row>
    <row r="41">
      <c r="A41" s="11" t="s">
        <v>99</v>
      </c>
      <c r="B41" s="8">
        <v>7.0</v>
      </c>
      <c r="C41" s="9">
        <f>IFERROR(__xludf.DUMMYFUNCTION("SPLIT(""27,CIN,NFL,RB,17,17,257,1034,9,59,49.4,44,4.0,60.8,15.1,64,52,376,7.2,3,14,54.7,45,3.1,22.1,81.3,5.9,309,4.6,1410,12,0,10,0,"","","")"),27.0)</f>
        <v>27</v>
      </c>
      <c r="D41" s="9" t="str">
        <f>IFERROR(__xludf.DUMMYFUNCTION("""COMPUTED_VALUE"""),"CIN")</f>
        <v>CIN</v>
      </c>
      <c r="E41" s="9" t="str">
        <f>IFERROR(__xludf.DUMMYFUNCTION("""COMPUTED_VALUE"""),"NFL")</f>
        <v>NFL</v>
      </c>
      <c r="F41" s="9" t="str">
        <f>IFERROR(__xludf.DUMMYFUNCTION("""COMPUTED_VALUE"""),"RB")</f>
        <v>RB</v>
      </c>
      <c r="G41" s="9">
        <f>IFERROR(__xludf.DUMMYFUNCTION("""COMPUTED_VALUE"""),17.0)</f>
        <v>17</v>
      </c>
      <c r="H41" s="9">
        <f>IFERROR(__xludf.DUMMYFUNCTION("""COMPUTED_VALUE"""),17.0)</f>
        <v>17</v>
      </c>
      <c r="I41" s="9">
        <f>IFERROR(__xludf.DUMMYFUNCTION("""COMPUTED_VALUE"""),257.0)</f>
        <v>257</v>
      </c>
      <c r="J41" s="9">
        <f>IFERROR(__xludf.DUMMYFUNCTION("""COMPUTED_VALUE"""),1034.0)</f>
        <v>1034</v>
      </c>
      <c r="K41" s="9">
        <f>IFERROR(__xludf.DUMMYFUNCTION("""COMPUTED_VALUE"""),9.0)</f>
        <v>9</v>
      </c>
      <c r="L41" s="9">
        <f>IFERROR(__xludf.DUMMYFUNCTION("""COMPUTED_VALUE"""),59.0)</f>
        <v>59</v>
      </c>
      <c r="M41" s="9">
        <f>IFERROR(__xludf.DUMMYFUNCTION("""COMPUTED_VALUE"""),49.4)</f>
        <v>49.4</v>
      </c>
      <c r="N41" s="9">
        <f>IFERROR(__xludf.DUMMYFUNCTION("""COMPUTED_VALUE"""),44.0)</f>
        <v>44</v>
      </c>
      <c r="O41" s="9">
        <f>IFERROR(__xludf.DUMMYFUNCTION("""COMPUTED_VALUE"""),4.0)</f>
        <v>4</v>
      </c>
      <c r="P41" s="9">
        <f>IFERROR(__xludf.DUMMYFUNCTION("""COMPUTED_VALUE"""),60.8)</f>
        <v>60.8</v>
      </c>
      <c r="Q41" s="9">
        <f>IFERROR(__xludf.DUMMYFUNCTION("""COMPUTED_VALUE"""),15.1)</f>
        <v>15.1</v>
      </c>
      <c r="R41" s="9">
        <f>IFERROR(__xludf.DUMMYFUNCTION("""COMPUTED_VALUE"""),64.0)</f>
        <v>64</v>
      </c>
      <c r="S41" s="9">
        <f>IFERROR(__xludf.DUMMYFUNCTION("""COMPUTED_VALUE"""),52.0)</f>
        <v>52</v>
      </c>
      <c r="T41" s="9">
        <f>IFERROR(__xludf.DUMMYFUNCTION("""COMPUTED_VALUE"""),376.0)</f>
        <v>376</v>
      </c>
      <c r="U41" s="9">
        <f>IFERROR(__xludf.DUMMYFUNCTION("""COMPUTED_VALUE"""),7.2)</f>
        <v>7.2</v>
      </c>
      <c r="V41" s="9">
        <f>IFERROR(__xludf.DUMMYFUNCTION("""COMPUTED_VALUE"""),3.0)</f>
        <v>3</v>
      </c>
      <c r="W41" s="9">
        <f>IFERROR(__xludf.DUMMYFUNCTION("""COMPUTED_VALUE"""),14.0)</f>
        <v>14</v>
      </c>
      <c r="X41" s="9">
        <f>IFERROR(__xludf.DUMMYFUNCTION("""COMPUTED_VALUE"""),54.7)</f>
        <v>54.7</v>
      </c>
      <c r="Y41" s="9">
        <f>IFERROR(__xludf.DUMMYFUNCTION("""COMPUTED_VALUE"""),45.0)</f>
        <v>45</v>
      </c>
      <c r="Z41" s="9">
        <f>IFERROR(__xludf.DUMMYFUNCTION("""COMPUTED_VALUE"""),3.1)</f>
        <v>3.1</v>
      </c>
      <c r="AA41" s="9">
        <f>IFERROR(__xludf.DUMMYFUNCTION("""COMPUTED_VALUE"""),22.1)</f>
        <v>22.1</v>
      </c>
      <c r="AB41" s="9">
        <f>IFERROR(__xludf.DUMMYFUNCTION("""COMPUTED_VALUE"""),81.3)</f>
        <v>81.3</v>
      </c>
      <c r="AC41" s="9">
        <f>IFERROR(__xludf.DUMMYFUNCTION("""COMPUTED_VALUE"""),5.9)</f>
        <v>5.9</v>
      </c>
      <c r="AD41" s="9">
        <f>IFERROR(__xludf.DUMMYFUNCTION("""COMPUTED_VALUE"""),309.0)</f>
        <v>309</v>
      </c>
      <c r="AE41" s="9">
        <f>IFERROR(__xludf.DUMMYFUNCTION("""COMPUTED_VALUE"""),4.6)</f>
        <v>4.6</v>
      </c>
      <c r="AF41" s="9">
        <f>IFERROR(__xludf.DUMMYFUNCTION("""COMPUTED_VALUE"""),1410.0)</f>
        <v>1410</v>
      </c>
      <c r="AG41" s="9">
        <f>IFERROR(__xludf.DUMMYFUNCTION("""COMPUTED_VALUE"""),12.0)</f>
        <v>12</v>
      </c>
      <c r="AH41" s="9">
        <f>IFERROR(__xludf.DUMMYFUNCTION("""COMPUTED_VALUE"""),0.0)</f>
        <v>0</v>
      </c>
      <c r="AI41" s="9">
        <f>IFERROR(__xludf.DUMMYFUNCTION("""COMPUTED_VALUE"""),10.0)</f>
        <v>10</v>
      </c>
      <c r="AJ41" s="9">
        <f>IFERROR(__xludf.DUMMYFUNCTION("""COMPUTED_VALUE"""),0.0)</f>
        <v>0</v>
      </c>
      <c r="AK41" s="6" t="str">
        <f>IFERROR(__xludf.DUMMYFUNCTION("SPLIT(""Zac Taylor,Brian Callahan,Joe Burrow,Tyler Boyd,Ja'Marr Chase,N/A,Orlando Brown Jr.,Cordell Volson,Ted Karras,Alex Cappa,Jonah Williams"","","")"),"Zac Taylor")</f>
        <v>Zac Taylor</v>
      </c>
      <c r="AL41" s="9" t="str">
        <f>IFERROR(__xludf.DUMMYFUNCTION("""COMPUTED_VALUE"""),"Brian Callahan")</f>
        <v>Brian Callahan</v>
      </c>
      <c r="AM41" s="9" t="str">
        <f>IFERROR(__xludf.DUMMYFUNCTION("""COMPUTED_VALUE"""),"Joe Burrow")</f>
        <v>Joe Burrow</v>
      </c>
      <c r="AN41" s="9" t="str">
        <f>IFERROR(__xludf.DUMMYFUNCTION("""COMPUTED_VALUE"""),"Tyler Boyd")</f>
        <v>Tyler Boyd</v>
      </c>
      <c r="AO41" s="9" t="str">
        <f>IFERROR(__xludf.DUMMYFUNCTION("""COMPUTED_VALUE"""),"Ja'Marr Chase")</f>
        <v>Ja'Marr Chase</v>
      </c>
      <c r="AP41" s="9" t="str">
        <f>IFERROR(__xludf.DUMMYFUNCTION("""COMPUTED_VALUE"""),"N/A")</f>
        <v>N/A</v>
      </c>
      <c r="AQ41" s="9" t="str">
        <f>IFERROR(__xludf.DUMMYFUNCTION("""COMPUTED_VALUE"""),"Orlando Brown Jr.")</f>
        <v>Orlando Brown Jr.</v>
      </c>
      <c r="AR41" s="9" t="str">
        <f>IFERROR(__xludf.DUMMYFUNCTION("""COMPUTED_VALUE"""),"Cordell Volson")</f>
        <v>Cordell Volson</v>
      </c>
      <c r="AS41" s="9" t="str">
        <f>IFERROR(__xludf.DUMMYFUNCTION("""COMPUTED_VALUE"""),"Ted Karras")</f>
        <v>Ted Karras</v>
      </c>
      <c r="AT41" s="9" t="str">
        <f>IFERROR(__xludf.DUMMYFUNCTION("""COMPUTED_VALUE"""),"Alex Cappa")</f>
        <v>Alex Cappa</v>
      </c>
      <c r="AU41" s="9" t="str">
        <f>IFERROR(__xludf.DUMMYFUNCTION("""COMPUTED_VALUE"""),"Jonah Williams")</f>
        <v>Jonah Williams</v>
      </c>
    </row>
    <row r="42">
      <c r="A42" s="11" t="s">
        <v>100</v>
      </c>
      <c r="B42" s="8">
        <v>2.0</v>
      </c>
      <c r="C42" s="9">
        <f>IFERROR(__xludf.DUMMYFUNCTION("SPLIT(""24,CLE,NFL,RB,17,12,204,813,4,33,39.7,69,4.0,47.8,12.0,63,44,319,7.3,5,16,41.3,50,2.6,18.8,69.8,5.1,248,4.6,1132,9,1,6,0,"","","")"),24.0)</f>
        <v>24</v>
      </c>
      <c r="D42" s="9" t="str">
        <f>IFERROR(__xludf.DUMMYFUNCTION("""COMPUTED_VALUE"""),"CLE")</f>
        <v>CLE</v>
      </c>
      <c r="E42" s="9" t="str">
        <f>IFERROR(__xludf.DUMMYFUNCTION("""COMPUTED_VALUE"""),"NFL")</f>
        <v>NFL</v>
      </c>
      <c r="F42" s="9" t="str">
        <f>IFERROR(__xludf.DUMMYFUNCTION("""COMPUTED_VALUE"""),"RB")</f>
        <v>RB</v>
      </c>
      <c r="G42" s="9">
        <f>IFERROR(__xludf.DUMMYFUNCTION("""COMPUTED_VALUE"""),17.0)</f>
        <v>17</v>
      </c>
      <c r="H42" s="9">
        <f>IFERROR(__xludf.DUMMYFUNCTION("""COMPUTED_VALUE"""),12.0)</f>
        <v>12</v>
      </c>
      <c r="I42" s="9">
        <f>IFERROR(__xludf.DUMMYFUNCTION("""COMPUTED_VALUE"""),204.0)</f>
        <v>204</v>
      </c>
      <c r="J42" s="9">
        <f>IFERROR(__xludf.DUMMYFUNCTION("""COMPUTED_VALUE"""),813.0)</f>
        <v>813</v>
      </c>
      <c r="K42" s="9">
        <f>IFERROR(__xludf.DUMMYFUNCTION("""COMPUTED_VALUE"""),4.0)</f>
        <v>4</v>
      </c>
      <c r="L42" s="9">
        <f>IFERROR(__xludf.DUMMYFUNCTION("""COMPUTED_VALUE"""),33.0)</f>
        <v>33</v>
      </c>
      <c r="M42" s="9">
        <f>IFERROR(__xludf.DUMMYFUNCTION("""COMPUTED_VALUE"""),39.7)</f>
        <v>39.7</v>
      </c>
      <c r="N42" s="9">
        <f>IFERROR(__xludf.DUMMYFUNCTION("""COMPUTED_VALUE"""),69.0)</f>
        <v>69</v>
      </c>
      <c r="O42" s="9">
        <f>IFERROR(__xludf.DUMMYFUNCTION("""COMPUTED_VALUE"""),4.0)</f>
        <v>4</v>
      </c>
      <c r="P42" s="9">
        <f>IFERROR(__xludf.DUMMYFUNCTION("""COMPUTED_VALUE"""),47.8)</f>
        <v>47.8</v>
      </c>
      <c r="Q42" s="9">
        <f>IFERROR(__xludf.DUMMYFUNCTION("""COMPUTED_VALUE"""),12.0)</f>
        <v>12</v>
      </c>
      <c r="R42" s="9">
        <f>IFERROR(__xludf.DUMMYFUNCTION("""COMPUTED_VALUE"""),63.0)</f>
        <v>63</v>
      </c>
      <c r="S42" s="9">
        <f>IFERROR(__xludf.DUMMYFUNCTION("""COMPUTED_VALUE"""),44.0)</f>
        <v>44</v>
      </c>
      <c r="T42" s="9">
        <f>IFERROR(__xludf.DUMMYFUNCTION("""COMPUTED_VALUE"""),319.0)</f>
        <v>319</v>
      </c>
      <c r="U42" s="9">
        <f>IFERROR(__xludf.DUMMYFUNCTION("""COMPUTED_VALUE"""),7.3)</f>
        <v>7.3</v>
      </c>
      <c r="V42" s="9">
        <f>IFERROR(__xludf.DUMMYFUNCTION("""COMPUTED_VALUE"""),5.0)</f>
        <v>5</v>
      </c>
      <c r="W42" s="9">
        <f>IFERROR(__xludf.DUMMYFUNCTION("""COMPUTED_VALUE"""),16.0)</f>
        <v>16</v>
      </c>
      <c r="X42" s="9">
        <f>IFERROR(__xludf.DUMMYFUNCTION("""COMPUTED_VALUE"""),41.3)</f>
        <v>41.3</v>
      </c>
      <c r="Y42" s="9">
        <f>IFERROR(__xludf.DUMMYFUNCTION("""COMPUTED_VALUE"""),50.0)</f>
        <v>50</v>
      </c>
      <c r="Z42" s="9">
        <f>IFERROR(__xludf.DUMMYFUNCTION("""COMPUTED_VALUE"""),2.6)</f>
        <v>2.6</v>
      </c>
      <c r="AA42" s="9">
        <f>IFERROR(__xludf.DUMMYFUNCTION("""COMPUTED_VALUE"""),18.8)</f>
        <v>18.8</v>
      </c>
      <c r="AB42" s="9">
        <f>IFERROR(__xludf.DUMMYFUNCTION("""COMPUTED_VALUE"""),69.8)</f>
        <v>69.8</v>
      </c>
      <c r="AC42" s="9">
        <f>IFERROR(__xludf.DUMMYFUNCTION("""COMPUTED_VALUE"""),5.1)</f>
        <v>5.1</v>
      </c>
      <c r="AD42" s="9">
        <f>IFERROR(__xludf.DUMMYFUNCTION("""COMPUTED_VALUE"""),248.0)</f>
        <v>248</v>
      </c>
      <c r="AE42" s="9">
        <f>IFERROR(__xludf.DUMMYFUNCTION("""COMPUTED_VALUE"""),4.6)</f>
        <v>4.6</v>
      </c>
      <c r="AF42" s="9">
        <f>IFERROR(__xludf.DUMMYFUNCTION("""COMPUTED_VALUE"""),1132.0)</f>
        <v>1132</v>
      </c>
      <c r="AG42" s="9">
        <f>IFERROR(__xludf.DUMMYFUNCTION("""COMPUTED_VALUE"""),9.0)</f>
        <v>9</v>
      </c>
      <c r="AH42" s="9">
        <f>IFERROR(__xludf.DUMMYFUNCTION("""COMPUTED_VALUE"""),1.0)</f>
        <v>1</v>
      </c>
      <c r="AI42" s="9">
        <f>IFERROR(__xludf.DUMMYFUNCTION("""COMPUTED_VALUE"""),6.0)</f>
        <v>6</v>
      </c>
      <c r="AJ42" s="9">
        <f>IFERROR(__xludf.DUMMYFUNCTION("""COMPUTED_VALUE"""),0.0)</f>
        <v>0</v>
      </c>
      <c r="AK42" s="6" t="str">
        <f>IFERROR(__xludf.DUMMYFUNCTION("SPLIT(""Kevin Stefanski,Alex Van Pelt,Deshaun Watson,Amari Cooper,Elijah Moore,N/A,Geron Christian,Joel Bitonio,Ethan Pocic,Wyatt Teller,Dawand Jones"","","")"),"Kevin Stefanski")</f>
        <v>Kevin Stefanski</v>
      </c>
      <c r="AL42" s="9" t="str">
        <f>IFERROR(__xludf.DUMMYFUNCTION("""COMPUTED_VALUE"""),"Alex Van Pelt")</f>
        <v>Alex Van Pelt</v>
      </c>
      <c r="AM42" s="9" t="str">
        <f>IFERROR(__xludf.DUMMYFUNCTION("""COMPUTED_VALUE"""),"Deshaun Watson")</f>
        <v>Deshaun Watson</v>
      </c>
      <c r="AN42" s="9" t="str">
        <f>IFERROR(__xludf.DUMMYFUNCTION("""COMPUTED_VALUE"""),"Amari Cooper")</f>
        <v>Amari Cooper</v>
      </c>
      <c r="AO42" s="9" t="str">
        <f>IFERROR(__xludf.DUMMYFUNCTION("""COMPUTED_VALUE"""),"Elijah Moore")</f>
        <v>Elijah Moore</v>
      </c>
      <c r="AP42" s="9" t="str">
        <f>IFERROR(__xludf.DUMMYFUNCTION("""COMPUTED_VALUE"""),"N/A")</f>
        <v>N/A</v>
      </c>
      <c r="AQ42" s="9" t="str">
        <f>IFERROR(__xludf.DUMMYFUNCTION("""COMPUTED_VALUE"""),"Geron Christian")</f>
        <v>Geron Christian</v>
      </c>
      <c r="AR42" s="9" t="str">
        <f>IFERROR(__xludf.DUMMYFUNCTION("""COMPUTED_VALUE"""),"Joel Bitonio")</f>
        <v>Joel Bitonio</v>
      </c>
      <c r="AS42" s="9" t="str">
        <f>IFERROR(__xludf.DUMMYFUNCTION("""COMPUTED_VALUE"""),"Ethan Pocic")</f>
        <v>Ethan Pocic</v>
      </c>
      <c r="AT42" s="9" t="str">
        <f>IFERROR(__xludf.DUMMYFUNCTION("""COMPUTED_VALUE"""),"Wyatt Teller")</f>
        <v>Wyatt Teller</v>
      </c>
      <c r="AU42" s="9" t="str">
        <f>IFERROR(__xludf.DUMMYFUNCTION("""COMPUTED_VALUE"""),"Dawand Jones")</f>
        <v>Dawand Jones</v>
      </c>
    </row>
    <row r="43">
      <c r="A43" s="11" t="s">
        <v>101</v>
      </c>
      <c r="B43" s="8">
        <v>6.0</v>
      </c>
      <c r="C43" s="9">
        <f>IFERROR(__xludf.DUMMYFUNCTION("SPLIT(""28,CLE,NFL,RB,2,2,28,170,0,8,57.1,20,6.1,85.0,14.0,4,4,21,5.3,0,1,50.0,10,2.0,10.5,100.0,5.3,32,6.0,191,0,0,1,0,"","","")"),28.0)</f>
        <v>28</v>
      </c>
      <c r="D43" s="9" t="str">
        <f>IFERROR(__xludf.DUMMYFUNCTION("""COMPUTED_VALUE"""),"CLE")</f>
        <v>CLE</v>
      </c>
      <c r="E43" s="9" t="str">
        <f>IFERROR(__xludf.DUMMYFUNCTION("""COMPUTED_VALUE"""),"NFL")</f>
        <v>NFL</v>
      </c>
      <c r="F43" s="9" t="str">
        <f>IFERROR(__xludf.DUMMYFUNCTION("""COMPUTED_VALUE"""),"RB")</f>
        <v>RB</v>
      </c>
      <c r="G43" s="9">
        <f>IFERROR(__xludf.DUMMYFUNCTION("""COMPUTED_VALUE"""),2.0)</f>
        <v>2</v>
      </c>
      <c r="H43" s="9">
        <f>IFERROR(__xludf.DUMMYFUNCTION("""COMPUTED_VALUE"""),2.0)</f>
        <v>2</v>
      </c>
      <c r="I43" s="9">
        <f>IFERROR(__xludf.DUMMYFUNCTION("""COMPUTED_VALUE"""),28.0)</f>
        <v>28</v>
      </c>
      <c r="J43" s="9">
        <f>IFERROR(__xludf.DUMMYFUNCTION("""COMPUTED_VALUE"""),170.0)</f>
        <v>170</v>
      </c>
      <c r="K43" s="9">
        <f>IFERROR(__xludf.DUMMYFUNCTION("""COMPUTED_VALUE"""),0.0)</f>
        <v>0</v>
      </c>
      <c r="L43" s="9">
        <f>IFERROR(__xludf.DUMMYFUNCTION("""COMPUTED_VALUE"""),8.0)</f>
        <v>8</v>
      </c>
      <c r="M43" s="9">
        <f>IFERROR(__xludf.DUMMYFUNCTION("""COMPUTED_VALUE"""),57.1)</f>
        <v>57.1</v>
      </c>
      <c r="N43" s="9">
        <f>IFERROR(__xludf.DUMMYFUNCTION("""COMPUTED_VALUE"""),20.0)</f>
        <v>20</v>
      </c>
      <c r="O43" s="9">
        <f>IFERROR(__xludf.DUMMYFUNCTION("""COMPUTED_VALUE"""),6.1)</f>
        <v>6.1</v>
      </c>
      <c r="P43" s="9">
        <f>IFERROR(__xludf.DUMMYFUNCTION("""COMPUTED_VALUE"""),85.0)</f>
        <v>85</v>
      </c>
      <c r="Q43" s="9">
        <f>IFERROR(__xludf.DUMMYFUNCTION("""COMPUTED_VALUE"""),14.0)</f>
        <v>14</v>
      </c>
      <c r="R43" s="9">
        <f>IFERROR(__xludf.DUMMYFUNCTION("""COMPUTED_VALUE"""),4.0)</f>
        <v>4</v>
      </c>
      <c r="S43" s="9">
        <f>IFERROR(__xludf.DUMMYFUNCTION("""COMPUTED_VALUE"""),4.0)</f>
        <v>4</v>
      </c>
      <c r="T43" s="9">
        <f>IFERROR(__xludf.DUMMYFUNCTION("""COMPUTED_VALUE"""),21.0)</f>
        <v>21</v>
      </c>
      <c r="U43" s="9">
        <f>IFERROR(__xludf.DUMMYFUNCTION("""COMPUTED_VALUE"""),5.3)</f>
        <v>5.3</v>
      </c>
      <c r="V43" s="9">
        <f>IFERROR(__xludf.DUMMYFUNCTION("""COMPUTED_VALUE"""),0.0)</f>
        <v>0</v>
      </c>
      <c r="W43" s="9">
        <f>IFERROR(__xludf.DUMMYFUNCTION("""COMPUTED_VALUE"""),1.0)</f>
        <v>1</v>
      </c>
      <c r="X43" s="9">
        <f>IFERROR(__xludf.DUMMYFUNCTION("""COMPUTED_VALUE"""),50.0)</f>
        <v>50</v>
      </c>
      <c r="Y43" s="9">
        <f>IFERROR(__xludf.DUMMYFUNCTION("""COMPUTED_VALUE"""),10.0)</f>
        <v>10</v>
      </c>
      <c r="Z43" s="9">
        <f>IFERROR(__xludf.DUMMYFUNCTION("""COMPUTED_VALUE"""),2.0)</f>
        <v>2</v>
      </c>
      <c r="AA43" s="9">
        <f>IFERROR(__xludf.DUMMYFUNCTION("""COMPUTED_VALUE"""),10.5)</f>
        <v>10.5</v>
      </c>
      <c r="AB43" s="9">
        <f>IFERROR(__xludf.DUMMYFUNCTION("""COMPUTED_VALUE"""),100.0)</f>
        <v>100</v>
      </c>
      <c r="AC43" s="9">
        <f>IFERROR(__xludf.DUMMYFUNCTION("""COMPUTED_VALUE"""),5.3)</f>
        <v>5.3</v>
      </c>
      <c r="AD43" s="9">
        <f>IFERROR(__xludf.DUMMYFUNCTION("""COMPUTED_VALUE"""),32.0)</f>
        <v>32</v>
      </c>
      <c r="AE43" s="9">
        <f>IFERROR(__xludf.DUMMYFUNCTION("""COMPUTED_VALUE"""),6.0)</f>
        <v>6</v>
      </c>
      <c r="AF43" s="9">
        <f>IFERROR(__xludf.DUMMYFUNCTION("""COMPUTED_VALUE"""),191.0)</f>
        <v>191</v>
      </c>
      <c r="AG43" s="9">
        <f>IFERROR(__xludf.DUMMYFUNCTION("""COMPUTED_VALUE"""),0.0)</f>
        <v>0</v>
      </c>
      <c r="AH43" s="9">
        <f>IFERROR(__xludf.DUMMYFUNCTION("""COMPUTED_VALUE"""),0.0)</f>
        <v>0</v>
      </c>
      <c r="AI43" s="9">
        <f>IFERROR(__xludf.DUMMYFUNCTION("""COMPUTED_VALUE"""),1.0)</f>
        <v>1</v>
      </c>
      <c r="AJ43" s="9">
        <f>IFERROR(__xludf.DUMMYFUNCTION("""COMPUTED_VALUE"""),0.0)</f>
        <v>0</v>
      </c>
      <c r="AK43" s="6" t="str">
        <f>IFERROR(__xludf.DUMMYFUNCTION("SPLIT(""Kevin Stefanski,Alex Van Pelt,Deshaun Watson,Amari Cooper,Elijah Moore,N/A,Geron Christian,Joel Bitonio,Ethan Pocic,Wyatt Teller,Dawand Jones"","","")"),"Kevin Stefanski")</f>
        <v>Kevin Stefanski</v>
      </c>
      <c r="AL43" s="9" t="str">
        <f>IFERROR(__xludf.DUMMYFUNCTION("""COMPUTED_VALUE"""),"Alex Van Pelt")</f>
        <v>Alex Van Pelt</v>
      </c>
      <c r="AM43" s="9" t="str">
        <f>IFERROR(__xludf.DUMMYFUNCTION("""COMPUTED_VALUE"""),"Deshaun Watson")</f>
        <v>Deshaun Watson</v>
      </c>
      <c r="AN43" s="9" t="str">
        <f>IFERROR(__xludf.DUMMYFUNCTION("""COMPUTED_VALUE"""),"Amari Cooper")</f>
        <v>Amari Cooper</v>
      </c>
      <c r="AO43" s="9" t="str">
        <f>IFERROR(__xludf.DUMMYFUNCTION("""COMPUTED_VALUE"""),"Elijah Moore")</f>
        <v>Elijah Moore</v>
      </c>
      <c r="AP43" s="9" t="str">
        <f>IFERROR(__xludf.DUMMYFUNCTION("""COMPUTED_VALUE"""),"N/A")</f>
        <v>N/A</v>
      </c>
      <c r="AQ43" s="9" t="str">
        <f>IFERROR(__xludf.DUMMYFUNCTION("""COMPUTED_VALUE"""),"Geron Christian")</f>
        <v>Geron Christian</v>
      </c>
      <c r="AR43" s="9" t="str">
        <f>IFERROR(__xludf.DUMMYFUNCTION("""COMPUTED_VALUE"""),"Joel Bitonio")</f>
        <v>Joel Bitonio</v>
      </c>
      <c r="AS43" s="9" t="str">
        <f>IFERROR(__xludf.DUMMYFUNCTION("""COMPUTED_VALUE"""),"Ethan Pocic")</f>
        <v>Ethan Pocic</v>
      </c>
      <c r="AT43" s="9" t="str">
        <f>IFERROR(__xludf.DUMMYFUNCTION("""COMPUTED_VALUE"""),"Wyatt Teller")</f>
        <v>Wyatt Teller</v>
      </c>
      <c r="AU43" s="9" t="str">
        <f>IFERROR(__xludf.DUMMYFUNCTION("""COMPUTED_VALUE"""),"Dawand Jones")</f>
        <v>Dawand Jones</v>
      </c>
    </row>
    <row r="44">
      <c r="A44" s="11" t="s">
        <v>102</v>
      </c>
      <c r="B44" s="8">
        <v>5.0</v>
      </c>
      <c r="C44" s="9">
        <f>IFERROR(__xludf.DUMMYFUNCTION("SPLIT(""26,DAL,NFL,RB,17,17,252,1005,6,56,50.0,31,4.0,59.1,14.8,67,55,311,5.7,0,12,43.3,60,3.2,18.3,82.1,4.6,307,4.3,1316,6,3,11,0,"","","")"),26.0)</f>
        <v>26</v>
      </c>
      <c r="D44" s="9" t="str">
        <f>IFERROR(__xludf.DUMMYFUNCTION("""COMPUTED_VALUE"""),"DAL")</f>
        <v>DAL</v>
      </c>
      <c r="E44" s="9" t="str">
        <f>IFERROR(__xludf.DUMMYFUNCTION("""COMPUTED_VALUE"""),"NFL")</f>
        <v>NFL</v>
      </c>
      <c r="F44" s="9" t="str">
        <f>IFERROR(__xludf.DUMMYFUNCTION("""COMPUTED_VALUE"""),"RB")</f>
        <v>RB</v>
      </c>
      <c r="G44" s="9">
        <f>IFERROR(__xludf.DUMMYFUNCTION("""COMPUTED_VALUE"""),17.0)</f>
        <v>17</v>
      </c>
      <c r="H44" s="9">
        <f>IFERROR(__xludf.DUMMYFUNCTION("""COMPUTED_VALUE"""),17.0)</f>
        <v>17</v>
      </c>
      <c r="I44" s="9">
        <f>IFERROR(__xludf.DUMMYFUNCTION("""COMPUTED_VALUE"""),252.0)</f>
        <v>252</v>
      </c>
      <c r="J44" s="9">
        <f>IFERROR(__xludf.DUMMYFUNCTION("""COMPUTED_VALUE"""),1005.0)</f>
        <v>1005</v>
      </c>
      <c r="K44" s="9">
        <f>IFERROR(__xludf.DUMMYFUNCTION("""COMPUTED_VALUE"""),6.0)</f>
        <v>6</v>
      </c>
      <c r="L44" s="9">
        <f>IFERROR(__xludf.DUMMYFUNCTION("""COMPUTED_VALUE"""),56.0)</f>
        <v>56</v>
      </c>
      <c r="M44" s="9">
        <f>IFERROR(__xludf.DUMMYFUNCTION("""COMPUTED_VALUE"""),50.0)</f>
        <v>50</v>
      </c>
      <c r="N44" s="9">
        <f>IFERROR(__xludf.DUMMYFUNCTION("""COMPUTED_VALUE"""),31.0)</f>
        <v>31</v>
      </c>
      <c r="O44" s="9">
        <f>IFERROR(__xludf.DUMMYFUNCTION("""COMPUTED_VALUE"""),4.0)</f>
        <v>4</v>
      </c>
      <c r="P44" s="9">
        <f>IFERROR(__xludf.DUMMYFUNCTION("""COMPUTED_VALUE"""),59.1)</f>
        <v>59.1</v>
      </c>
      <c r="Q44" s="9">
        <f>IFERROR(__xludf.DUMMYFUNCTION("""COMPUTED_VALUE"""),14.8)</f>
        <v>14.8</v>
      </c>
      <c r="R44" s="9">
        <f>IFERROR(__xludf.DUMMYFUNCTION("""COMPUTED_VALUE"""),67.0)</f>
        <v>67</v>
      </c>
      <c r="S44" s="9">
        <f>IFERROR(__xludf.DUMMYFUNCTION("""COMPUTED_VALUE"""),55.0)</f>
        <v>55</v>
      </c>
      <c r="T44" s="9">
        <f>IFERROR(__xludf.DUMMYFUNCTION("""COMPUTED_VALUE"""),311.0)</f>
        <v>311</v>
      </c>
      <c r="U44" s="9">
        <f>IFERROR(__xludf.DUMMYFUNCTION("""COMPUTED_VALUE"""),5.7)</f>
        <v>5.7</v>
      </c>
      <c r="V44" s="9">
        <f>IFERROR(__xludf.DUMMYFUNCTION("""COMPUTED_VALUE"""),0.0)</f>
        <v>0</v>
      </c>
      <c r="W44" s="9">
        <f>IFERROR(__xludf.DUMMYFUNCTION("""COMPUTED_VALUE"""),12.0)</f>
        <v>12</v>
      </c>
      <c r="X44" s="9">
        <f>IFERROR(__xludf.DUMMYFUNCTION("""COMPUTED_VALUE"""),43.3)</f>
        <v>43.3</v>
      </c>
      <c r="Y44" s="9">
        <f>IFERROR(__xludf.DUMMYFUNCTION("""COMPUTED_VALUE"""),60.0)</f>
        <v>60</v>
      </c>
      <c r="Z44" s="9">
        <f>IFERROR(__xludf.DUMMYFUNCTION("""COMPUTED_VALUE"""),3.2)</f>
        <v>3.2</v>
      </c>
      <c r="AA44" s="9">
        <f>IFERROR(__xludf.DUMMYFUNCTION("""COMPUTED_VALUE"""),18.3)</f>
        <v>18.3</v>
      </c>
      <c r="AB44" s="9">
        <f>IFERROR(__xludf.DUMMYFUNCTION("""COMPUTED_VALUE"""),82.1)</f>
        <v>82.1</v>
      </c>
      <c r="AC44" s="9">
        <f>IFERROR(__xludf.DUMMYFUNCTION("""COMPUTED_VALUE"""),4.6)</f>
        <v>4.6</v>
      </c>
      <c r="AD44" s="9">
        <f>IFERROR(__xludf.DUMMYFUNCTION("""COMPUTED_VALUE"""),307.0)</f>
        <v>307</v>
      </c>
      <c r="AE44" s="9">
        <f>IFERROR(__xludf.DUMMYFUNCTION("""COMPUTED_VALUE"""),4.3)</f>
        <v>4.3</v>
      </c>
      <c r="AF44" s="9">
        <f>IFERROR(__xludf.DUMMYFUNCTION("""COMPUTED_VALUE"""),1316.0)</f>
        <v>1316</v>
      </c>
      <c r="AG44" s="9">
        <f>IFERROR(__xludf.DUMMYFUNCTION("""COMPUTED_VALUE"""),6.0)</f>
        <v>6</v>
      </c>
      <c r="AH44" s="9">
        <f>IFERROR(__xludf.DUMMYFUNCTION("""COMPUTED_VALUE"""),3.0)</f>
        <v>3</v>
      </c>
      <c r="AI44" s="9">
        <f>IFERROR(__xludf.DUMMYFUNCTION("""COMPUTED_VALUE"""),11.0)</f>
        <v>11</v>
      </c>
      <c r="AJ44" s="9">
        <f>IFERROR(__xludf.DUMMYFUNCTION("""COMPUTED_VALUE"""),0.0)</f>
        <v>0</v>
      </c>
      <c r="AK44" s="11" t="s">
        <v>103</v>
      </c>
      <c r="AL44" s="11" t="s">
        <v>104</v>
      </c>
      <c r="AM44" s="11" t="s">
        <v>105</v>
      </c>
      <c r="AN44" s="11" t="s">
        <v>106</v>
      </c>
      <c r="AO44" s="11" t="s">
        <v>107</v>
      </c>
      <c r="AP44" s="11" t="s">
        <v>86</v>
      </c>
      <c r="AQ44" s="11" t="s">
        <v>108</v>
      </c>
      <c r="AR44" s="11" t="s">
        <v>109</v>
      </c>
      <c r="AS44" s="11" t="s">
        <v>110</v>
      </c>
      <c r="AT44" s="11" t="s">
        <v>111</v>
      </c>
      <c r="AU44" s="11" t="s">
        <v>112</v>
      </c>
    </row>
    <row r="45">
      <c r="A45" s="11" t="s">
        <v>113</v>
      </c>
      <c r="B45" s="8">
        <v>8.0</v>
      </c>
      <c r="C45" s="9">
        <f>IFERROR(__xludf.DUMMYFUNCTION("SPLIT(""28,NWE,NFL,RB,17,5,184,642,3,33,45.1,17,3.5,37.8,10.8,65,51,313,6.1,2,12,40.0,23,3.0,18.4,78.5,4.8,235,4.1,955,5,2,5,0,"","","")"),28.0)</f>
        <v>28</v>
      </c>
      <c r="D45" s="9" t="str">
        <f>IFERROR(__xludf.DUMMYFUNCTION("""COMPUTED_VALUE"""),"NWE")</f>
        <v>NWE</v>
      </c>
      <c r="E45" s="9" t="str">
        <f>IFERROR(__xludf.DUMMYFUNCTION("""COMPUTED_VALUE"""),"NFL")</f>
        <v>NFL</v>
      </c>
      <c r="F45" s="9" t="str">
        <f>IFERROR(__xludf.DUMMYFUNCTION("""COMPUTED_VALUE"""),"RB")</f>
        <v>RB</v>
      </c>
      <c r="G45" s="9">
        <f>IFERROR(__xludf.DUMMYFUNCTION("""COMPUTED_VALUE"""),17.0)</f>
        <v>17</v>
      </c>
      <c r="H45" s="9">
        <f>IFERROR(__xludf.DUMMYFUNCTION("""COMPUTED_VALUE"""),5.0)</f>
        <v>5</v>
      </c>
      <c r="I45" s="9">
        <f>IFERROR(__xludf.DUMMYFUNCTION("""COMPUTED_VALUE"""),184.0)</f>
        <v>184</v>
      </c>
      <c r="J45" s="9">
        <f>IFERROR(__xludf.DUMMYFUNCTION("""COMPUTED_VALUE"""),642.0)</f>
        <v>642</v>
      </c>
      <c r="K45" s="9">
        <f>IFERROR(__xludf.DUMMYFUNCTION("""COMPUTED_VALUE"""),3.0)</f>
        <v>3</v>
      </c>
      <c r="L45" s="9">
        <f>IFERROR(__xludf.DUMMYFUNCTION("""COMPUTED_VALUE"""),33.0)</f>
        <v>33</v>
      </c>
      <c r="M45" s="9">
        <f>IFERROR(__xludf.DUMMYFUNCTION("""COMPUTED_VALUE"""),45.1)</f>
        <v>45.1</v>
      </c>
      <c r="N45" s="9">
        <f>IFERROR(__xludf.DUMMYFUNCTION("""COMPUTED_VALUE"""),17.0)</f>
        <v>17</v>
      </c>
      <c r="O45" s="9">
        <f>IFERROR(__xludf.DUMMYFUNCTION("""COMPUTED_VALUE"""),3.5)</f>
        <v>3.5</v>
      </c>
      <c r="P45" s="9">
        <f>IFERROR(__xludf.DUMMYFUNCTION("""COMPUTED_VALUE"""),37.8)</f>
        <v>37.8</v>
      </c>
      <c r="Q45" s="9">
        <f>IFERROR(__xludf.DUMMYFUNCTION("""COMPUTED_VALUE"""),10.8)</f>
        <v>10.8</v>
      </c>
      <c r="R45" s="9">
        <f>IFERROR(__xludf.DUMMYFUNCTION("""COMPUTED_VALUE"""),65.0)</f>
        <v>65</v>
      </c>
      <c r="S45" s="9">
        <f>IFERROR(__xludf.DUMMYFUNCTION("""COMPUTED_VALUE"""),51.0)</f>
        <v>51</v>
      </c>
      <c r="T45" s="9">
        <f>IFERROR(__xludf.DUMMYFUNCTION("""COMPUTED_VALUE"""),313.0)</f>
        <v>313</v>
      </c>
      <c r="U45" s="9">
        <f>IFERROR(__xludf.DUMMYFUNCTION("""COMPUTED_VALUE"""),6.1)</f>
        <v>6.1</v>
      </c>
      <c r="V45" s="9">
        <f>IFERROR(__xludf.DUMMYFUNCTION("""COMPUTED_VALUE"""),2.0)</f>
        <v>2</v>
      </c>
      <c r="W45" s="9">
        <f>IFERROR(__xludf.DUMMYFUNCTION("""COMPUTED_VALUE"""),12.0)</f>
        <v>12</v>
      </c>
      <c r="X45" s="9">
        <f>IFERROR(__xludf.DUMMYFUNCTION("""COMPUTED_VALUE"""),40.0)</f>
        <v>40</v>
      </c>
      <c r="Y45" s="9">
        <f>IFERROR(__xludf.DUMMYFUNCTION("""COMPUTED_VALUE"""),23.0)</f>
        <v>23</v>
      </c>
      <c r="Z45" s="9">
        <f>IFERROR(__xludf.DUMMYFUNCTION("""COMPUTED_VALUE"""),3.0)</f>
        <v>3</v>
      </c>
      <c r="AA45" s="9">
        <f>IFERROR(__xludf.DUMMYFUNCTION("""COMPUTED_VALUE"""),18.4)</f>
        <v>18.4</v>
      </c>
      <c r="AB45" s="9">
        <f>IFERROR(__xludf.DUMMYFUNCTION("""COMPUTED_VALUE"""),78.5)</f>
        <v>78.5</v>
      </c>
      <c r="AC45" s="9">
        <f>IFERROR(__xludf.DUMMYFUNCTION("""COMPUTED_VALUE"""),4.8)</f>
        <v>4.8</v>
      </c>
      <c r="AD45" s="9">
        <f>IFERROR(__xludf.DUMMYFUNCTION("""COMPUTED_VALUE"""),235.0)</f>
        <v>235</v>
      </c>
      <c r="AE45" s="9">
        <f>IFERROR(__xludf.DUMMYFUNCTION("""COMPUTED_VALUE"""),4.1)</f>
        <v>4.1</v>
      </c>
      <c r="AF45" s="9">
        <f>IFERROR(__xludf.DUMMYFUNCTION("""COMPUTED_VALUE"""),955.0)</f>
        <v>955</v>
      </c>
      <c r="AG45" s="9">
        <f>IFERROR(__xludf.DUMMYFUNCTION("""COMPUTED_VALUE"""),5.0)</f>
        <v>5</v>
      </c>
      <c r="AH45" s="9">
        <f>IFERROR(__xludf.DUMMYFUNCTION("""COMPUTED_VALUE"""),2.0)</f>
        <v>2</v>
      </c>
      <c r="AI45" s="9">
        <f>IFERROR(__xludf.DUMMYFUNCTION("""COMPUTED_VALUE"""),5.0)</f>
        <v>5</v>
      </c>
      <c r="AJ45" s="9">
        <f>IFERROR(__xludf.DUMMYFUNCTION("""COMPUTED_VALUE"""),0.0)</f>
        <v>0</v>
      </c>
      <c r="AK45" s="6" t="str">
        <f>IFERROR(__xludf.DUMMYFUNCTION("SPLIT(""Bill Belichick,Bill O'Brien,Mac Jones,Kendrick Bourne,DeVante Parker,N/A,Trent Brown,Cole Strange,David Andrews,Sidy Sow,Michael Onwenu"","","")"),"Bill Belichick")</f>
        <v>Bill Belichick</v>
      </c>
      <c r="AL45" s="9" t="str">
        <f>IFERROR(__xludf.DUMMYFUNCTION("""COMPUTED_VALUE"""),"Bill O'Brien")</f>
        <v>Bill O'Brien</v>
      </c>
      <c r="AM45" s="9" t="str">
        <f>IFERROR(__xludf.DUMMYFUNCTION("""COMPUTED_VALUE"""),"Mac Jones")</f>
        <v>Mac Jones</v>
      </c>
      <c r="AN45" s="9" t="str">
        <f>IFERROR(__xludf.DUMMYFUNCTION("""COMPUTED_VALUE"""),"Kendrick Bourne")</f>
        <v>Kendrick Bourne</v>
      </c>
      <c r="AO45" s="9" t="str">
        <f>IFERROR(__xludf.DUMMYFUNCTION("""COMPUTED_VALUE"""),"DeVante Parker")</f>
        <v>DeVante Parker</v>
      </c>
      <c r="AP45" s="9" t="str">
        <f>IFERROR(__xludf.DUMMYFUNCTION("""COMPUTED_VALUE"""),"N/A")</f>
        <v>N/A</v>
      </c>
      <c r="AQ45" s="9" t="str">
        <f>IFERROR(__xludf.DUMMYFUNCTION("""COMPUTED_VALUE"""),"Trent Brown")</f>
        <v>Trent Brown</v>
      </c>
      <c r="AR45" s="9" t="str">
        <f>IFERROR(__xludf.DUMMYFUNCTION("""COMPUTED_VALUE"""),"Cole Strange")</f>
        <v>Cole Strange</v>
      </c>
      <c r="AS45" s="9" t="str">
        <f>IFERROR(__xludf.DUMMYFUNCTION("""COMPUTED_VALUE"""),"David Andrews")</f>
        <v>David Andrews</v>
      </c>
      <c r="AT45" s="9" t="str">
        <f>IFERROR(__xludf.DUMMYFUNCTION("""COMPUTED_VALUE"""),"Sidy Sow")</f>
        <v>Sidy Sow</v>
      </c>
      <c r="AU45" s="9" t="str">
        <f>IFERROR(__xludf.DUMMYFUNCTION("""COMPUTED_VALUE"""),"Michael Onwenu")</f>
        <v>Michael Onwenu</v>
      </c>
    </row>
    <row r="46">
      <c r="A46" s="11" t="s">
        <v>114</v>
      </c>
      <c r="B46" s="8">
        <v>3.0</v>
      </c>
      <c r="C46" s="9">
        <f>IFERROR(__xludf.DUMMYFUNCTION("SPLIT(""23,DEN,NFL,RB,16,13,217,774,3,41,40.6,21,3.6,48.4,13.6,58,47,228,4.9,2,10,48.3,18,2.9,14.3,81.0,3.9,264,3.8,1002,5,1,6,0,"","","")"),23.0)</f>
        <v>23</v>
      </c>
      <c r="D46" s="9" t="str">
        <f>IFERROR(__xludf.DUMMYFUNCTION("""COMPUTED_VALUE"""),"DEN")</f>
        <v>DEN</v>
      </c>
      <c r="E46" s="9" t="str">
        <f>IFERROR(__xludf.DUMMYFUNCTION("""COMPUTED_VALUE"""),"NFL")</f>
        <v>NFL</v>
      </c>
      <c r="F46" s="9" t="str">
        <f>IFERROR(__xludf.DUMMYFUNCTION("""COMPUTED_VALUE"""),"RB")</f>
        <v>RB</v>
      </c>
      <c r="G46" s="9">
        <f>IFERROR(__xludf.DUMMYFUNCTION("""COMPUTED_VALUE"""),16.0)</f>
        <v>16</v>
      </c>
      <c r="H46" s="9">
        <f>IFERROR(__xludf.DUMMYFUNCTION("""COMPUTED_VALUE"""),13.0)</f>
        <v>13</v>
      </c>
      <c r="I46" s="9">
        <f>IFERROR(__xludf.DUMMYFUNCTION("""COMPUTED_VALUE"""),217.0)</f>
        <v>217</v>
      </c>
      <c r="J46" s="9">
        <f>IFERROR(__xludf.DUMMYFUNCTION("""COMPUTED_VALUE"""),774.0)</f>
        <v>774</v>
      </c>
      <c r="K46" s="9">
        <f>IFERROR(__xludf.DUMMYFUNCTION("""COMPUTED_VALUE"""),3.0)</f>
        <v>3</v>
      </c>
      <c r="L46" s="9">
        <f>IFERROR(__xludf.DUMMYFUNCTION("""COMPUTED_VALUE"""),41.0)</f>
        <v>41</v>
      </c>
      <c r="M46" s="9">
        <f>IFERROR(__xludf.DUMMYFUNCTION("""COMPUTED_VALUE"""),40.6)</f>
        <v>40.6</v>
      </c>
      <c r="N46" s="9">
        <f>IFERROR(__xludf.DUMMYFUNCTION("""COMPUTED_VALUE"""),21.0)</f>
        <v>21</v>
      </c>
      <c r="O46" s="9">
        <f>IFERROR(__xludf.DUMMYFUNCTION("""COMPUTED_VALUE"""),3.6)</f>
        <v>3.6</v>
      </c>
      <c r="P46" s="9">
        <f>IFERROR(__xludf.DUMMYFUNCTION("""COMPUTED_VALUE"""),48.4)</f>
        <v>48.4</v>
      </c>
      <c r="Q46" s="9">
        <f>IFERROR(__xludf.DUMMYFUNCTION("""COMPUTED_VALUE"""),13.6)</f>
        <v>13.6</v>
      </c>
      <c r="R46" s="9">
        <f>IFERROR(__xludf.DUMMYFUNCTION("""COMPUTED_VALUE"""),58.0)</f>
        <v>58</v>
      </c>
      <c r="S46" s="9">
        <f>IFERROR(__xludf.DUMMYFUNCTION("""COMPUTED_VALUE"""),47.0)</f>
        <v>47</v>
      </c>
      <c r="T46" s="9">
        <f>IFERROR(__xludf.DUMMYFUNCTION("""COMPUTED_VALUE"""),228.0)</f>
        <v>228</v>
      </c>
      <c r="U46" s="9">
        <f>IFERROR(__xludf.DUMMYFUNCTION("""COMPUTED_VALUE"""),4.9)</f>
        <v>4.9</v>
      </c>
      <c r="V46" s="9">
        <f>IFERROR(__xludf.DUMMYFUNCTION("""COMPUTED_VALUE"""),2.0)</f>
        <v>2</v>
      </c>
      <c r="W46" s="9">
        <f>IFERROR(__xludf.DUMMYFUNCTION("""COMPUTED_VALUE"""),10.0)</f>
        <v>10</v>
      </c>
      <c r="X46" s="9">
        <f>IFERROR(__xludf.DUMMYFUNCTION("""COMPUTED_VALUE"""),48.3)</f>
        <v>48.3</v>
      </c>
      <c r="Y46" s="9">
        <f>IFERROR(__xludf.DUMMYFUNCTION("""COMPUTED_VALUE"""),18.0)</f>
        <v>18</v>
      </c>
      <c r="Z46" s="9">
        <f>IFERROR(__xludf.DUMMYFUNCTION("""COMPUTED_VALUE"""),2.9)</f>
        <v>2.9</v>
      </c>
      <c r="AA46" s="9">
        <f>IFERROR(__xludf.DUMMYFUNCTION("""COMPUTED_VALUE"""),14.3)</f>
        <v>14.3</v>
      </c>
      <c r="AB46" s="9">
        <f>IFERROR(__xludf.DUMMYFUNCTION("""COMPUTED_VALUE"""),81.0)</f>
        <v>81</v>
      </c>
      <c r="AC46" s="9">
        <f>IFERROR(__xludf.DUMMYFUNCTION("""COMPUTED_VALUE"""),3.9)</f>
        <v>3.9</v>
      </c>
      <c r="AD46" s="9">
        <f>IFERROR(__xludf.DUMMYFUNCTION("""COMPUTED_VALUE"""),264.0)</f>
        <v>264</v>
      </c>
      <c r="AE46" s="9">
        <f>IFERROR(__xludf.DUMMYFUNCTION("""COMPUTED_VALUE"""),3.8)</f>
        <v>3.8</v>
      </c>
      <c r="AF46" s="9">
        <f>IFERROR(__xludf.DUMMYFUNCTION("""COMPUTED_VALUE"""),1002.0)</f>
        <v>1002</v>
      </c>
      <c r="AG46" s="9">
        <f>IFERROR(__xludf.DUMMYFUNCTION("""COMPUTED_VALUE"""),5.0)</f>
        <v>5</v>
      </c>
      <c r="AH46" s="9">
        <f>IFERROR(__xludf.DUMMYFUNCTION("""COMPUTED_VALUE"""),1.0)</f>
        <v>1</v>
      </c>
      <c r="AI46" s="9">
        <f>IFERROR(__xludf.DUMMYFUNCTION("""COMPUTED_VALUE"""),6.0)</f>
        <v>6</v>
      </c>
      <c r="AJ46" s="9">
        <f>IFERROR(__xludf.DUMMYFUNCTION("""COMPUTED_VALUE"""),0.0)</f>
        <v>0</v>
      </c>
      <c r="AK46" s="6" t="str">
        <f>IFERROR(__xludf.DUMMYFUNCTION("SPLIT(""Sean Payton,Joe Lombardi,Russell Wilson,Jerry Jeudy,Marvin Mims,N/A,Garett Bolles,Ben Powers,Lloyd Cushenberry III,Quinn Meinerz,Mike McGlinchey"","","")"),"Sean Payton")</f>
        <v>Sean Payton</v>
      </c>
      <c r="AL46" s="9" t="str">
        <f>IFERROR(__xludf.DUMMYFUNCTION("""COMPUTED_VALUE"""),"Joe Lombardi")</f>
        <v>Joe Lombardi</v>
      </c>
      <c r="AM46" s="9" t="str">
        <f>IFERROR(__xludf.DUMMYFUNCTION("""COMPUTED_VALUE"""),"Russell Wilson")</f>
        <v>Russell Wilson</v>
      </c>
      <c r="AN46" s="9" t="str">
        <f>IFERROR(__xludf.DUMMYFUNCTION("""COMPUTED_VALUE"""),"Jerry Jeudy")</f>
        <v>Jerry Jeudy</v>
      </c>
      <c r="AO46" s="9" t="str">
        <f>IFERROR(__xludf.DUMMYFUNCTION("""COMPUTED_VALUE"""),"Marvin Mims")</f>
        <v>Marvin Mims</v>
      </c>
      <c r="AP46" s="9" t="str">
        <f>IFERROR(__xludf.DUMMYFUNCTION("""COMPUTED_VALUE"""),"N/A")</f>
        <v>N/A</v>
      </c>
      <c r="AQ46" s="9" t="str">
        <f>IFERROR(__xludf.DUMMYFUNCTION("""COMPUTED_VALUE"""),"Garett Bolles")</f>
        <v>Garett Bolles</v>
      </c>
      <c r="AR46" s="9" t="str">
        <f>IFERROR(__xludf.DUMMYFUNCTION("""COMPUTED_VALUE"""),"Ben Powers")</f>
        <v>Ben Powers</v>
      </c>
      <c r="AS46" s="9" t="str">
        <f>IFERROR(__xludf.DUMMYFUNCTION("""COMPUTED_VALUE"""),"Lloyd Cushenberry III")</f>
        <v>Lloyd Cushenberry III</v>
      </c>
      <c r="AT46" s="9" t="str">
        <f>IFERROR(__xludf.DUMMYFUNCTION("""COMPUTED_VALUE"""),"Quinn Meinerz")</f>
        <v>Quinn Meinerz</v>
      </c>
      <c r="AU46" s="9" t="str">
        <f>IFERROR(__xludf.DUMMYFUNCTION("""COMPUTED_VALUE"""),"Mike McGlinchey")</f>
        <v>Mike McGlinchey</v>
      </c>
    </row>
    <row r="47">
      <c r="A47" s="11" t="s">
        <v>115</v>
      </c>
      <c r="B47" s="8">
        <v>9.0</v>
      </c>
      <c r="C47" s="9">
        <f>IFERROR(__xludf.DUMMYFUNCTION("SPLIT(""30,LVR,NFL,RB,17,0,15,89,0,6,60.0,12,5.9,5.2,0.9,24,19,131,6.9,0,4,33.3,18,1.1,7.7,79.2,5.5,34,6.5,220,0,0,2,0,"","","")"),30.0)</f>
        <v>30</v>
      </c>
      <c r="D47" s="9" t="str">
        <f>IFERROR(__xludf.DUMMYFUNCTION("""COMPUTED_VALUE"""),"LVR")</f>
        <v>LVR</v>
      </c>
      <c r="E47" s="9" t="str">
        <f>IFERROR(__xludf.DUMMYFUNCTION("""COMPUTED_VALUE"""),"NFL")</f>
        <v>NFL</v>
      </c>
      <c r="F47" s="9" t="str">
        <f>IFERROR(__xludf.DUMMYFUNCTION("""COMPUTED_VALUE"""),"RB")</f>
        <v>RB</v>
      </c>
      <c r="G47" s="9">
        <f>IFERROR(__xludf.DUMMYFUNCTION("""COMPUTED_VALUE"""),17.0)</f>
        <v>17</v>
      </c>
      <c r="H47" s="9">
        <f>IFERROR(__xludf.DUMMYFUNCTION("""COMPUTED_VALUE"""),0.0)</f>
        <v>0</v>
      </c>
      <c r="I47" s="9">
        <f>IFERROR(__xludf.DUMMYFUNCTION("""COMPUTED_VALUE"""),15.0)</f>
        <v>15</v>
      </c>
      <c r="J47" s="9">
        <f>IFERROR(__xludf.DUMMYFUNCTION("""COMPUTED_VALUE"""),89.0)</f>
        <v>89</v>
      </c>
      <c r="K47" s="9">
        <f>IFERROR(__xludf.DUMMYFUNCTION("""COMPUTED_VALUE"""),0.0)</f>
        <v>0</v>
      </c>
      <c r="L47" s="9">
        <f>IFERROR(__xludf.DUMMYFUNCTION("""COMPUTED_VALUE"""),6.0)</f>
        <v>6</v>
      </c>
      <c r="M47" s="9">
        <f>IFERROR(__xludf.DUMMYFUNCTION("""COMPUTED_VALUE"""),60.0)</f>
        <v>60</v>
      </c>
      <c r="N47" s="9">
        <f>IFERROR(__xludf.DUMMYFUNCTION("""COMPUTED_VALUE"""),12.0)</f>
        <v>12</v>
      </c>
      <c r="O47" s="9">
        <f>IFERROR(__xludf.DUMMYFUNCTION("""COMPUTED_VALUE"""),5.9)</f>
        <v>5.9</v>
      </c>
      <c r="P47" s="9">
        <f>IFERROR(__xludf.DUMMYFUNCTION("""COMPUTED_VALUE"""),5.2)</f>
        <v>5.2</v>
      </c>
      <c r="Q47" s="9">
        <f>IFERROR(__xludf.DUMMYFUNCTION("""COMPUTED_VALUE"""),0.9)</f>
        <v>0.9</v>
      </c>
      <c r="R47" s="9">
        <f>IFERROR(__xludf.DUMMYFUNCTION("""COMPUTED_VALUE"""),24.0)</f>
        <v>24</v>
      </c>
      <c r="S47" s="9">
        <f>IFERROR(__xludf.DUMMYFUNCTION("""COMPUTED_VALUE"""),19.0)</f>
        <v>19</v>
      </c>
      <c r="T47" s="9">
        <f>IFERROR(__xludf.DUMMYFUNCTION("""COMPUTED_VALUE"""),131.0)</f>
        <v>131</v>
      </c>
      <c r="U47" s="9">
        <f>IFERROR(__xludf.DUMMYFUNCTION("""COMPUTED_VALUE"""),6.9)</f>
        <v>6.9</v>
      </c>
      <c r="V47" s="9">
        <f>IFERROR(__xludf.DUMMYFUNCTION("""COMPUTED_VALUE"""),0.0)</f>
        <v>0</v>
      </c>
      <c r="W47" s="9">
        <f>IFERROR(__xludf.DUMMYFUNCTION("""COMPUTED_VALUE"""),4.0)</f>
        <v>4</v>
      </c>
      <c r="X47" s="9">
        <f>IFERROR(__xludf.DUMMYFUNCTION("""COMPUTED_VALUE"""),33.3)</f>
        <v>33.3</v>
      </c>
      <c r="Y47" s="9">
        <f>IFERROR(__xludf.DUMMYFUNCTION("""COMPUTED_VALUE"""),18.0)</f>
        <v>18</v>
      </c>
      <c r="Z47" s="9">
        <f>IFERROR(__xludf.DUMMYFUNCTION("""COMPUTED_VALUE"""),1.1)</f>
        <v>1.1</v>
      </c>
      <c r="AA47" s="9">
        <f>IFERROR(__xludf.DUMMYFUNCTION("""COMPUTED_VALUE"""),7.7)</f>
        <v>7.7</v>
      </c>
      <c r="AB47" s="9">
        <f>IFERROR(__xludf.DUMMYFUNCTION("""COMPUTED_VALUE"""),79.2)</f>
        <v>79.2</v>
      </c>
      <c r="AC47" s="9">
        <f>IFERROR(__xludf.DUMMYFUNCTION("""COMPUTED_VALUE"""),5.5)</f>
        <v>5.5</v>
      </c>
      <c r="AD47" s="9">
        <f>IFERROR(__xludf.DUMMYFUNCTION("""COMPUTED_VALUE"""),34.0)</f>
        <v>34</v>
      </c>
      <c r="AE47" s="9">
        <f>IFERROR(__xludf.DUMMYFUNCTION("""COMPUTED_VALUE"""),6.5)</f>
        <v>6.5</v>
      </c>
      <c r="AF47" s="9">
        <f>IFERROR(__xludf.DUMMYFUNCTION("""COMPUTED_VALUE"""),220.0)</f>
        <v>220</v>
      </c>
      <c r="AG47" s="9">
        <f>IFERROR(__xludf.DUMMYFUNCTION("""COMPUTED_VALUE"""),0.0)</f>
        <v>0</v>
      </c>
      <c r="AH47" s="9">
        <f>IFERROR(__xludf.DUMMYFUNCTION("""COMPUTED_VALUE"""),0.0)</f>
        <v>0</v>
      </c>
      <c r="AI47" s="9">
        <f>IFERROR(__xludf.DUMMYFUNCTION("""COMPUTED_VALUE"""),2.0)</f>
        <v>2</v>
      </c>
      <c r="AJ47" s="9">
        <f>IFERROR(__xludf.DUMMYFUNCTION("""COMPUTED_VALUE"""),0.0)</f>
        <v>0</v>
      </c>
      <c r="AK47" s="6" t="str">
        <f>IFERROR(__xludf.DUMMYFUNCTION("SPLIT(""Antonio Pierce,Bo Hardegree,Aidan O'Connell,Davante Adams,Jakobi Meyers,N/A,Kolton Miller,Dylan Parham,Andre James,Greg Van Roten,Jermaine Eluemunor"","","")"),"Antonio Pierce")</f>
        <v>Antonio Pierce</v>
      </c>
      <c r="AL47" s="9" t="str">
        <f>IFERROR(__xludf.DUMMYFUNCTION("""COMPUTED_VALUE"""),"Bo Hardegree")</f>
        <v>Bo Hardegree</v>
      </c>
      <c r="AM47" s="9" t="str">
        <f>IFERROR(__xludf.DUMMYFUNCTION("""COMPUTED_VALUE"""),"Aidan O'Connell")</f>
        <v>Aidan O'Connell</v>
      </c>
      <c r="AN47" s="9" t="str">
        <f>IFERROR(__xludf.DUMMYFUNCTION("""COMPUTED_VALUE"""),"Davante Adams")</f>
        <v>Davante Adams</v>
      </c>
      <c r="AO47" s="9" t="str">
        <f>IFERROR(__xludf.DUMMYFUNCTION("""COMPUTED_VALUE"""),"Jakobi Meyers")</f>
        <v>Jakobi Meyers</v>
      </c>
      <c r="AP47" s="9" t="str">
        <f>IFERROR(__xludf.DUMMYFUNCTION("""COMPUTED_VALUE"""),"N/A")</f>
        <v>N/A</v>
      </c>
      <c r="AQ47" s="9" t="str">
        <f>IFERROR(__xludf.DUMMYFUNCTION("""COMPUTED_VALUE"""),"Kolton Miller")</f>
        <v>Kolton Miller</v>
      </c>
      <c r="AR47" s="9" t="str">
        <f>IFERROR(__xludf.DUMMYFUNCTION("""COMPUTED_VALUE"""),"Dylan Parham")</f>
        <v>Dylan Parham</v>
      </c>
      <c r="AS47" s="9" t="str">
        <f>IFERROR(__xludf.DUMMYFUNCTION("""COMPUTED_VALUE"""),"Andre James")</f>
        <v>Andre James</v>
      </c>
      <c r="AT47" s="9" t="str">
        <f>IFERROR(__xludf.DUMMYFUNCTION("""COMPUTED_VALUE"""),"Greg Van Roten")</f>
        <v>Greg Van Roten</v>
      </c>
      <c r="AU47" s="9" t="str">
        <f>IFERROR(__xludf.DUMMYFUNCTION("""COMPUTED_VALUE"""),"Jermaine Eluemunor")</f>
        <v>Jermaine Eluemunor</v>
      </c>
    </row>
    <row r="48">
      <c r="A48" s="12" t="s">
        <v>116</v>
      </c>
      <c r="B48" s="4">
        <v>5.0</v>
      </c>
      <c r="C48" s="5">
        <f>IFERROR(__xludf.DUMMYFUNCTION("SPLIT(""26,HOU,NFL,RB,17,10,216,898,4,41,47.7,24,4.2,52.8,12.7,38,30,193,6.4,0,7,36.8,41,1.8,11.4,78.9,5.1,246,4.4,1091,4,1,7,0,"","","")"),26.0)</f>
        <v>26</v>
      </c>
      <c r="D48" s="6" t="str">
        <f>IFERROR(__xludf.DUMMYFUNCTION("""COMPUTED_VALUE"""),"HOU")</f>
        <v>HOU</v>
      </c>
      <c r="E48" s="6" t="str">
        <f>IFERROR(__xludf.DUMMYFUNCTION("""COMPUTED_VALUE"""),"NFL")</f>
        <v>NFL</v>
      </c>
      <c r="F48" s="6" t="str">
        <f>IFERROR(__xludf.DUMMYFUNCTION("""COMPUTED_VALUE"""),"RB")</f>
        <v>RB</v>
      </c>
      <c r="G48" s="5">
        <f>IFERROR(__xludf.DUMMYFUNCTION("""COMPUTED_VALUE"""),17.0)</f>
        <v>17</v>
      </c>
      <c r="H48" s="5">
        <f>IFERROR(__xludf.DUMMYFUNCTION("""COMPUTED_VALUE"""),10.0)</f>
        <v>10</v>
      </c>
      <c r="I48" s="5">
        <f>IFERROR(__xludf.DUMMYFUNCTION("""COMPUTED_VALUE"""),216.0)</f>
        <v>216</v>
      </c>
      <c r="J48" s="5">
        <f>IFERROR(__xludf.DUMMYFUNCTION("""COMPUTED_VALUE"""),898.0)</f>
        <v>898</v>
      </c>
      <c r="K48" s="5">
        <f>IFERROR(__xludf.DUMMYFUNCTION("""COMPUTED_VALUE"""),4.0)</f>
        <v>4</v>
      </c>
      <c r="L48" s="5">
        <f>IFERROR(__xludf.DUMMYFUNCTION("""COMPUTED_VALUE"""),41.0)</f>
        <v>41</v>
      </c>
      <c r="M48" s="5">
        <f>IFERROR(__xludf.DUMMYFUNCTION("""COMPUTED_VALUE"""),47.7)</f>
        <v>47.7</v>
      </c>
      <c r="N48" s="5">
        <f>IFERROR(__xludf.DUMMYFUNCTION("""COMPUTED_VALUE"""),24.0)</f>
        <v>24</v>
      </c>
      <c r="O48" s="5">
        <f>IFERROR(__xludf.DUMMYFUNCTION("""COMPUTED_VALUE"""),4.2)</f>
        <v>4.2</v>
      </c>
      <c r="P48" s="5">
        <f>IFERROR(__xludf.DUMMYFUNCTION("""COMPUTED_VALUE"""),52.8)</f>
        <v>52.8</v>
      </c>
      <c r="Q48" s="5">
        <f>IFERROR(__xludf.DUMMYFUNCTION("""COMPUTED_VALUE"""),12.7)</f>
        <v>12.7</v>
      </c>
      <c r="R48" s="5">
        <f>IFERROR(__xludf.DUMMYFUNCTION("""COMPUTED_VALUE"""),38.0)</f>
        <v>38</v>
      </c>
      <c r="S48" s="5">
        <f>IFERROR(__xludf.DUMMYFUNCTION("""COMPUTED_VALUE"""),30.0)</f>
        <v>30</v>
      </c>
      <c r="T48" s="5">
        <f>IFERROR(__xludf.DUMMYFUNCTION("""COMPUTED_VALUE"""),193.0)</f>
        <v>193</v>
      </c>
      <c r="U48" s="5">
        <f>IFERROR(__xludf.DUMMYFUNCTION("""COMPUTED_VALUE"""),6.4)</f>
        <v>6.4</v>
      </c>
      <c r="V48" s="5">
        <f>IFERROR(__xludf.DUMMYFUNCTION("""COMPUTED_VALUE"""),0.0)</f>
        <v>0</v>
      </c>
      <c r="W48" s="5">
        <f>IFERROR(__xludf.DUMMYFUNCTION("""COMPUTED_VALUE"""),7.0)</f>
        <v>7</v>
      </c>
      <c r="X48" s="5">
        <f>IFERROR(__xludf.DUMMYFUNCTION("""COMPUTED_VALUE"""),36.8)</f>
        <v>36.8</v>
      </c>
      <c r="Y48" s="5">
        <f>IFERROR(__xludf.DUMMYFUNCTION("""COMPUTED_VALUE"""),41.0)</f>
        <v>41</v>
      </c>
      <c r="Z48" s="5">
        <f>IFERROR(__xludf.DUMMYFUNCTION("""COMPUTED_VALUE"""),1.8)</f>
        <v>1.8</v>
      </c>
      <c r="AA48" s="5">
        <f>IFERROR(__xludf.DUMMYFUNCTION("""COMPUTED_VALUE"""),11.4)</f>
        <v>11.4</v>
      </c>
      <c r="AB48" s="5">
        <f>IFERROR(__xludf.DUMMYFUNCTION("""COMPUTED_VALUE"""),78.9)</f>
        <v>78.9</v>
      </c>
      <c r="AC48" s="5">
        <f>IFERROR(__xludf.DUMMYFUNCTION("""COMPUTED_VALUE"""),5.1)</f>
        <v>5.1</v>
      </c>
      <c r="AD48" s="5">
        <f>IFERROR(__xludf.DUMMYFUNCTION("""COMPUTED_VALUE"""),246.0)</f>
        <v>246</v>
      </c>
      <c r="AE48" s="5">
        <f>IFERROR(__xludf.DUMMYFUNCTION("""COMPUTED_VALUE"""),4.4)</f>
        <v>4.4</v>
      </c>
      <c r="AF48" s="5">
        <f>IFERROR(__xludf.DUMMYFUNCTION("""COMPUTED_VALUE"""),1091.0)</f>
        <v>1091</v>
      </c>
      <c r="AG48" s="5">
        <f>IFERROR(__xludf.DUMMYFUNCTION("""COMPUTED_VALUE"""),4.0)</f>
        <v>4</v>
      </c>
      <c r="AH48" s="5">
        <f>IFERROR(__xludf.DUMMYFUNCTION("""COMPUTED_VALUE"""),1.0)</f>
        <v>1</v>
      </c>
      <c r="AI48" s="5">
        <f>IFERROR(__xludf.DUMMYFUNCTION("""COMPUTED_VALUE"""),7.0)</f>
        <v>7</v>
      </c>
      <c r="AJ48" s="5">
        <f>IFERROR(__xludf.DUMMYFUNCTION("""COMPUTED_VALUE"""),0.0)</f>
        <v>0</v>
      </c>
      <c r="AK48" s="6" t="str">
        <f>IFERROR(__xludf.DUMMYFUNCTION("SPLIT(""DeMeco Ryans,Bobby Slowik,C.J. Stroud,Nico Collins,Robert Woods,N/A,Laremy Tunsil,Tytus Howard,Michael Deiter,Shaq Mason,George Fant"","","")"),"DeMeco Ryans")</f>
        <v>DeMeco Ryans</v>
      </c>
      <c r="AL48" s="6" t="str">
        <f>IFERROR(__xludf.DUMMYFUNCTION("""COMPUTED_VALUE"""),"Bobby Slowik")</f>
        <v>Bobby Slowik</v>
      </c>
      <c r="AM48" s="6" t="str">
        <f>IFERROR(__xludf.DUMMYFUNCTION("""COMPUTED_VALUE"""),"C.J. Stroud")</f>
        <v>C.J. Stroud</v>
      </c>
      <c r="AN48" s="6" t="str">
        <f>IFERROR(__xludf.DUMMYFUNCTION("""COMPUTED_VALUE"""),"Nico Collins")</f>
        <v>Nico Collins</v>
      </c>
      <c r="AO48" s="6" t="str">
        <f>IFERROR(__xludf.DUMMYFUNCTION("""COMPUTED_VALUE"""),"Robert Woods")</f>
        <v>Robert Woods</v>
      </c>
      <c r="AP48" s="6" t="str">
        <f>IFERROR(__xludf.DUMMYFUNCTION("""COMPUTED_VALUE"""),"N/A")</f>
        <v>N/A</v>
      </c>
      <c r="AQ48" s="6" t="str">
        <f>IFERROR(__xludf.DUMMYFUNCTION("""COMPUTED_VALUE"""),"Laremy Tunsil")</f>
        <v>Laremy Tunsil</v>
      </c>
      <c r="AR48" s="6" t="str">
        <f>IFERROR(__xludf.DUMMYFUNCTION("""COMPUTED_VALUE"""),"Tytus Howard")</f>
        <v>Tytus Howard</v>
      </c>
      <c r="AS48" s="6" t="str">
        <f>IFERROR(__xludf.DUMMYFUNCTION("""COMPUTED_VALUE"""),"Michael Deiter")</f>
        <v>Michael Deiter</v>
      </c>
      <c r="AT48" s="6" t="str">
        <f>IFERROR(__xludf.DUMMYFUNCTION("""COMPUTED_VALUE"""),"Shaq Mason")</f>
        <v>Shaq Mason</v>
      </c>
      <c r="AU48" s="6" t="str">
        <f>IFERROR(__xludf.DUMMYFUNCTION("""COMPUTED_VALUE"""),"George Fant")</f>
        <v>George Fant</v>
      </c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</row>
    <row r="49">
      <c r="A49" s="12" t="s">
        <v>117</v>
      </c>
      <c r="B49" s="4">
        <v>2.0</v>
      </c>
      <c r="C49" s="5">
        <f>IFERROR(__xludf.DUMMYFUNCTION("SPLIT(""23,HOU,NFL,RB,14,7,145,416,2,14,37.9,22,2.9,29.7,10.4,17,13,101,7.8,0,3,52.9,27,0.9,7.2,76.5,5.9,158,3.3,517,2,0,4,0"","","")"),23.0)</f>
        <v>23</v>
      </c>
      <c r="D49" s="6" t="str">
        <f>IFERROR(__xludf.DUMMYFUNCTION("""COMPUTED_VALUE"""),"HOU")</f>
        <v>HOU</v>
      </c>
      <c r="E49" s="6" t="str">
        <f>IFERROR(__xludf.DUMMYFUNCTION("""COMPUTED_VALUE"""),"NFL")</f>
        <v>NFL</v>
      </c>
      <c r="F49" s="6" t="str">
        <f>IFERROR(__xludf.DUMMYFUNCTION("""COMPUTED_VALUE"""),"RB")</f>
        <v>RB</v>
      </c>
      <c r="G49" s="5">
        <f>IFERROR(__xludf.DUMMYFUNCTION("""COMPUTED_VALUE"""),14.0)</f>
        <v>14</v>
      </c>
      <c r="H49" s="5">
        <f>IFERROR(__xludf.DUMMYFUNCTION("""COMPUTED_VALUE"""),7.0)</f>
        <v>7</v>
      </c>
      <c r="I49" s="5">
        <f>IFERROR(__xludf.DUMMYFUNCTION("""COMPUTED_VALUE"""),145.0)</f>
        <v>145</v>
      </c>
      <c r="J49" s="5">
        <f>IFERROR(__xludf.DUMMYFUNCTION("""COMPUTED_VALUE"""),416.0)</f>
        <v>416</v>
      </c>
      <c r="K49" s="5">
        <f>IFERROR(__xludf.DUMMYFUNCTION("""COMPUTED_VALUE"""),2.0)</f>
        <v>2</v>
      </c>
      <c r="L49" s="5">
        <f>IFERROR(__xludf.DUMMYFUNCTION("""COMPUTED_VALUE"""),14.0)</f>
        <v>14</v>
      </c>
      <c r="M49" s="5">
        <f>IFERROR(__xludf.DUMMYFUNCTION("""COMPUTED_VALUE"""),37.9)</f>
        <v>37.9</v>
      </c>
      <c r="N49" s="5">
        <f>IFERROR(__xludf.DUMMYFUNCTION("""COMPUTED_VALUE"""),22.0)</f>
        <v>22</v>
      </c>
      <c r="O49" s="5">
        <f>IFERROR(__xludf.DUMMYFUNCTION("""COMPUTED_VALUE"""),2.9)</f>
        <v>2.9</v>
      </c>
      <c r="P49" s="5">
        <f>IFERROR(__xludf.DUMMYFUNCTION("""COMPUTED_VALUE"""),29.7)</f>
        <v>29.7</v>
      </c>
      <c r="Q49" s="5">
        <f>IFERROR(__xludf.DUMMYFUNCTION("""COMPUTED_VALUE"""),10.4)</f>
        <v>10.4</v>
      </c>
      <c r="R49" s="5">
        <f>IFERROR(__xludf.DUMMYFUNCTION("""COMPUTED_VALUE"""),17.0)</f>
        <v>17</v>
      </c>
      <c r="S49" s="5">
        <f>IFERROR(__xludf.DUMMYFUNCTION("""COMPUTED_VALUE"""),13.0)</f>
        <v>13</v>
      </c>
      <c r="T49" s="5">
        <f>IFERROR(__xludf.DUMMYFUNCTION("""COMPUTED_VALUE"""),101.0)</f>
        <v>101</v>
      </c>
      <c r="U49" s="5">
        <f>IFERROR(__xludf.DUMMYFUNCTION("""COMPUTED_VALUE"""),7.8)</f>
        <v>7.8</v>
      </c>
      <c r="V49" s="5">
        <f>IFERROR(__xludf.DUMMYFUNCTION("""COMPUTED_VALUE"""),0.0)</f>
        <v>0</v>
      </c>
      <c r="W49" s="5">
        <f>IFERROR(__xludf.DUMMYFUNCTION("""COMPUTED_VALUE"""),3.0)</f>
        <v>3</v>
      </c>
      <c r="X49" s="5">
        <f>IFERROR(__xludf.DUMMYFUNCTION("""COMPUTED_VALUE"""),52.9)</f>
        <v>52.9</v>
      </c>
      <c r="Y49" s="5">
        <f>IFERROR(__xludf.DUMMYFUNCTION("""COMPUTED_VALUE"""),27.0)</f>
        <v>27</v>
      </c>
      <c r="Z49" s="5">
        <f>IFERROR(__xludf.DUMMYFUNCTION("""COMPUTED_VALUE"""),0.9)</f>
        <v>0.9</v>
      </c>
      <c r="AA49" s="5">
        <f>IFERROR(__xludf.DUMMYFUNCTION("""COMPUTED_VALUE"""),7.2)</f>
        <v>7.2</v>
      </c>
      <c r="AB49" s="5">
        <f>IFERROR(__xludf.DUMMYFUNCTION("""COMPUTED_VALUE"""),76.5)</f>
        <v>76.5</v>
      </c>
      <c r="AC49" s="5">
        <f>IFERROR(__xludf.DUMMYFUNCTION("""COMPUTED_VALUE"""),5.9)</f>
        <v>5.9</v>
      </c>
      <c r="AD49" s="5">
        <f>IFERROR(__xludf.DUMMYFUNCTION("""COMPUTED_VALUE"""),158.0)</f>
        <v>158</v>
      </c>
      <c r="AE49" s="5">
        <f>IFERROR(__xludf.DUMMYFUNCTION("""COMPUTED_VALUE"""),3.3)</f>
        <v>3.3</v>
      </c>
      <c r="AF49" s="5">
        <f>IFERROR(__xludf.DUMMYFUNCTION("""COMPUTED_VALUE"""),517.0)</f>
        <v>517</v>
      </c>
      <c r="AG49" s="5">
        <f>IFERROR(__xludf.DUMMYFUNCTION("""COMPUTED_VALUE"""),2.0)</f>
        <v>2</v>
      </c>
      <c r="AH49" s="5">
        <f>IFERROR(__xludf.DUMMYFUNCTION("""COMPUTED_VALUE"""),0.0)</f>
        <v>0</v>
      </c>
      <c r="AI49" s="5">
        <f>IFERROR(__xludf.DUMMYFUNCTION("""COMPUTED_VALUE"""),4.0)</f>
        <v>4</v>
      </c>
      <c r="AJ49" s="5">
        <f>IFERROR(__xludf.DUMMYFUNCTION("""COMPUTED_VALUE"""),0.0)</f>
        <v>0</v>
      </c>
      <c r="AK49" s="6" t="str">
        <f>IFERROR(__xludf.DUMMYFUNCTION("SPLIT(""DeMeco Ryans,Bobby Slowik,C.J. Stroud,Nico Collins,Robert Woods,N/A,Laremy Tunsil,Tytus Howard,Michael Deiter,Shaq Mason,George Fant"","","")"),"DeMeco Ryans")</f>
        <v>DeMeco Ryans</v>
      </c>
      <c r="AL49" s="6" t="str">
        <f>IFERROR(__xludf.DUMMYFUNCTION("""COMPUTED_VALUE"""),"Bobby Slowik")</f>
        <v>Bobby Slowik</v>
      </c>
      <c r="AM49" s="6" t="str">
        <f>IFERROR(__xludf.DUMMYFUNCTION("""COMPUTED_VALUE"""),"C.J. Stroud")</f>
        <v>C.J. Stroud</v>
      </c>
      <c r="AN49" s="6" t="str">
        <f>IFERROR(__xludf.DUMMYFUNCTION("""COMPUTED_VALUE"""),"Nico Collins")</f>
        <v>Nico Collins</v>
      </c>
      <c r="AO49" s="6" t="str">
        <f>IFERROR(__xludf.DUMMYFUNCTION("""COMPUTED_VALUE"""),"Robert Woods")</f>
        <v>Robert Woods</v>
      </c>
      <c r="AP49" s="6" t="str">
        <f>IFERROR(__xludf.DUMMYFUNCTION("""COMPUTED_VALUE"""),"N/A")</f>
        <v>N/A</v>
      </c>
      <c r="AQ49" s="6" t="str">
        <f>IFERROR(__xludf.DUMMYFUNCTION("""COMPUTED_VALUE"""),"Laremy Tunsil")</f>
        <v>Laremy Tunsil</v>
      </c>
      <c r="AR49" s="6" t="str">
        <f>IFERROR(__xludf.DUMMYFUNCTION("""COMPUTED_VALUE"""),"Tytus Howard")</f>
        <v>Tytus Howard</v>
      </c>
      <c r="AS49" s="6" t="str">
        <f>IFERROR(__xludf.DUMMYFUNCTION("""COMPUTED_VALUE"""),"Michael Deiter")</f>
        <v>Michael Deiter</v>
      </c>
      <c r="AT49" s="6" t="str">
        <f>IFERROR(__xludf.DUMMYFUNCTION("""COMPUTED_VALUE"""),"Shaq Mason")</f>
        <v>Shaq Mason</v>
      </c>
      <c r="AU49" s="6" t="str">
        <f>IFERROR(__xludf.DUMMYFUNCTION("""COMPUTED_VALUE"""),"George Fant")</f>
        <v>George Fant</v>
      </c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</row>
    <row r="50">
      <c r="A50" s="12" t="s">
        <v>118</v>
      </c>
      <c r="B50" s="4">
        <v>4.0</v>
      </c>
      <c r="C50" s="5">
        <f>IFERROR(__xludf.DUMMYFUNCTION("SPLIT(""26,IND,NFL,RB,14,8,183,794,5,43,49.2,56,4.3,56.7,13.1,37,27,192,7.1,2,10,35.1,26,1.9,13.7,73.0,5.2,210,4.7,986,7,0,6,0,"","","")"),26.0)</f>
        <v>26</v>
      </c>
      <c r="D50" s="6" t="str">
        <f>IFERROR(__xludf.DUMMYFUNCTION("""COMPUTED_VALUE"""),"IND")</f>
        <v>IND</v>
      </c>
      <c r="E50" s="6" t="str">
        <f>IFERROR(__xludf.DUMMYFUNCTION("""COMPUTED_VALUE"""),"NFL")</f>
        <v>NFL</v>
      </c>
      <c r="F50" s="6" t="str">
        <f>IFERROR(__xludf.DUMMYFUNCTION("""COMPUTED_VALUE"""),"RB")</f>
        <v>RB</v>
      </c>
      <c r="G50" s="5">
        <f>IFERROR(__xludf.DUMMYFUNCTION("""COMPUTED_VALUE"""),14.0)</f>
        <v>14</v>
      </c>
      <c r="H50" s="5">
        <f>IFERROR(__xludf.DUMMYFUNCTION("""COMPUTED_VALUE"""),8.0)</f>
        <v>8</v>
      </c>
      <c r="I50" s="5">
        <f>IFERROR(__xludf.DUMMYFUNCTION("""COMPUTED_VALUE"""),183.0)</f>
        <v>183</v>
      </c>
      <c r="J50" s="5">
        <f>IFERROR(__xludf.DUMMYFUNCTION("""COMPUTED_VALUE"""),794.0)</f>
        <v>794</v>
      </c>
      <c r="K50" s="5">
        <f>IFERROR(__xludf.DUMMYFUNCTION("""COMPUTED_VALUE"""),5.0)</f>
        <v>5</v>
      </c>
      <c r="L50" s="5">
        <f>IFERROR(__xludf.DUMMYFUNCTION("""COMPUTED_VALUE"""),43.0)</f>
        <v>43</v>
      </c>
      <c r="M50" s="5">
        <f>IFERROR(__xludf.DUMMYFUNCTION("""COMPUTED_VALUE"""),49.2)</f>
        <v>49.2</v>
      </c>
      <c r="N50" s="5">
        <f>IFERROR(__xludf.DUMMYFUNCTION("""COMPUTED_VALUE"""),56.0)</f>
        <v>56</v>
      </c>
      <c r="O50" s="5">
        <f>IFERROR(__xludf.DUMMYFUNCTION("""COMPUTED_VALUE"""),4.3)</f>
        <v>4.3</v>
      </c>
      <c r="P50" s="5">
        <f>IFERROR(__xludf.DUMMYFUNCTION("""COMPUTED_VALUE"""),56.7)</f>
        <v>56.7</v>
      </c>
      <c r="Q50" s="5">
        <f>IFERROR(__xludf.DUMMYFUNCTION("""COMPUTED_VALUE"""),13.1)</f>
        <v>13.1</v>
      </c>
      <c r="R50" s="5">
        <f>IFERROR(__xludf.DUMMYFUNCTION("""COMPUTED_VALUE"""),37.0)</f>
        <v>37</v>
      </c>
      <c r="S50" s="5">
        <f>IFERROR(__xludf.DUMMYFUNCTION("""COMPUTED_VALUE"""),27.0)</f>
        <v>27</v>
      </c>
      <c r="T50" s="5">
        <f>IFERROR(__xludf.DUMMYFUNCTION("""COMPUTED_VALUE"""),192.0)</f>
        <v>192</v>
      </c>
      <c r="U50" s="5">
        <f>IFERROR(__xludf.DUMMYFUNCTION("""COMPUTED_VALUE"""),7.1)</f>
        <v>7.1</v>
      </c>
      <c r="V50" s="5">
        <f>IFERROR(__xludf.DUMMYFUNCTION("""COMPUTED_VALUE"""),2.0)</f>
        <v>2</v>
      </c>
      <c r="W50" s="5">
        <f>IFERROR(__xludf.DUMMYFUNCTION("""COMPUTED_VALUE"""),10.0)</f>
        <v>10</v>
      </c>
      <c r="X50" s="5">
        <f>IFERROR(__xludf.DUMMYFUNCTION("""COMPUTED_VALUE"""),35.1)</f>
        <v>35.1</v>
      </c>
      <c r="Y50" s="5">
        <f>IFERROR(__xludf.DUMMYFUNCTION("""COMPUTED_VALUE"""),26.0)</f>
        <v>26</v>
      </c>
      <c r="Z50" s="5">
        <f>IFERROR(__xludf.DUMMYFUNCTION("""COMPUTED_VALUE"""),1.9)</f>
        <v>1.9</v>
      </c>
      <c r="AA50" s="5">
        <f>IFERROR(__xludf.DUMMYFUNCTION("""COMPUTED_VALUE"""),13.7)</f>
        <v>13.7</v>
      </c>
      <c r="AB50" s="5">
        <f>IFERROR(__xludf.DUMMYFUNCTION("""COMPUTED_VALUE"""),73.0)</f>
        <v>73</v>
      </c>
      <c r="AC50" s="5">
        <f>IFERROR(__xludf.DUMMYFUNCTION("""COMPUTED_VALUE"""),5.2)</f>
        <v>5.2</v>
      </c>
      <c r="AD50" s="5">
        <f>IFERROR(__xludf.DUMMYFUNCTION("""COMPUTED_VALUE"""),210.0)</f>
        <v>210</v>
      </c>
      <c r="AE50" s="5">
        <f>IFERROR(__xludf.DUMMYFUNCTION("""COMPUTED_VALUE"""),4.7)</f>
        <v>4.7</v>
      </c>
      <c r="AF50" s="5">
        <f>IFERROR(__xludf.DUMMYFUNCTION("""COMPUTED_VALUE"""),986.0)</f>
        <v>986</v>
      </c>
      <c r="AG50" s="5">
        <f>IFERROR(__xludf.DUMMYFUNCTION("""COMPUTED_VALUE"""),7.0)</f>
        <v>7</v>
      </c>
      <c r="AH50" s="5">
        <f>IFERROR(__xludf.DUMMYFUNCTION("""COMPUTED_VALUE"""),0.0)</f>
        <v>0</v>
      </c>
      <c r="AI50" s="5">
        <f>IFERROR(__xludf.DUMMYFUNCTION("""COMPUTED_VALUE"""),6.0)</f>
        <v>6</v>
      </c>
      <c r="AJ50" s="5">
        <f>IFERROR(__xludf.DUMMYFUNCTION("""COMPUTED_VALUE"""),0.0)</f>
        <v>0</v>
      </c>
      <c r="AK50" s="6" t="str">
        <f>IFERROR(__xludf.DUMMYFUNCTION("SPLIT(""Shane Steichen,Jim Bob Cooter,Gardner Minshew II,Josh Downs,Alec Pierce,N/A,Bernhard Raimann,Quenton Nelson,Ryan Kelly,Will Fries,Braden Smith"","","")"),"Shane Steichen")</f>
        <v>Shane Steichen</v>
      </c>
      <c r="AL50" s="6" t="str">
        <f>IFERROR(__xludf.DUMMYFUNCTION("""COMPUTED_VALUE"""),"Jim Bob Cooter")</f>
        <v>Jim Bob Cooter</v>
      </c>
      <c r="AM50" s="6" t="str">
        <f>IFERROR(__xludf.DUMMYFUNCTION("""COMPUTED_VALUE"""),"Gardner Minshew II")</f>
        <v>Gardner Minshew II</v>
      </c>
      <c r="AN50" s="6" t="str">
        <f>IFERROR(__xludf.DUMMYFUNCTION("""COMPUTED_VALUE"""),"Josh Downs")</f>
        <v>Josh Downs</v>
      </c>
      <c r="AO50" s="6" t="str">
        <f>IFERROR(__xludf.DUMMYFUNCTION("""COMPUTED_VALUE"""),"Alec Pierce")</f>
        <v>Alec Pierce</v>
      </c>
      <c r="AP50" s="6" t="str">
        <f>IFERROR(__xludf.DUMMYFUNCTION("""COMPUTED_VALUE"""),"N/A")</f>
        <v>N/A</v>
      </c>
      <c r="AQ50" s="6" t="str">
        <f>IFERROR(__xludf.DUMMYFUNCTION("""COMPUTED_VALUE"""),"Bernhard Raimann")</f>
        <v>Bernhard Raimann</v>
      </c>
      <c r="AR50" s="6" t="str">
        <f>IFERROR(__xludf.DUMMYFUNCTION("""COMPUTED_VALUE"""),"Quenton Nelson")</f>
        <v>Quenton Nelson</v>
      </c>
      <c r="AS50" s="6" t="str">
        <f>IFERROR(__xludf.DUMMYFUNCTION("""COMPUTED_VALUE"""),"Ryan Kelly")</f>
        <v>Ryan Kelly</v>
      </c>
      <c r="AT50" s="6" t="str">
        <f>IFERROR(__xludf.DUMMYFUNCTION("""COMPUTED_VALUE"""),"Will Fries")</f>
        <v>Will Fries</v>
      </c>
      <c r="AU50" s="6" t="str">
        <f>IFERROR(__xludf.DUMMYFUNCTION("""COMPUTED_VALUE"""),"Braden Smith")</f>
        <v>Braden Smith</v>
      </c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</row>
    <row r="51">
      <c r="A51" s="12" t="s">
        <v>119</v>
      </c>
      <c r="B51" s="4">
        <v>4.0</v>
      </c>
      <c r="C51" s="5">
        <f>IFERROR(__xludf.DUMMYFUNCTION("SPLIT(""24,IND,NFL,RB,10,7,169,741,7,42,49.1,49,4.4,74.1,16.9,23,19,153,8.1,1,5,43.5,40,1.9,15.3,82.6,6.7,188,4.8,894,8,1,6,0,"","","")"),24.0)</f>
        <v>24</v>
      </c>
      <c r="D51" s="6" t="str">
        <f>IFERROR(__xludf.DUMMYFUNCTION("""COMPUTED_VALUE"""),"IND")</f>
        <v>IND</v>
      </c>
      <c r="E51" s="6" t="str">
        <f>IFERROR(__xludf.DUMMYFUNCTION("""COMPUTED_VALUE"""),"NFL")</f>
        <v>NFL</v>
      </c>
      <c r="F51" s="6" t="str">
        <f>IFERROR(__xludf.DUMMYFUNCTION("""COMPUTED_VALUE"""),"RB")</f>
        <v>RB</v>
      </c>
      <c r="G51" s="5">
        <f>IFERROR(__xludf.DUMMYFUNCTION("""COMPUTED_VALUE"""),10.0)</f>
        <v>10</v>
      </c>
      <c r="H51" s="5">
        <f>IFERROR(__xludf.DUMMYFUNCTION("""COMPUTED_VALUE"""),7.0)</f>
        <v>7</v>
      </c>
      <c r="I51" s="5">
        <f>IFERROR(__xludf.DUMMYFUNCTION("""COMPUTED_VALUE"""),169.0)</f>
        <v>169</v>
      </c>
      <c r="J51" s="5">
        <f>IFERROR(__xludf.DUMMYFUNCTION("""COMPUTED_VALUE"""),741.0)</f>
        <v>741</v>
      </c>
      <c r="K51" s="5">
        <f>IFERROR(__xludf.DUMMYFUNCTION("""COMPUTED_VALUE"""),7.0)</f>
        <v>7</v>
      </c>
      <c r="L51" s="5">
        <f>IFERROR(__xludf.DUMMYFUNCTION("""COMPUTED_VALUE"""),42.0)</f>
        <v>42</v>
      </c>
      <c r="M51" s="5">
        <f>IFERROR(__xludf.DUMMYFUNCTION("""COMPUTED_VALUE"""),49.1)</f>
        <v>49.1</v>
      </c>
      <c r="N51" s="5">
        <f>IFERROR(__xludf.DUMMYFUNCTION("""COMPUTED_VALUE"""),49.0)</f>
        <v>49</v>
      </c>
      <c r="O51" s="5">
        <f>IFERROR(__xludf.DUMMYFUNCTION("""COMPUTED_VALUE"""),4.4)</f>
        <v>4.4</v>
      </c>
      <c r="P51" s="5">
        <f>IFERROR(__xludf.DUMMYFUNCTION("""COMPUTED_VALUE"""),74.1)</f>
        <v>74.1</v>
      </c>
      <c r="Q51" s="5">
        <f>IFERROR(__xludf.DUMMYFUNCTION("""COMPUTED_VALUE"""),16.9)</f>
        <v>16.9</v>
      </c>
      <c r="R51" s="5">
        <f>IFERROR(__xludf.DUMMYFUNCTION("""COMPUTED_VALUE"""),23.0)</f>
        <v>23</v>
      </c>
      <c r="S51" s="5">
        <f>IFERROR(__xludf.DUMMYFUNCTION("""COMPUTED_VALUE"""),19.0)</f>
        <v>19</v>
      </c>
      <c r="T51" s="5">
        <f>IFERROR(__xludf.DUMMYFUNCTION("""COMPUTED_VALUE"""),153.0)</f>
        <v>153</v>
      </c>
      <c r="U51" s="5">
        <f>IFERROR(__xludf.DUMMYFUNCTION("""COMPUTED_VALUE"""),8.1)</f>
        <v>8.1</v>
      </c>
      <c r="V51" s="5">
        <f>IFERROR(__xludf.DUMMYFUNCTION("""COMPUTED_VALUE"""),1.0)</f>
        <v>1</v>
      </c>
      <c r="W51" s="5">
        <f>IFERROR(__xludf.DUMMYFUNCTION("""COMPUTED_VALUE"""),5.0)</f>
        <v>5</v>
      </c>
      <c r="X51" s="5">
        <f>IFERROR(__xludf.DUMMYFUNCTION("""COMPUTED_VALUE"""),43.5)</f>
        <v>43.5</v>
      </c>
      <c r="Y51" s="5">
        <f>IFERROR(__xludf.DUMMYFUNCTION("""COMPUTED_VALUE"""),40.0)</f>
        <v>40</v>
      </c>
      <c r="Z51" s="5">
        <f>IFERROR(__xludf.DUMMYFUNCTION("""COMPUTED_VALUE"""),1.9)</f>
        <v>1.9</v>
      </c>
      <c r="AA51" s="5">
        <f>IFERROR(__xludf.DUMMYFUNCTION("""COMPUTED_VALUE"""),15.3)</f>
        <v>15.3</v>
      </c>
      <c r="AB51" s="5">
        <f>IFERROR(__xludf.DUMMYFUNCTION("""COMPUTED_VALUE"""),82.6)</f>
        <v>82.6</v>
      </c>
      <c r="AC51" s="5">
        <f>IFERROR(__xludf.DUMMYFUNCTION("""COMPUTED_VALUE"""),6.7)</f>
        <v>6.7</v>
      </c>
      <c r="AD51" s="5">
        <f>IFERROR(__xludf.DUMMYFUNCTION("""COMPUTED_VALUE"""),188.0)</f>
        <v>188</v>
      </c>
      <c r="AE51" s="5">
        <f>IFERROR(__xludf.DUMMYFUNCTION("""COMPUTED_VALUE"""),4.8)</f>
        <v>4.8</v>
      </c>
      <c r="AF51" s="5">
        <f>IFERROR(__xludf.DUMMYFUNCTION("""COMPUTED_VALUE"""),894.0)</f>
        <v>894</v>
      </c>
      <c r="AG51" s="5">
        <f>IFERROR(__xludf.DUMMYFUNCTION("""COMPUTED_VALUE"""),8.0)</f>
        <v>8</v>
      </c>
      <c r="AH51" s="5">
        <f>IFERROR(__xludf.DUMMYFUNCTION("""COMPUTED_VALUE"""),1.0)</f>
        <v>1</v>
      </c>
      <c r="AI51" s="5">
        <f>IFERROR(__xludf.DUMMYFUNCTION("""COMPUTED_VALUE"""),6.0)</f>
        <v>6</v>
      </c>
      <c r="AJ51" s="5">
        <f>IFERROR(__xludf.DUMMYFUNCTION("""COMPUTED_VALUE"""),0.0)</f>
        <v>0</v>
      </c>
      <c r="AK51" s="6" t="str">
        <f>IFERROR(__xludf.DUMMYFUNCTION("SPLIT(""Shane Steichen,Jim Bob Cooter,Gardner Minshew II,Josh Downs,Alec Pierce,N/A,Bernhard Raimann,Quenton Nelson,Ryan Kelly,Will Fries,Braden Smith"","","")"),"Shane Steichen")</f>
        <v>Shane Steichen</v>
      </c>
      <c r="AL51" s="6" t="str">
        <f>IFERROR(__xludf.DUMMYFUNCTION("""COMPUTED_VALUE"""),"Jim Bob Cooter")</f>
        <v>Jim Bob Cooter</v>
      </c>
      <c r="AM51" s="6" t="str">
        <f>IFERROR(__xludf.DUMMYFUNCTION("""COMPUTED_VALUE"""),"Gardner Minshew II")</f>
        <v>Gardner Minshew II</v>
      </c>
      <c r="AN51" s="6" t="str">
        <f>IFERROR(__xludf.DUMMYFUNCTION("""COMPUTED_VALUE"""),"Josh Downs")</f>
        <v>Josh Downs</v>
      </c>
      <c r="AO51" s="6" t="str">
        <f>IFERROR(__xludf.DUMMYFUNCTION("""COMPUTED_VALUE"""),"Alec Pierce")</f>
        <v>Alec Pierce</v>
      </c>
      <c r="AP51" s="6" t="str">
        <f>IFERROR(__xludf.DUMMYFUNCTION("""COMPUTED_VALUE"""),"N/A")</f>
        <v>N/A</v>
      </c>
      <c r="AQ51" s="6" t="str">
        <f>IFERROR(__xludf.DUMMYFUNCTION("""COMPUTED_VALUE"""),"Bernhard Raimann")</f>
        <v>Bernhard Raimann</v>
      </c>
      <c r="AR51" s="6" t="str">
        <f>IFERROR(__xludf.DUMMYFUNCTION("""COMPUTED_VALUE"""),"Quenton Nelson")</f>
        <v>Quenton Nelson</v>
      </c>
      <c r="AS51" s="6" t="str">
        <f>IFERROR(__xludf.DUMMYFUNCTION("""COMPUTED_VALUE"""),"Ryan Kelly")</f>
        <v>Ryan Kelly</v>
      </c>
      <c r="AT51" s="6" t="str">
        <f>IFERROR(__xludf.DUMMYFUNCTION("""COMPUTED_VALUE"""),"Will Fries")</f>
        <v>Will Fries</v>
      </c>
      <c r="AU51" s="6" t="str">
        <f>IFERROR(__xludf.DUMMYFUNCTION("""COMPUTED_VALUE"""),"Braden Smith")</f>
        <v>Braden Smith</v>
      </c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</row>
    <row r="52">
      <c r="A52" s="12" t="s">
        <v>120</v>
      </c>
      <c r="B52" s="4">
        <v>2.0</v>
      </c>
      <c r="C52" s="5">
        <f>IFERROR(__xludf.DUMMYFUNCTION("SPLIT(""24,JAX,NFL,RB,17,17,267,1008,11,53,43.1,62,3.8,59.3,15.7,73,58,476,8.2,1,23,49.3,56,3.4,28.0,79.5,6.5,325,4.6,1484,12,0,9,AP OPoY-8,"","","")"),24.0)</f>
        <v>24</v>
      </c>
      <c r="D52" s="6" t="str">
        <f>IFERROR(__xludf.DUMMYFUNCTION("""COMPUTED_VALUE"""),"JAX")</f>
        <v>JAX</v>
      </c>
      <c r="E52" s="6" t="str">
        <f>IFERROR(__xludf.DUMMYFUNCTION("""COMPUTED_VALUE"""),"NFL")</f>
        <v>NFL</v>
      </c>
      <c r="F52" s="6" t="str">
        <f>IFERROR(__xludf.DUMMYFUNCTION("""COMPUTED_VALUE"""),"RB")</f>
        <v>RB</v>
      </c>
      <c r="G52" s="5">
        <f>IFERROR(__xludf.DUMMYFUNCTION("""COMPUTED_VALUE"""),17.0)</f>
        <v>17</v>
      </c>
      <c r="H52" s="5">
        <f>IFERROR(__xludf.DUMMYFUNCTION("""COMPUTED_VALUE"""),17.0)</f>
        <v>17</v>
      </c>
      <c r="I52" s="5">
        <f>IFERROR(__xludf.DUMMYFUNCTION("""COMPUTED_VALUE"""),267.0)</f>
        <v>267</v>
      </c>
      <c r="J52" s="5">
        <f>IFERROR(__xludf.DUMMYFUNCTION("""COMPUTED_VALUE"""),1008.0)</f>
        <v>1008</v>
      </c>
      <c r="K52" s="5">
        <f>IFERROR(__xludf.DUMMYFUNCTION("""COMPUTED_VALUE"""),11.0)</f>
        <v>11</v>
      </c>
      <c r="L52" s="5">
        <f>IFERROR(__xludf.DUMMYFUNCTION("""COMPUTED_VALUE"""),53.0)</f>
        <v>53</v>
      </c>
      <c r="M52" s="5">
        <f>IFERROR(__xludf.DUMMYFUNCTION("""COMPUTED_VALUE"""),43.1)</f>
        <v>43.1</v>
      </c>
      <c r="N52" s="5">
        <f>IFERROR(__xludf.DUMMYFUNCTION("""COMPUTED_VALUE"""),62.0)</f>
        <v>62</v>
      </c>
      <c r="O52" s="5">
        <f>IFERROR(__xludf.DUMMYFUNCTION("""COMPUTED_VALUE"""),3.8)</f>
        <v>3.8</v>
      </c>
      <c r="P52" s="5">
        <f>IFERROR(__xludf.DUMMYFUNCTION("""COMPUTED_VALUE"""),59.3)</f>
        <v>59.3</v>
      </c>
      <c r="Q52" s="5">
        <f>IFERROR(__xludf.DUMMYFUNCTION("""COMPUTED_VALUE"""),15.7)</f>
        <v>15.7</v>
      </c>
      <c r="R52" s="5">
        <f>IFERROR(__xludf.DUMMYFUNCTION("""COMPUTED_VALUE"""),73.0)</f>
        <v>73</v>
      </c>
      <c r="S52" s="5">
        <f>IFERROR(__xludf.DUMMYFUNCTION("""COMPUTED_VALUE"""),58.0)</f>
        <v>58</v>
      </c>
      <c r="T52" s="5">
        <f>IFERROR(__xludf.DUMMYFUNCTION("""COMPUTED_VALUE"""),476.0)</f>
        <v>476</v>
      </c>
      <c r="U52" s="5">
        <f>IFERROR(__xludf.DUMMYFUNCTION("""COMPUTED_VALUE"""),8.2)</f>
        <v>8.2</v>
      </c>
      <c r="V52" s="5">
        <f>IFERROR(__xludf.DUMMYFUNCTION("""COMPUTED_VALUE"""),1.0)</f>
        <v>1</v>
      </c>
      <c r="W52" s="5">
        <f>IFERROR(__xludf.DUMMYFUNCTION("""COMPUTED_VALUE"""),23.0)</f>
        <v>23</v>
      </c>
      <c r="X52" s="5">
        <f>IFERROR(__xludf.DUMMYFUNCTION("""COMPUTED_VALUE"""),49.3)</f>
        <v>49.3</v>
      </c>
      <c r="Y52" s="5">
        <f>IFERROR(__xludf.DUMMYFUNCTION("""COMPUTED_VALUE"""),56.0)</f>
        <v>56</v>
      </c>
      <c r="Z52" s="5">
        <f>IFERROR(__xludf.DUMMYFUNCTION("""COMPUTED_VALUE"""),3.4)</f>
        <v>3.4</v>
      </c>
      <c r="AA52" s="5">
        <f>IFERROR(__xludf.DUMMYFUNCTION("""COMPUTED_VALUE"""),28.0)</f>
        <v>28</v>
      </c>
      <c r="AB52" s="5">
        <f>IFERROR(__xludf.DUMMYFUNCTION("""COMPUTED_VALUE"""),79.5)</f>
        <v>79.5</v>
      </c>
      <c r="AC52" s="5">
        <f>IFERROR(__xludf.DUMMYFUNCTION("""COMPUTED_VALUE"""),6.5)</f>
        <v>6.5</v>
      </c>
      <c r="AD52" s="5">
        <f>IFERROR(__xludf.DUMMYFUNCTION("""COMPUTED_VALUE"""),325.0)</f>
        <v>325</v>
      </c>
      <c r="AE52" s="5">
        <f>IFERROR(__xludf.DUMMYFUNCTION("""COMPUTED_VALUE"""),4.6)</f>
        <v>4.6</v>
      </c>
      <c r="AF52" s="5">
        <f>IFERROR(__xludf.DUMMYFUNCTION("""COMPUTED_VALUE"""),1484.0)</f>
        <v>1484</v>
      </c>
      <c r="AG52" s="5">
        <f>IFERROR(__xludf.DUMMYFUNCTION("""COMPUTED_VALUE"""),12.0)</f>
        <v>12</v>
      </c>
      <c r="AH52" s="5">
        <f>IFERROR(__xludf.DUMMYFUNCTION("""COMPUTED_VALUE"""),0.0)</f>
        <v>0</v>
      </c>
      <c r="AI52" s="5">
        <f>IFERROR(__xludf.DUMMYFUNCTION("""COMPUTED_VALUE"""),9.0)</f>
        <v>9</v>
      </c>
      <c r="AJ52" s="6" t="str">
        <f>IFERROR(__xludf.DUMMYFUNCTION("""COMPUTED_VALUE"""),"AP OPoY-8")</f>
        <v>AP OPoY-8</v>
      </c>
      <c r="AK52" s="6" t="str">
        <f>IFERROR(__xludf.DUMMYFUNCTION("SPLIT(""Doug Pederson,Press Taylor,Trevor Lawrence,Christian Kirk,Calvin Ridley,N/A,Cam Robinson,Tyler Shatley,Luke Fortner,Brandon Scherff,Anton Harrison"","","")"),"Doug Pederson")</f>
        <v>Doug Pederson</v>
      </c>
      <c r="AL52" s="6" t="str">
        <f>IFERROR(__xludf.DUMMYFUNCTION("""COMPUTED_VALUE"""),"Press Taylor")</f>
        <v>Press Taylor</v>
      </c>
      <c r="AM52" s="6" t="str">
        <f>IFERROR(__xludf.DUMMYFUNCTION("""COMPUTED_VALUE"""),"Trevor Lawrence")</f>
        <v>Trevor Lawrence</v>
      </c>
      <c r="AN52" s="6" t="str">
        <f>IFERROR(__xludf.DUMMYFUNCTION("""COMPUTED_VALUE"""),"Christian Kirk")</f>
        <v>Christian Kirk</v>
      </c>
      <c r="AO52" s="6" t="str">
        <f>IFERROR(__xludf.DUMMYFUNCTION("""COMPUTED_VALUE"""),"Calvin Ridley")</f>
        <v>Calvin Ridley</v>
      </c>
      <c r="AP52" s="6" t="str">
        <f>IFERROR(__xludf.DUMMYFUNCTION("""COMPUTED_VALUE"""),"N/A")</f>
        <v>N/A</v>
      </c>
      <c r="AQ52" s="6" t="str">
        <f>IFERROR(__xludf.DUMMYFUNCTION("""COMPUTED_VALUE"""),"Cam Robinson")</f>
        <v>Cam Robinson</v>
      </c>
      <c r="AR52" s="6" t="str">
        <f>IFERROR(__xludf.DUMMYFUNCTION("""COMPUTED_VALUE"""),"Tyler Shatley")</f>
        <v>Tyler Shatley</v>
      </c>
      <c r="AS52" s="6" t="str">
        <f>IFERROR(__xludf.DUMMYFUNCTION("""COMPUTED_VALUE"""),"Luke Fortner")</f>
        <v>Luke Fortner</v>
      </c>
      <c r="AT52" s="6" t="str">
        <f>IFERROR(__xludf.DUMMYFUNCTION("""COMPUTED_VALUE"""),"Brandon Scherff")</f>
        <v>Brandon Scherff</v>
      </c>
      <c r="AU52" s="6" t="str">
        <f>IFERROR(__xludf.DUMMYFUNCTION("""COMPUTED_VALUE"""),"Anton Harrison")</f>
        <v>Anton Harrison</v>
      </c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</row>
    <row r="53">
      <c r="A53" s="12" t="s">
        <v>121</v>
      </c>
      <c r="B53" s="4">
        <v>4.0</v>
      </c>
      <c r="C53" s="5">
        <f>IFERROR(__xludf.DUMMYFUNCTION("SPLIT(""24,NYJ,NFL,RB,4,0,29,85,0,4,31.0,16,2.9,21.3,7.3,3,2,5,2.5,1,1,33.3,7,0.5,1.3,66.7,1.7,31,2.9,90,1,0,0,0,"","","")"),24.0)</f>
        <v>24</v>
      </c>
      <c r="D53" s="6" t="str">
        <f>IFERROR(__xludf.DUMMYFUNCTION("""COMPUTED_VALUE"""),"NYJ")</f>
        <v>NYJ</v>
      </c>
      <c r="E53" s="6" t="str">
        <f>IFERROR(__xludf.DUMMYFUNCTION("""COMPUTED_VALUE"""),"NFL")</f>
        <v>NFL</v>
      </c>
      <c r="F53" s="6" t="str">
        <f>IFERROR(__xludf.DUMMYFUNCTION("""COMPUTED_VALUE"""),"RB")</f>
        <v>RB</v>
      </c>
      <c r="G53" s="5">
        <f>IFERROR(__xludf.DUMMYFUNCTION("""COMPUTED_VALUE"""),4.0)</f>
        <v>4</v>
      </c>
      <c r="H53" s="5">
        <f>IFERROR(__xludf.DUMMYFUNCTION("""COMPUTED_VALUE"""),0.0)</f>
        <v>0</v>
      </c>
      <c r="I53" s="5">
        <f>IFERROR(__xludf.DUMMYFUNCTION("""COMPUTED_VALUE"""),29.0)</f>
        <v>29</v>
      </c>
      <c r="J53" s="5">
        <f>IFERROR(__xludf.DUMMYFUNCTION("""COMPUTED_VALUE"""),85.0)</f>
        <v>85</v>
      </c>
      <c r="K53" s="5">
        <f>IFERROR(__xludf.DUMMYFUNCTION("""COMPUTED_VALUE"""),0.0)</f>
        <v>0</v>
      </c>
      <c r="L53" s="5">
        <f>IFERROR(__xludf.DUMMYFUNCTION("""COMPUTED_VALUE"""),4.0)</f>
        <v>4</v>
      </c>
      <c r="M53" s="5">
        <f>IFERROR(__xludf.DUMMYFUNCTION("""COMPUTED_VALUE"""),31.0)</f>
        <v>31</v>
      </c>
      <c r="N53" s="5">
        <f>IFERROR(__xludf.DUMMYFUNCTION("""COMPUTED_VALUE"""),16.0)</f>
        <v>16</v>
      </c>
      <c r="O53" s="5">
        <f>IFERROR(__xludf.DUMMYFUNCTION("""COMPUTED_VALUE"""),2.9)</f>
        <v>2.9</v>
      </c>
      <c r="P53" s="5">
        <f>IFERROR(__xludf.DUMMYFUNCTION("""COMPUTED_VALUE"""),21.3)</f>
        <v>21.3</v>
      </c>
      <c r="Q53" s="5">
        <f>IFERROR(__xludf.DUMMYFUNCTION("""COMPUTED_VALUE"""),7.3)</f>
        <v>7.3</v>
      </c>
      <c r="R53" s="5">
        <f>IFERROR(__xludf.DUMMYFUNCTION("""COMPUTED_VALUE"""),3.0)</f>
        <v>3</v>
      </c>
      <c r="S53" s="5">
        <f>IFERROR(__xludf.DUMMYFUNCTION("""COMPUTED_VALUE"""),2.0)</f>
        <v>2</v>
      </c>
      <c r="T53" s="5">
        <f>IFERROR(__xludf.DUMMYFUNCTION("""COMPUTED_VALUE"""),5.0)</f>
        <v>5</v>
      </c>
      <c r="U53" s="5">
        <f>IFERROR(__xludf.DUMMYFUNCTION("""COMPUTED_VALUE"""),2.5)</f>
        <v>2.5</v>
      </c>
      <c r="V53" s="5">
        <f>IFERROR(__xludf.DUMMYFUNCTION("""COMPUTED_VALUE"""),1.0)</f>
        <v>1</v>
      </c>
      <c r="W53" s="5">
        <f>IFERROR(__xludf.DUMMYFUNCTION("""COMPUTED_VALUE"""),1.0)</f>
        <v>1</v>
      </c>
      <c r="X53" s="5">
        <f>IFERROR(__xludf.DUMMYFUNCTION("""COMPUTED_VALUE"""),33.3)</f>
        <v>33.3</v>
      </c>
      <c r="Y53" s="5">
        <f>IFERROR(__xludf.DUMMYFUNCTION("""COMPUTED_VALUE"""),7.0)</f>
        <v>7</v>
      </c>
      <c r="Z53" s="5">
        <f>IFERROR(__xludf.DUMMYFUNCTION("""COMPUTED_VALUE"""),0.5)</f>
        <v>0.5</v>
      </c>
      <c r="AA53" s="5">
        <f>IFERROR(__xludf.DUMMYFUNCTION("""COMPUTED_VALUE"""),1.3)</f>
        <v>1.3</v>
      </c>
      <c r="AB53" s="5">
        <f>IFERROR(__xludf.DUMMYFUNCTION("""COMPUTED_VALUE"""),66.7)</f>
        <v>66.7</v>
      </c>
      <c r="AC53" s="5">
        <f>IFERROR(__xludf.DUMMYFUNCTION("""COMPUTED_VALUE"""),1.7)</f>
        <v>1.7</v>
      </c>
      <c r="AD53" s="5">
        <f>IFERROR(__xludf.DUMMYFUNCTION("""COMPUTED_VALUE"""),31.0)</f>
        <v>31</v>
      </c>
      <c r="AE53" s="5">
        <f>IFERROR(__xludf.DUMMYFUNCTION("""COMPUTED_VALUE"""),2.9)</f>
        <v>2.9</v>
      </c>
      <c r="AF53" s="5">
        <f>IFERROR(__xludf.DUMMYFUNCTION("""COMPUTED_VALUE"""),90.0)</f>
        <v>90</v>
      </c>
      <c r="AG53" s="5">
        <f>IFERROR(__xludf.DUMMYFUNCTION("""COMPUTED_VALUE"""),1.0)</f>
        <v>1</v>
      </c>
      <c r="AH53" s="5">
        <f>IFERROR(__xludf.DUMMYFUNCTION("""COMPUTED_VALUE"""),0.0)</f>
        <v>0</v>
      </c>
      <c r="AI53" s="5">
        <f>IFERROR(__xludf.DUMMYFUNCTION("""COMPUTED_VALUE"""),0.0)</f>
        <v>0</v>
      </c>
      <c r="AJ53" s="5">
        <f>IFERROR(__xludf.DUMMYFUNCTION("""COMPUTED_VALUE"""),0.0)</f>
        <v>0</v>
      </c>
      <c r="AK53" s="6" t="str">
        <f>IFERROR(__xludf.DUMMYFUNCTION("SPLIT(""Matt LaFleur,Adam Stenavich,Jordan Love,Romeo Doubs,Jayden Reed,N/A,Rasheed Walker,N/A,Josh Myers,Jon Runyan Jr.,Zach Tom"","","")"),"Matt LaFleur")</f>
        <v>Matt LaFleur</v>
      </c>
      <c r="AL53" s="6" t="str">
        <f>IFERROR(__xludf.DUMMYFUNCTION("""COMPUTED_VALUE"""),"Adam Stenavich")</f>
        <v>Adam Stenavich</v>
      </c>
      <c r="AM53" s="6" t="str">
        <f>IFERROR(__xludf.DUMMYFUNCTION("""COMPUTED_VALUE"""),"Jordan Love")</f>
        <v>Jordan Love</v>
      </c>
      <c r="AN53" s="6" t="str">
        <f>IFERROR(__xludf.DUMMYFUNCTION("""COMPUTED_VALUE"""),"Romeo Doubs")</f>
        <v>Romeo Doubs</v>
      </c>
      <c r="AO53" s="6" t="str">
        <f>IFERROR(__xludf.DUMMYFUNCTION("""COMPUTED_VALUE"""),"Jayden Reed")</f>
        <v>Jayden Reed</v>
      </c>
      <c r="AP53" s="6" t="str">
        <f>IFERROR(__xludf.DUMMYFUNCTION("""COMPUTED_VALUE"""),"N/A")</f>
        <v>N/A</v>
      </c>
      <c r="AQ53" s="6" t="str">
        <f>IFERROR(__xludf.DUMMYFUNCTION("""COMPUTED_VALUE"""),"Rasheed Walker")</f>
        <v>Rasheed Walker</v>
      </c>
      <c r="AR53" s="6" t="str">
        <f>IFERROR(__xludf.DUMMYFUNCTION("""COMPUTED_VALUE"""),"N/A")</f>
        <v>N/A</v>
      </c>
      <c r="AS53" s="6" t="str">
        <f>IFERROR(__xludf.DUMMYFUNCTION("""COMPUTED_VALUE"""),"Josh Myers")</f>
        <v>Josh Myers</v>
      </c>
      <c r="AT53" s="6" t="str">
        <f>IFERROR(__xludf.DUMMYFUNCTION("""COMPUTED_VALUE"""),"Jon Runyan Jr.")</f>
        <v>Jon Runyan Jr.</v>
      </c>
      <c r="AU53" s="6" t="str">
        <f>IFERROR(__xludf.DUMMYFUNCTION("""COMPUTED_VALUE"""),"Zach Tom")</f>
        <v>Zach Tom</v>
      </c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</row>
    <row r="54">
      <c r="A54" s="12" t="s">
        <v>122</v>
      </c>
      <c r="B54" s="4">
        <v>2.0</v>
      </c>
      <c r="C54" s="13">
        <v>24.0</v>
      </c>
      <c r="D54" s="12" t="s">
        <v>123</v>
      </c>
      <c r="E54" s="12" t="s">
        <v>78</v>
      </c>
      <c r="F54" s="12" t="s">
        <v>79</v>
      </c>
      <c r="G54" s="13">
        <v>14.0</v>
      </c>
      <c r="H54" s="13">
        <v>13.0</v>
      </c>
      <c r="I54" s="13">
        <v>205.0</v>
      </c>
      <c r="J54" s="13">
        <v>935.0</v>
      </c>
      <c r="K54" s="13">
        <v>7.0</v>
      </c>
      <c r="L54" s="13">
        <v>53.0</v>
      </c>
      <c r="M54" s="13">
        <v>50.7</v>
      </c>
      <c r="N54" s="13">
        <v>48.0</v>
      </c>
      <c r="O54" s="13">
        <v>4.6</v>
      </c>
      <c r="P54" s="13">
        <v>66.8</v>
      </c>
      <c r="Q54" s="13">
        <v>14.6</v>
      </c>
      <c r="R54" s="13">
        <v>49.0</v>
      </c>
      <c r="S54" s="13">
        <v>44.0</v>
      </c>
      <c r="T54" s="13">
        <v>244.0</v>
      </c>
      <c r="U54" s="13">
        <v>5.5</v>
      </c>
      <c r="V54" s="13">
        <v>2.0</v>
      </c>
      <c r="W54" s="13">
        <v>12.0</v>
      </c>
      <c r="X54" s="13">
        <v>44.9</v>
      </c>
      <c r="Y54" s="13">
        <v>33.0</v>
      </c>
      <c r="Z54" s="13">
        <v>3.1</v>
      </c>
      <c r="AA54" s="13">
        <v>17.4</v>
      </c>
      <c r="AB54" s="13">
        <v>89.8</v>
      </c>
      <c r="AC54" s="13">
        <v>5.0</v>
      </c>
      <c r="AD54" s="13">
        <v>249.0</v>
      </c>
      <c r="AE54" s="13">
        <v>4.7</v>
      </c>
      <c r="AF54" s="13">
        <v>1179.0</v>
      </c>
      <c r="AG54" s="13">
        <v>9.0</v>
      </c>
      <c r="AH54" s="13">
        <v>1.0</v>
      </c>
      <c r="AI54" s="13">
        <v>8.0</v>
      </c>
      <c r="AJ54" s="13">
        <v>0.0</v>
      </c>
      <c r="AK54" s="12" t="s">
        <v>124</v>
      </c>
      <c r="AL54" s="12" t="s">
        <v>125</v>
      </c>
      <c r="AM54" s="14" t="s">
        <v>126</v>
      </c>
      <c r="AN54" s="12" t="s">
        <v>127</v>
      </c>
      <c r="AO54" s="12" t="s">
        <v>128</v>
      </c>
      <c r="AP54" s="12" t="s">
        <v>86</v>
      </c>
      <c r="AQ54" s="12" t="s">
        <v>129</v>
      </c>
      <c r="AR54" s="14" t="s">
        <v>130</v>
      </c>
      <c r="AS54" s="14" t="s">
        <v>131</v>
      </c>
      <c r="AT54" s="12" t="s">
        <v>132</v>
      </c>
      <c r="AU54" s="12" t="s">
        <v>133</v>
      </c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</row>
    <row r="55">
      <c r="A55" s="12" t="s">
        <v>134</v>
      </c>
      <c r="B55" s="4">
        <v>4.0</v>
      </c>
      <c r="C55" s="13">
        <v>24.0</v>
      </c>
      <c r="D55" s="12" t="s">
        <v>123</v>
      </c>
      <c r="E55" s="12" t="s">
        <v>78</v>
      </c>
      <c r="F55" s="12" t="s">
        <v>79</v>
      </c>
      <c r="G55" s="13">
        <v>15.0</v>
      </c>
      <c r="H55" s="13">
        <v>3.0</v>
      </c>
      <c r="I55" s="13">
        <v>70.0</v>
      </c>
      <c r="J55" s="13">
        <v>223.0</v>
      </c>
      <c r="K55" s="13">
        <v>1.0</v>
      </c>
      <c r="L55" s="13">
        <v>12.0</v>
      </c>
      <c r="M55" s="13">
        <v>40.0</v>
      </c>
      <c r="N55" s="13">
        <v>20.0</v>
      </c>
      <c r="O55" s="13">
        <v>3.2</v>
      </c>
      <c r="P55" s="13">
        <v>14.9</v>
      </c>
      <c r="Q55" s="13">
        <v>4.7</v>
      </c>
      <c r="R55" s="13">
        <v>22.0</v>
      </c>
      <c r="S55" s="13">
        <v>17.0</v>
      </c>
      <c r="T55" s="13">
        <v>188.0</v>
      </c>
      <c r="U55" s="13">
        <v>11.1</v>
      </c>
      <c r="V55" s="13">
        <v>1.0</v>
      </c>
      <c r="W55" s="13">
        <v>7.0</v>
      </c>
      <c r="X55" s="13">
        <v>50.0</v>
      </c>
      <c r="Y55" s="13">
        <v>48.0</v>
      </c>
      <c r="Z55" s="13">
        <v>1.1</v>
      </c>
      <c r="AA55" s="13">
        <v>12.5</v>
      </c>
      <c r="AB55" s="13">
        <v>77.3</v>
      </c>
      <c r="AC55" s="13">
        <v>8.5</v>
      </c>
      <c r="AD55" s="13">
        <v>87.0</v>
      </c>
      <c r="AE55" s="13">
        <v>4.7</v>
      </c>
      <c r="AF55" s="13">
        <v>411.0</v>
      </c>
      <c r="AG55" s="13">
        <v>2.0</v>
      </c>
      <c r="AH55" s="13">
        <v>0.0</v>
      </c>
      <c r="AI55" s="13">
        <v>3.0</v>
      </c>
      <c r="AJ55" s="13">
        <v>0.0</v>
      </c>
      <c r="AK55" s="12" t="s">
        <v>124</v>
      </c>
      <c r="AL55" s="12" t="s">
        <v>125</v>
      </c>
      <c r="AM55" s="14" t="s">
        <v>126</v>
      </c>
      <c r="AN55" s="12" t="s">
        <v>127</v>
      </c>
      <c r="AO55" s="12" t="s">
        <v>128</v>
      </c>
      <c r="AP55" s="12" t="s">
        <v>86</v>
      </c>
      <c r="AQ55" s="12" t="s">
        <v>129</v>
      </c>
      <c r="AR55" s="14" t="s">
        <v>130</v>
      </c>
      <c r="AS55" s="14" t="s">
        <v>131</v>
      </c>
      <c r="AT55" s="12" t="s">
        <v>132</v>
      </c>
      <c r="AU55" s="12" t="s">
        <v>133</v>
      </c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</row>
    <row r="56">
      <c r="A56" s="12" t="s">
        <v>135</v>
      </c>
      <c r="B56" s="4">
        <v>7.0</v>
      </c>
      <c r="C56" s="13">
        <v>28.0</v>
      </c>
      <c r="D56" s="12" t="s">
        <v>136</v>
      </c>
      <c r="E56" s="12" t="s">
        <v>78</v>
      </c>
      <c r="F56" s="12" t="s">
        <v>79</v>
      </c>
      <c r="G56" s="13">
        <v>15.0</v>
      </c>
      <c r="H56" s="13">
        <v>2.0</v>
      </c>
      <c r="I56" s="13">
        <v>135.0</v>
      </c>
      <c r="J56" s="13">
        <v>411.0</v>
      </c>
      <c r="K56" s="13">
        <v>9.0</v>
      </c>
      <c r="L56" s="13">
        <v>38.0</v>
      </c>
      <c r="M56" s="13">
        <v>45.9</v>
      </c>
      <c r="N56" s="13">
        <v>16.0</v>
      </c>
      <c r="O56" s="13">
        <v>3.0</v>
      </c>
      <c r="P56" s="13">
        <v>27.4</v>
      </c>
      <c r="Q56" s="13">
        <v>9.0</v>
      </c>
      <c r="R56" s="13">
        <v>21.0</v>
      </c>
      <c r="S56" s="13">
        <v>15.0</v>
      </c>
      <c r="T56" s="13">
        <v>84.0</v>
      </c>
      <c r="U56" s="13">
        <v>5.6</v>
      </c>
      <c r="V56" s="13">
        <v>0.0</v>
      </c>
      <c r="W56" s="13">
        <v>5.0</v>
      </c>
      <c r="X56" s="13">
        <v>38.1</v>
      </c>
      <c r="Y56" s="13">
        <v>13.0</v>
      </c>
      <c r="Z56" s="13">
        <v>1.0</v>
      </c>
      <c r="AA56" s="13">
        <v>5.6</v>
      </c>
      <c r="AB56" s="13">
        <v>71.4</v>
      </c>
      <c r="AC56" s="13">
        <v>4.0</v>
      </c>
      <c r="AD56" s="13">
        <v>150.0</v>
      </c>
      <c r="AE56" s="13">
        <v>3.3</v>
      </c>
      <c r="AF56" s="13">
        <v>495.0</v>
      </c>
      <c r="AG56" s="13">
        <v>9.0</v>
      </c>
      <c r="AH56" s="13">
        <v>0.0</v>
      </c>
      <c r="AI56" s="13">
        <v>3.0</v>
      </c>
      <c r="AJ56" s="13">
        <v>0.0</v>
      </c>
      <c r="AK56" s="12" t="s">
        <v>137</v>
      </c>
      <c r="AL56" s="12" t="s">
        <v>138</v>
      </c>
      <c r="AM56" s="12" t="s">
        <v>139</v>
      </c>
      <c r="AN56" s="14" t="s">
        <v>140</v>
      </c>
      <c r="AO56" s="12" t="s">
        <v>141</v>
      </c>
      <c r="AP56" s="12" t="s">
        <v>86</v>
      </c>
      <c r="AQ56" s="12" t="s">
        <v>142</v>
      </c>
      <c r="AR56" s="14" t="s">
        <v>143</v>
      </c>
      <c r="AS56" s="12" t="s">
        <v>144</v>
      </c>
      <c r="AT56" s="14" t="s">
        <v>145</v>
      </c>
      <c r="AU56" s="12" t="s">
        <v>146</v>
      </c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</row>
    <row r="57">
      <c r="A57" s="12" t="s">
        <v>147</v>
      </c>
      <c r="B57" s="4">
        <v>5.0</v>
      </c>
      <c r="C57" s="13">
        <v>25.0</v>
      </c>
      <c r="D57" s="12" t="s">
        <v>148</v>
      </c>
      <c r="E57" s="12" t="s">
        <v>78</v>
      </c>
      <c r="F57" s="12" t="s">
        <v>79</v>
      </c>
      <c r="G57" s="13">
        <v>13.0</v>
      </c>
      <c r="H57" s="13">
        <v>13.0</v>
      </c>
      <c r="I57" s="13">
        <v>233.0</v>
      </c>
      <c r="J57" s="13">
        <v>805.0</v>
      </c>
      <c r="K57" s="13">
        <v>6.0</v>
      </c>
      <c r="L57" s="13">
        <v>34.0</v>
      </c>
      <c r="M57" s="13">
        <v>45.9</v>
      </c>
      <c r="N57" s="13">
        <v>63.0</v>
      </c>
      <c r="O57" s="13">
        <v>3.5</v>
      </c>
      <c r="P57" s="13">
        <v>61.9</v>
      </c>
      <c r="Q57" s="13">
        <v>17.9</v>
      </c>
      <c r="R57" s="13">
        <v>54.0</v>
      </c>
      <c r="S57" s="13">
        <v>37.0</v>
      </c>
      <c r="T57" s="13">
        <v>296.0</v>
      </c>
      <c r="U57" s="13">
        <v>8.0</v>
      </c>
      <c r="V57" s="13">
        <v>0.0</v>
      </c>
      <c r="W57" s="13">
        <v>15.0</v>
      </c>
      <c r="X57" s="13">
        <v>55.6</v>
      </c>
      <c r="Y57" s="13">
        <v>21.0</v>
      </c>
      <c r="Z57" s="13">
        <v>2.8</v>
      </c>
      <c r="AA57" s="13">
        <v>22.8</v>
      </c>
      <c r="AB57" s="13">
        <v>68.5</v>
      </c>
      <c r="AC57" s="13">
        <v>5.5</v>
      </c>
      <c r="AD57" s="13">
        <v>270.0</v>
      </c>
      <c r="AE57" s="13">
        <v>4.1</v>
      </c>
      <c r="AF57" s="13">
        <v>1101.0</v>
      </c>
      <c r="AG57" s="13">
        <v>6.0</v>
      </c>
      <c r="AH57" s="13">
        <v>3.0</v>
      </c>
      <c r="AI57" s="13">
        <v>6.0</v>
      </c>
      <c r="AJ57" s="13">
        <v>0.0</v>
      </c>
      <c r="AK57" s="12" t="s">
        <v>149</v>
      </c>
      <c r="AL57" s="12" t="s">
        <v>150</v>
      </c>
      <c r="AM57" s="12" t="s">
        <v>151</v>
      </c>
      <c r="AN57" s="12" t="s">
        <v>152</v>
      </c>
      <c r="AO57" s="12" t="s">
        <v>153</v>
      </c>
      <c r="AP57" s="12" t="s">
        <v>86</v>
      </c>
      <c r="AQ57" s="12" t="s">
        <v>154</v>
      </c>
      <c r="AR57" s="12" t="s">
        <v>155</v>
      </c>
      <c r="AS57" s="12" t="s">
        <v>156</v>
      </c>
      <c r="AT57" s="12" t="s">
        <v>157</v>
      </c>
      <c r="AU57" s="12" t="s">
        <v>158</v>
      </c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</row>
    <row r="58">
      <c r="A58" s="12" t="s">
        <v>159</v>
      </c>
      <c r="B58" s="4">
        <v>10.0</v>
      </c>
      <c r="C58" s="13">
        <v>33.0</v>
      </c>
      <c r="D58" s="12" t="s">
        <v>77</v>
      </c>
      <c r="E58" s="12" t="s">
        <v>78</v>
      </c>
      <c r="F58" s="12" t="s">
        <v>79</v>
      </c>
      <c r="G58" s="13">
        <v>16.0</v>
      </c>
      <c r="H58" s="13">
        <v>4.0</v>
      </c>
      <c r="I58" s="13">
        <v>79.0</v>
      </c>
      <c r="J58" s="13">
        <v>300.0</v>
      </c>
      <c r="K58" s="13">
        <v>4.0</v>
      </c>
      <c r="L58" s="13">
        <v>27.0</v>
      </c>
      <c r="M58" s="13">
        <v>57.0</v>
      </c>
      <c r="N58" s="13">
        <v>29.0</v>
      </c>
      <c r="O58" s="13">
        <v>3.8</v>
      </c>
      <c r="P58" s="13">
        <v>18.8</v>
      </c>
      <c r="Q58" s="13">
        <v>4.9</v>
      </c>
      <c r="R58" s="13">
        <v>22.0</v>
      </c>
      <c r="S58" s="13">
        <v>17.0</v>
      </c>
      <c r="T58" s="13">
        <v>119.0</v>
      </c>
      <c r="U58" s="13">
        <v>7.0</v>
      </c>
      <c r="V58" s="13">
        <v>0.0</v>
      </c>
      <c r="W58" s="13">
        <v>7.0</v>
      </c>
      <c r="X58" s="13">
        <v>45.5</v>
      </c>
      <c r="Y58" s="13">
        <v>22.0</v>
      </c>
      <c r="Z58" s="13">
        <v>1.1</v>
      </c>
      <c r="AA58" s="13">
        <v>7.4</v>
      </c>
      <c r="AB58" s="13">
        <v>77.3</v>
      </c>
      <c r="AC58" s="13">
        <v>5.4</v>
      </c>
      <c r="AD58" s="13">
        <v>96.0</v>
      </c>
      <c r="AE58" s="13">
        <v>4.4</v>
      </c>
      <c r="AF58" s="13">
        <v>419.0</v>
      </c>
      <c r="AG58" s="13">
        <v>4.0</v>
      </c>
      <c r="AH58" s="13">
        <v>1.0</v>
      </c>
      <c r="AI58" s="13">
        <v>3.0</v>
      </c>
      <c r="AJ58" s="13">
        <v>0.0</v>
      </c>
      <c r="AK58" s="12" t="s">
        <v>81</v>
      </c>
      <c r="AL58" s="12" t="s">
        <v>82</v>
      </c>
      <c r="AM58" s="12" t="s">
        <v>83</v>
      </c>
      <c r="AN58" s="12" t="s">
        <v>84</v>
      </c>
      <c r="AO58" s="14" t="s">
        <v>85</v>
      </c>
      <c r="AP58" s="12" t="s">
        <v>86</v>
      </c>
      <c r="AQ58" s="14" t="s">
        <v>87</v>
      </c>
      <c r="AR58" s="12" t="s">
        <v>88</v>
      </c>
      <c r="AS58" s="12" t="s">
        <v>89</v>
      </c>
      <c r="AT58" s="12" t="s">
        <v>90</v>
      </c>
      <c r="AU58" s="12" t="s">
        <v>91</v>
      </c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</row>
    <row r="59">
      <c r="A59" s="12" t="s">
        <v>160</v>
      </c>
      <c r="B59" s="4">
        <v>7.0</v>
      </c>
      <c r="C59" s="13">
        <v>28.0</v>
      </c>
      <c r="D59" s="12" t="s">
        <v>161</v>
      </c>
      <c r="E59" s="12" t="s">
        <v>78</v>
      </c>
      <c r="F59" s="12" t="s">
        <v>79</v>
      </c>
      <c r="G59" s="13">
        <v>14.0</v>
      </c>
      <c r="H59" s="13">
        <v>14.0</v>
      </c>
      <c r="I59" s="13">
        <v>179.0</v>
      </c>
      <c r="J59" s="13">
        <v>628.0</v>
      </c>
      <c r="K59" s="13">
        <v>5.0</v>
      </c>
      <c r="L59" s="13">
        <v>34.0</v>
      </c>
      <c r="M59" s="13">
        <v>47.5</v>
      </c>
      <c r="N59" s="13">
        <v>55.0</v>
      </c>
      <c r="O59" s="13">
        <v>3.5</v>
      </c>
      <c r="P59" s="13">
        <v>44.9</v>
      </c>
      <c r="Q59" s="13">
        <v>12.8</v>
      </c>
      <c r="R59" s="13">
        <v>74.0</v>
      </c>
      <c r="S59" s="13">
        <v>51.0</v>
      </c>
      <c r="T59" s="13">
        <v>436.0</v>
      </c>
      <c r="U59" s="13">
        <v>8.5</v>
      </c>
      <c r="V59" s="13">
        <v>1.0</v>
      </c>
      <c r="W59" s="13">
        <v>20.0</v>
      </c>
      <c r="X59" s="13">
        <v>43.2</v>
      </c>
      <c r="Y59" s="13">
        <v>39.0</v>
      </c>
      <c r="Z59" s="13">
        <v>3.6</v>
      </c>
      <c r="AA59" s="13">
        <v>31.1</v>
      </c>
      <c r="AB59" s="13">
        <v>68.9</v>
      </c>
      <c r="AC59" s="13">
        <v>5.9</v>
      </c>
      <c r="AD59" s="13">
        <v>230.0</v>
      </c>
      <c r="AE59" s="13">
        <v>4.6</v>
      </c>
      <c r="AF59" s="13">
        <v>1064.0</v>
      </c>
      <c r="AG59" s="13">
        <v>6.0</v>
      </c>
      <c r="AH59" s="13">
        <v>5.0</v>
      </c>
      <c r="AI59" s="13">
        <v>7.0</v>
      </c>
      <c r="AJ59" s="13">
        <v>0.0</v>
      </c>
      <c r="AK59" s="12" t="s">
        <v>162</v>
      </c>
      <c r="AL59" s="12" t="s">
        <v>163</v>
      </c>
      <c r="AM59" s="12" t="s">
        <v>164</v>
      </c>
      <c r="AN59" s="14" t="s">
        <v>165</v>
      </c>
      <c r="AO59" s="12" t="s">
        <v>166</v>
      </c>
      <c r="AP59" s="12" t="s">
        <v>86</v>
      </c>
      <c r="AQ59" s="12" t="s">
        <v>167</v>
      </c>
      <c r="AR59" s="12" t="s">
        <v>168</v>
      </c>
      <c r="AS59" s="12" t="s">
        <v>169</v>
      </c>
      <c r="AT59" s="12" t="s">
        <v>170</v>
      </c>
      <c r="AU59" s="12" t="s">
        <v>171</v>
      </c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</row>
    <row r="60">
      <c r="A60" s="12" t="s">
        <v>172</v>
      </c>
      <c r="B60" s="4">
        <v>9.0</v>
      </c>
      <c r="C60" s="13">
        <v>30.0</v>
      </c>
      <c r="D60" s="12" t="s">
        <v>173</v>
      </c>
      <c r="E60" s="12" t="s">
        <v>78</v>
      </c>
      <c r="F60" s="12" t="s">
        <v>79</v>
      </c>
      <c r="G60" s="13">
        <v>4.0</v>
      </c>
      <c r="H60" s="13">
        <v>0.0</v>
      </c>
      <c r="I60" s="13">
        <v>26.0</v>
      </c>
      <c r="J60" s="13">
        <v>81.0</v>
      </c>
      <c r="K60" s="13">
        <v>1.0</v>
      </c>
      <c r="L60" s="13">
        <v>4.0</v>
      </c>
      <c r="M60" s="13">
        <v>30.8</v>
      </c>
      <c r="N60" s="13">
        <v>22.0</v>
      </c>
      <c r="O60" s="13">
        <v>3.1</v>
      </c>
      <c r="P60" s="13">
        <v>20.3</v>
      </c>
      <c r="Q60" s="13">
        <v>6.5</v>
      </c>
      <c r="R60" s="13">
        <v>3.0</v>
      </c>
      <c r="S60" s="13">
        <v>3.0</v>
      </c>
      <c r="T60" s="13">
        <v>46.0</v>
      </c>
      <c r="U60" s="13">
        <v>15.3</v>
      </c>
      <c r="V60" s="13">
        <v>0.0</v>
      </c>
      <c r="W60" s="13">
        <v>3.0</v>
      </c>
      <c r="X60" s="13">
        <v>100.0</v>
      </c>
      <c r="Y60" s="13">
        <v>23.0</v>
      </c>
      <c r="Z60" s="13">
        <v>0.8</v>
      </c>
      <c r="AA60" s="13">
        <v>11.5</v>
      </c>
      <c r="AB60" s="13">
        <v>100.0</v>
      </c>
      <c r="AC60" s="13">
        <v>15.3</v>
      </c>
      <c r="AD60" s="13">
        <v>29.0</v>
      </c>
      <c r="AE60" s="13">
        <v>4.4</v>
      </c>
      <c r="AF60" s="13">
        <v>127.0</v>
      </c>
      <c r="AG60" s="13">
        <v>1.0</v>
      </c>
      <c r="AH60" s="13">
        <v>1.0</v>
      </c>
      <c r="AI60" s="13">
        <v>1.0</v>
      </c>
      <c r="AJ60" s="13">
        <v>0.0</v>
      </c>
      <c r="AK60" s="12" t="s">
        <v>174</v>
      </c>
      <c r="AL60" s="12" t="s">
        <v>175</v>
      </c>
      <c r="AM60" s="14" t="s">
        <v>176</v>
      </c>
      <c r="AN60" s="12" t="s">
        <v>177</v>
      </c>
      <c r="AO60" s="12" t="s">
        <v>178</v>
      </c>
      <c r="AP60" s="12" t="s">
        <v>86</v>
      </c>
      <c r="AQ60" s="12" t="s">
        <v>179</v>
      </c>
      <c r="AR60" s="12" t="s">
        <v>180</v>
      </c>
      <c r="AS60" s="14" t="s">
        <v>181</v>
      </c>
      <c r="AT60" s="14" t="s">
        <v>182</v>
      </c>
      <c r="AU60" s="12" t="s">
        <v>183</v>
      </c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</row>
    <row r="61">
      <c r="A61" s="12" t="s">
        <v>184</v>
      </c>
      <c r="B61" s="4">
        <v>2.0</v>
      </c>
      <c r="C61" s="13">
        <v>23.0</v>
      </c>
      <c r="D61" s="12" t="s">
        <v>185</v>
      </c>
      <c r="E61" s="12" t="s">
        <v>78</v>
      </c>
      <c r="F61" s="12" t="s">
        <v>79</v>
      </c>
      <c r="G61" s="13">
        <v>12.0</v>
      </c>
      <c r="H61" s="13">
        <v>11.0</v>
      </c>
      <c r="I61" s="13">
        <v>228.0</v>
      </c>
      <c r="J61" s="13">
        <v>1144.0</v>
      </c>
      <c r="K61" s="13">
        <v>12.0</v>
      </c>
      <c r="L61" s="13">
        <v>62.0</v>
      </c>
      <c r="M61" s="13">
        <v>59.6</v>
      </c>
      <c r="N61" s="13">
        <v>56.0</v>
      </c>
      <c r="O61" s="13">
        <v>5.0</v>
      </c>
      <c r="P61" s="13">
        <v>95.3</v>
      </c>
      <c r="Q61" s="13">
        <v>19.0</v>
      </c>
      <c r="R61" s="13">
        <v>48.0</v>
      </c>
      <c r="S61" s="13">
        <v>32.0</v>
      </c>
      <c r="T61" s="13">
        <v>206.0</v>
      </c>
      <c r="U61" s="13">
        <v>6.4</v>
      </c>
      <c r="V61" s="13">
        <v>3.0</v>
      </c>
      <c r="W61" s="13">
        <v>9.0</v>
      </c>
      <c r="X61" s="13">
        <v>43.8</v>
      </c>
      <c r="Y61" s="13">
        <v>24.0</v>
      </c>
      <c r="Z61" s="13">
        <v>2.7</v>
      </c>
      <c r="AA61" s="13">
        <v>17.2</v>
      </c>
      <c r="AB61" s="13">
        <v>66.7</v>
      </c>
      <c r="AC61" s="13">
        <v>4.3</v>
      </c>
      <c r="AD61" s="13">
        <v>260.0</v>
      </c>
      <c r="AE61" s="13">
        <v>5.2</v>
      </c>
      <c r="AF61" s="13">
        <v>1350.0</v>
      </c>
      <c r="AG61" s="13">
        <v>15.0</v>
      </c>
      <c r="AH61" s="13">
        <v>3.0</v>
      </c>
      <c r="AI61" s="13">
        <v>10.0</v>
      </c>
      <c r="AJ61" s="12" t="s">
        <v>80</v>
      </c>
      <c r="AK61" s="12" t="s">
        <v>186</v>
      </c>
      <c r="AL61" s="12" t="s">
        <v>187</v>
      </c>
      <c r="AM61" s="14" t="s">
        <v>188</v>
      </c>
      <c r="AN61" s="12" t="s">
        <v>189</v>
      </c>
      <c r="AO61" s="12" t="s">
        <v>190</v>
      </c>
      <c r="AP61" s="12" t="s">
        <v>86</v>
      </c>
      <c r="AQ61" s="12" t="s">
        <v>191</v>
      </c>
      <c r="AR61" s="12" t="s">
        <v>192</v>
      </c>
      <c r="AS61" s="12" t="s">
        <v>193</v>
      </c>
      <c r="AT61" s="12" t="s">
        <v>194</v>
      </c>
      <c r="AU61" s="12" t="s">
        <v>195</v>
      </c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</row>
    <row r="62">
      <c r="A62" s="12" t="s">
        <v>196</v>
      </c>
      <c r="B62" s="4">
        <v>4.0</v>
      </c>
      <c r="C62" s="13">
        <v>24.0</v>
      </c>
      <c r="D62" s="12" t="s">
        <v>185</v>
      </c>
      <c r="E62" s="12" t="s">
        <v>78</v>
      </c>
      <c r="F62" s="12" t="s">
        <v>79</v>
      </c>
      <c r="G62" s="13">
        <v>1.0</v>
      </c>
      <c r="H62" s="13">
        <v>1.0</v>
      </c>
      <c r="I62" s="13">
        <v>22.0</v>
      </c>
      <c r="J62" s="13">
        <v>29.0</v>
      </c>
      <c r="K62" s="13">
        <v>1.0</v>
      </c>
      <c r="L62" s="13">
        <v>4.0</v>
      </c>
      <c r="M62" s="13">
        <v>27.3</v>
      </c>
      <c r="N62" s="13">
        <v>12.0</v>
      </c>
      <c r="O62" s="13">
        <v>1.3</v>
      </c>
      <c r="P62" s="13">
        <v>29.0</v>
      </c>
      <c r="Q62" s="13">
        <v>22.0</v>
      </c>
      <c r="R62" s="13">
        <v>0.0</v>
      </c>
      <c r="S62" s="13">
        <v>0.0</v>
      </c>
      <c r="T62" s="13">
        <v>0.0</v>
      </c>
      <c r="U62" s="13">
        <v>0.0</v>
      </c>
      <c r="V62" s="13">
        <v>0.0</v>
      </c>
      <c r="W62" s="13">
        <v>0.0</v>
      </c>
      <c r="X62" s="13">
        <v>0.0</v>
      </c>
      <c r="Y62" s="13">
        <v>0.0</v>
      </c>
      <c r="Z62" s="13">
        <v>0.0</v>
      </c>
      <c r="AA62" s="13">
        <v>0.0</v>
      </c>
      <c r="AB62" s="13">
        <v>0.0</v>
      </c>
      <c r="AC62" s="13">
        <v>0.0</v>
      </c>
      <c r="AD62" s="13">
        <v>22.0</v>
      </c>
      <c r="AE62" s="13">
        <v>1.3</v>
      </c>
      <c r="AF62" s="13">
        <v>29.0</v>
      </c>
      <c r="AG62" s="13">
        <v>1.0</v>
      </c>
      <c r="AH62" s="13">
        <v>0.0</v>
      </c>
      <c r="AI62" s="13">
        <v>0.0</v>
      </c>
      <c r="AJ62" s="13">
        <v>0.0</v>
      </c>
      <c r="AK62" s="12" t="s">
        <v>186</v>
      </c>
      <c r="AL62" s="12" t="s">
        <v>187</v>
      </c>
      <c r="AM62" s="14" t="s">
        <v>188</v>
      </c>
      <c r="AN62" s="12" t="s">
        <v>189</v>
      </c>
      <c r="AO62" s="12" t="s">
        <v>190</v>
      </c>
      <c r="AP62" s="12" t="s">
        <v>86</v>
      </c>
      <c r="AQ62" s="12" t="s">
        <v>191</v>
      </c>
      <c r="AR62" s="12" t="s">
        <v>192</v>
      </c>
      <c r="AS62" s="12" t="s">
        <v>193</v>
      </c>
      <c r="AT62" s="12" t="s">
        <v>194</v>
      </c>
      <c r="AU62" s="12" t="s">
        <v>195</v>
      </c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</row>
    <row r="63">
      <c r="A63" s="12" t="s">
        <v>196</v>
      </c>
      <c r="B63" s="4">
        <v>4.0</v>
      </c>
      <c r="C63" s="13">
        <v>24.0</v>
      </c>
      <c r="D63" s="12" t="s">
        <v>197</v>
      </c>
      <c r="E63" s="12" t="s">
        <v>78</v>
      </c>
      <c r="F63" s="12" t="s">
        <v>79</v>
      </c>
      <c r="G63" s="13">
        <v>6.0</v>
      </c>
      <c r="H63" s="13">
        <v>0.0</v>
      </c>
      <c r="I63" s="13">
        <v>38.0</v>
      </c>
      <c r="J63" s="13">
        <v>138.0</v>
      </c>
      <c r="K63" s="13">
        <v>1.0</v>
      </c>
      <c r="L63" s="13">
        <v>8.0</v>
      </c>
      <c r="M63" s="13">
        <v>39.5</v>
      </c>
      <c r="N63" s="13">
        <v>19.0</v>
      </c>
      <c r="O63" s="13">
        <v>3.6</v>
      </c>
      <c r="P63" s="13">
        <v>23.0</v>
      </c>
      <c r="Q63" s="13">
        <v>6.3</v>
      </c>
      <c r="R63" s="13">
        <v>12.0</v>
      </c>
      <c r="S63" s="13">
        <v>11.0</v>
      </c>
      <c r="T63" s="13">
        <v>70.0</v>
      </c>
      <c r="U63" s="13">
        <v>6.4</v>
      </c>
      <c r="V63" s="13">
        <v>0.0</v>
      </c>
      <c r="W63" s="13">
        <v>2.0</v>
      </c>
      <c r="X63" s="13">
        <v>50.0</v>
      </c>
      <c r="Y63" s="13">
        <v>30.0</v>
      </c>
      <c r="Z63" s="13">
        <v>1.8</v>
      </c>
      <c r="AA63" s="13">
        <v>11.7</v>
      </c>
      <c r="AB63" s="13">
        <v>91.7</v>
      </c>
      <c r="AC63" s="13">
        <v>5.8</v>
      </c>
      <c r="AD63" s="13">
        <v>49.0</v>
      </c>
      <c r="AE63" s="13">
        <v>4.2</v>
      </c>
      <c r="AF63" s="13">
        <v>208.0</v>
      </c>
      <c r="AG63" s="13">
        <v>1.0</v>
      </c>
      <c r="AH63" s="13">
        <v>0.0</v>
      </c>
      <c r="AI63" s="13">
        <v>1.0</v>
      </c>
      <c r="AJ63" s="13">
        <v>0.0</v>
      </c>
      <c r="AK63" s="12" t="s">
        <v>198</v>
      </c>
      <c r="AL63" s="12" t="s">
        <v>199</v>
      </c>
      <c r="AM63" s="12" t="s">
        <v>200</v>
      </c>
      <c r="AN63" s="12" t="s">
        <v>201</v>
      </c>
      <c r="AO63" s="12" t="s">
        <v>202</v>
      </c>
      <c r="AP63" s="12" t="s">
        <v>86</v>
      </c>
      <c r="AQ63" s="12" t="s">
        <v>203</v>
      </c>
      <c r="AR63" s="12" t="s">
        <v>204</v>
      </c>
      <c r="AS63" s="12" t="s">
        <v>205</v>
      </c>
      <c r="AT63" s="12" t="s">
        <v>206</v>
      </c>
      <c r="AU63" s="12" t="s">
        <v>207</v>
      </c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</row>
    <row r="64">
      <c r="A64" s="12" t="s">
        <v>208</v>
      </c>
      <c r="B64" s="4">
        <v>5.0</v>
      </c>
      <c r="C64" s="13">
        <v>26.0</v>
      </c>
      <c r="D64" s="12" t="s">
        <v>185</v>
      </c>
      <c r="E64" s="12" t="s">
        <v>78</v>
      </c>
      <c r="F64" s="12" t="s">
        <v>79</v>
      </c>
      <c r="G64" s="13">
        <v>4.0</v>
      </c>
      <c r="H64" s="13">
        <v>4.0</v>
      </c>
      <c r="I64" s="13">
        <v>46.0</v>
      </c>
      <c r="J64" s="13">
        <v>112.0</v>
      </c>
      <c r="K64" s="13">
        <v>2.0</v>
      </c>
      <c r="L64" s="13">
        <v>5.0</v>
      </c>
      <c r="M64" s="13">
        <v>37.0</v>
      </c>
      <c r="N64" s="13">
        <v>16.0</v>
      </c>
      <c r="O64" s="13">
        <v>2.4</v>
      </c>
      <c r="P64" s="13">
        <v>28.0</v>
      </c>
      <c r="Q64" s="13">
        <v>11.5</v>
      </c>
      <c r="R64" s="13">
        <v>14.0</v>
      </c>
      <c r="S64" s="13">
        <v>10.0</v>
      </c>
      <c r="T64" s="13">
        <v>103.0</v>
      </c>
      <c r="U64" s="13">
        <v>10.3</v>
      </c>
      <c r="V64" s="13">
        <v>0.0</v>
      </c>
      <c r="W64" s="13">
        <v>3.0</v>
      </c>
      <c r="X64" s="13">
        <v>28.6</v>
      </c>
      <c r="Y64" s="13">
        <v>32.0</v>
      </c>
      <c r="Z64" s="13">
        <v>2.5</v>
      </c>
      <c r="AA64" s="13">
        <v>25.8</v>
      </c>
      <c r="AB64" s="13">
        <v>71.4</v>
      </c>
      <c r="AC64" s="13">
        <v>7.4</v>
      </c>
      <c r="AD64" s="13">
        <v>56.0</v>
      </c>
      <c r="AE64" s="13">
        <v>3.8</v>
      </c>
      <c r="AF64" s="13">
        <v>215.0</v>
      </c>
      <c r="AG64" s="13">
        <v>2.0</v>
      </c>
      <c r="AH64" s="13">
        <v>0.0</v>
      </c>
      <c r="AI64" s="13">
        <v>2.0</v>
      </c>
      <c r="AJ64" s="13">
        <v>0.0</v>
      </c>
      <c r="AK64" s="12" t="s">
        <v>186</v>
      </c>
      <c r="AL64" s="12" t="s">
        <v>187</v>
      </c>
      <c r="AM64" s="14" t="s">
        <v>188</v>
      </c>
      <c r="AN64" s="12" t="s">
        <v>189</v>
      </c>
      <c r="AO64" s="12" t="s">
        <v>190</v>
      </c>
      <c r="AP64" s="12" t="s">
        <v>86</v>
      </c>
      <c r="AQ64" s="12" t="s">
        <v>191</v>
      </c>
      <c r="AR64" s="12" t="s">
        <v>192</v>
      </c>
      <c r="AS64" s="12" t="s">
        <v>193</v>
      </c>
      <c r="AT64" s="12" t="s">
        <v>194</v>
      </c>
      <c r="AU64" s="12" t="s">
        <v>195</v>
      </c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</row>
    <row r="65">
      <c r="A65" s="15" t="s">
        <v>209</v>
      </c>
      <c r="B65" s="4">
        <v>5.0</v>
      </c>
      <c r="C65" s="13">
        <v>26.0</v>
      </c>
      <c r="D65" s="12" t="s">
        <v>185</v>
      </c>
      <c r="E65" s="12" t="s">
        <v>78</v>
      </c>
      <c r="F65" s="12" t="s">
        <v>79</v>
      </c>
      <c r="G65" s="13">
        <v>1.0</v>
      </c>
      <c r="H65" s="13">
        <v>0.0</v>
      </c>
      <c r="I65" s="13">
        <v>0.0</v>
      </c>
      <c r="J65" s="13">
        <v>0.0</v>
      </c>
      <c r="K65" s="13">
        <v>0.0</v>
      </c>
      <c r="L65" s="13">
        <v>0.0</v>
      </c>
      <c r="M65" s="13">
        <v>0.0</v>
      </c>
      <c r="N65" s="13">
        <v>0.0</v>
      </c>
      <c r="O65" s="13">
        <v>0.0</v>
      </c>
      <c r="P65" s="13">
        <v>0.0</v>
      </c>
      <c r="Q65" s="13">
        <v>0.0</v>
      </c>
      <c r="R65" s="13">
        <v>0.0</v>
      </c>
      <c r="S65" s="13">
        <v>0.0</v>
      </c>
      <c r="T65" s="13">
        <v>0.0</v>
      </c>
      <c r="U65" s="13">
        <v>0.0</v>
      </c>
      <c r="V65" s="13">
        <v>0.0</v>
      </c>
      <c r="W65" s="13">
        <v>0.0</v>
      </c>
      <c r="X65" s="13">
        <v>0.0</v>
      </c>
      <c r="Y65" s="13">
        <v>0.0</v>
      </c>
      <c r="Z65" s="13">
        <v>0.0</v>
      </c>
      <c r="AA65" s="13">
        <v>0.0</v>
      </c>
      <c r="AB65" s="13">
        <v>0.0</v>
      </c>
      <c r="AC65" s="13">
        <v>0.0</v>
      </c>
      <c r="AD65" s="13">
        <v>0.0</v>
      </c>
      <c r="AE65" s="13">
        <v>0.0</v>
      </c>
      <c r="AF65" s="13">
        <v>0.0</v>
      </c>
      <c r="AG65" s="13">
        <v>0.0</v>
      </c>
      <c r="AH65" s="13">
        <v>0.0</v>
      </c>
      <c r="AI65" s="13">
        <v>0.0</v>
      </c>
      <c r="AJ65" s="13">
        <v>0.0</v>
      </c>
      <c r="AK65" s="12" t="s">
        <v>186</v>
      </c>
      <c r="AL65" s="12" t="s">
        <v>187</v>
      </c>
      <c r="AM65" s="14" t="s">
        <v>188</v>
      </c>
      <c r="AN65" s="12" t="s">
        <v>189</v>
      </c>
      <c r="AO65" s="12" t="s">
        <v>190</v>
      </c>
      <c r="AP65" s="12" t="s">
        <v>86</v>
      </c>
      <c r="AQ65" s="12" t="s">
        <v>191</v>
      </c>
      <c r="AR65" s="12" t="s">
        <v>192</v>
      </c>
      <c r="AS65" s="12" t="s">
        <v>193</v>
      </c>
      <c r="AT65" s="12" t="s">
        <v>194</v>
      </c>
      <c r="AU65" s="12" t="s">
        <v>195</v>
      </c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</row>
    <row r="66">
      <c r="A66" s="12" t="s">
        <v>209</v>
      </c>
      <c r="B66" s="4">
        <v>5.0</v>
      </c>
      <c r="C66" s="13">
        <v>26.0</v>
      </c>
      <c r="D66" s="12" t="s">
        <v>197</v>
      </c>
      <c r="E66" s="12" t="s">
        <v>78</v>
      </c>
      <c r="F66" s="12" t="s">
        <v>79</v>
      </c>
      <c r="G66" s="13">
        <v>2.0</v>
      </c>
      <c r="H66" s="13">
        <v>0.0</v>
      </c>
      <c r="I66" s="13">
        <v>0.0</v>
      </c>
      <c r="J66" s="13">
        <v>0.0</v>
      </c>
      <c r="K66" s="13">
        <v>0.0</v>
      </c>
      <c r="L66" s="13">
        <v>0.0</v>
      </c>
      <c r="M66" s="13">
        <v>0.0</v>
      </c>
      <c r="N66" s="13">
        <v>0.0</v>
      </c>
      <c r="O66" s="13">
        <v>0.0</v>
      </c>
      <c r="P66" s="13">
        <v>0.0</v>
      </c>
      <c r="Q66" s="13">
        <v>0.0</v>
      </c>
      <c r="R66" s="13">
        <v>0.0</v>
      </c>
      <c r="S66" s="13">
        <v>0.0</v>
      </c>
      <c r="T66" s="13">
        <v>0.0</v>
      </c>
      <c r="U66" s="13">
        <v>0.0</v>
      </c>
      <c r="V66" s="13">
        <v>0.0</v>
      </c>
      <c r="W66" s="13">
        <v>0.0</v>
      </c>
      <c r="X66" s="13">
        <v>0.0</v>
      </c>
      <c r="Y66" s="13">
        <v>0.0</v>
      </c>
      <c r="Z66" s="13">
        <v>0.0</v>
      </c>
      <c r="AA66" s="13">
        <v>0.0</v>
      </c>
      <c r="AB66" s="13">
        <v>0.0</v>
      </c>
      <c r="AC66" s="13">
        <v>0.0</v>
      </c>
      <c r="AD66" s="13">
        <v>0.0</v>
      </c>
      <c r="AE66" s="13">
        <v>0.0</v>
      </c>
      <c r="AF66" s="13">
        <v>0.0</v>
      </c>
      <c r="AG66" s="13">
        <v>0.0</v>
      </c>
      <c r="AH66" s="13">
        <v>0.0</v>
      </c>
      <c r="AI66" s="13">
        <v>0.0</v>
      </c>
      <c r="AJ66" s="13">
        <v>0.0</v>
      </c>
      <c r="AK66" s="12" t="s">
        <v>198</v>
      </c>
      <c r="AL66" s="12" t="s">
        <v>199</v>
      </c>
      <c r="AM66" s="12" t="s">
        <v>200</v>
      </c>
      <c r="AN66" s="12" t="s">
        <v>201</v>
      </c>
      <c r="AO66" s="12" t="s">
        <v>202</v>
      </c>
      <c r="AP66" s="12" t="s">
        <v>86</v>
      </c>
      <c r="AQ66" s="12" t="s">
        <v>203</v>
      </c>
      <c r="AR66" s="12" t="s">
        <v>204</v>
      </c>
      <c r="AS66" s="12" t="s">
        <v>205</v>
      </c>
      <c r="AT66" s="12" t="s">
        <v>206</v>
      </c>
      <c r="AU66" s="12" t="s">
        <v>207</v>
      </c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</row>
    <row r="67">
      <c r="A67" s="12" t="s">
        <v>210</v>
      </c>
      <c r="B67" s="4">
        <v>5.0</v>
      </c>
      <c r="C67" s="13">
        <v>25.0</v>
      </c>
      <c r="D67" s="12" t="s">
        <v>197</v>
      </c>
      <c r="E67" s="12" t="s">
        <v>78</v>
      </c>
      <c r="F67" s="12" t="s">
        <v>79</v>
      </c>
      <c r="G67" s="13">
        <v>16.0</v>
      </c>
      <c r="H67" s="13">
        <v>13.0</v>
      </c>
      <c r="I67" s="13">
        <v>180.0</v>
      </c>
      <c r="J67" s="13">
        <v>700.0</v>
      </c>
      <c r="K67" s="13">
        <v>0.0</v>
      </c>
      <c r="L67" s="13">
        <v>28.0</v>
      </c>
      <c r="M67" s="13">
        <v>45.0</v>
      </c>
      <c r="N67" s="13">
        <v>21.0</v>
      </c>
      <c r="O67" s="13">
        <v>3.9</v>
      </c>
      <c r="P67" s="13">
        <v>43.8</v>
      </c>
      <c r="Q67" s="13">
        <v>11.3</v>
      </c>
      <c r="R67" s="13">
        <v>44.0</v>
      </c>
      <c r="S67" s="13">
        <v>30.0</v>
      </c>
      <c r="T67" s="13">
        <v>192.0</v>
      </c>
      <c r="U67" s="13">
        <v>6.4</v>
      </c>
      <c r="V67" s="13">
        <v>3.0</v>
      </c>
      <c r="W67" s="13">
        <v>5.0</v>
      </c>
      <c r="X67" s="13">
        <v>34.1</v>
      </c>
      <c r="Y67" s="13">
        <v>47.0</v>
      </c>
      <c r="Z67" s="13">
        <v>1.9</v>
      </c>
      <c r="AA67" s="13">
        <v>12.0</v>
      </c>
      <c r="AB67" s="13">
        <v>68.2</v>
      </c>
      <c r="AC67" s="13">
        <v>4.4</v>
      </c>
      <c r="AD67" s="13">
        <v>210.0</v>
      </c>
      <c r="AE67" s="13">
        <v>4.2</v>
      </c>
      <c r="AF67" s="13">
        <v>892.0</v>
      </c>
      <c r="AG67" s="13">
        <v>3.0</v>
      </c>
      <c r="AH67" s="13">
        <v>3.0</v>
      </c>
      <c r="AI67" s="13">
        <v>5.0</v>
      </c>
      <c r="AJ67" s="13">
        <v>0.0</v>
      </c>
      <c r="AK67" s="12" t="s">
        <v>198</v>
      </c>
      <c r="AL67" s="12" t="s">
        <v>199</v>
      </c>
      <c r="AM67" s="12" t="s">
        <v>200</v>
      </c>
      <c r="AN67" s="12" t="s">
        <v>201</v>
      </c>
      <c r="AO67" s="12" t="s">
        <v>202</v>
      </c>
      <c r="AP67" s="12" t="s">
        <v>86</v>
      </c>
      <c r="AQ67" s="12" t="s">
        <v>203</v>
      </c>
      <c r="AR67" s="12" t="s">
        <v>204</v>
      </c>
      <c r="AS67" s="12" t="s">
        <v>205</v>
      </c>
      <c r="AT67" s="12" t="s">
        <v>206</v>
      </c>
      <c r="AU67" s="12" t="s">
        <v>207</v>
      </c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</row>
    <row r="68">
      <c r="A68" s="12" t="s">
        <v>211</v>
      </c>
      <c r="B68" s="4">
        <v>8.0</v>
      </c>
      <c r="C68" s="13">
        <v>31.0</v>
      </c>
      <c r="D68" s="12" t="s">
        <v>123</v>
      </c>
      <c r="E68" s="12" t="s">
        <v>78</v>
      </c>
      <c r="F68" s="12" t="s">
        <v>79</v>
      </c>
      <c r="G68" s="13">
        <v>12.0</v>
      </c>
      <c r="H68" s="13">
        <v>0.0</v>
      </c>
      <c r="I68" s="13">
        <v>21.0</v>
      </c>
      <c r="J68" s="13">
        <v>60.0</v>
      </c>
      <c r="K68" s="13">
        <v>1.0</v>
      </c>
      <c r="L68" s="13">
        <v>7.0</v>
      </c>
      <c r="M68" s="13">
        <v>47.6</v>
      </c>
      <c r="N68" s="13">
        <v>10.0</v>
      </c>
      <c r="O68" s="13">
        <v>2.9</v>
      </c>
      <c r="P68" s="13">
        <v>5.0</v>
      </c>
      <c r="Q68" s="13">
        <v>1.8</v>
      </c>
      <c r="R68" s="13">
        <v>32.0</v>
      </c>
      <c r="S68" s="13">
        <v>25.0</v>
      </c>
      <c r="T68" s="13">
        <v>192.0</v>
      </c>
      <c r="U68" s="13">
        <v>7.7</v>
      </c>
      <c r="V68" s="13">
        <v>4.0</v>
      </c>
      <c r="W68" s="13">
        <v>10.0</v>
      </c>
      <c r="X68" s="13">
        <v>43.8</v>
      </c>
      <c r="Y68" s="13">
        <v>27.0</v>
      </c>
      <c r="Z68" s="13">
        <v>2.1</v>
      </c>
      <c r="AA68" s="13">
        <v>16.0</v>
      </c>
      <c r="AB68" s="13">
        <v>78.1</v>
      </c>
      <c r="AC68" s="13">
        <v>6.0</v>
      </c>
      <c r="AD68" s="13">
        <v>46.0</v>
      </c>
      <c r="AE68" s="13">
        <v>5.5</v>
      </c>
      <c r="AF68" s="13">
        <v>252.0</v>
      </c>
      <c r="AG68" s="13">
        <v>5.0</v>
      </c>
      <c r="AH68" s="13">
        <v>0.0</v>
      </c>
      <c r="AI68" s="13">
        <v>2.0</v>
      </c>
      <c r="AJ68" s="13">
        <v>0.0</v>
      </c>
      <c r="AK68" s="12" t="s">
        <v>124</v>
      </c>
      <c r="AL68" s="12" t="s">
        <v>125</v>
      </c>
      <c r="AM68" s="14" t="s">
        <v>126</v>
      </c>
      <c r="AN68" s="12" t="s">
        <v>127</v>
      </c>
      <c r="AO68" s="12" t="s">
        <v>128</v>
      </c>
      <c r="AP68" s="12" t="s">
        <v>86</v>
      </c>
      <c r="AQ68" s="12" t="s">
        <v>129</v>
      </c>
      <c r="AR68" s="14" t="s">
        <v>130</v>
      </c>
      <c r="AS68" s="14" t="s">
        <v>131</v>
      </c>
      <c r="AT68" s="12" t="s">
        <v>132</v>
      </c>
      <c r="AU68" s="12" t="s">
        <v>133</v>
      </c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</row>
    <row r="69">
      <c r="A69" s="11" t="s">
        <v>212</v>
      </c>
      <c r="B69" s="8">
        <v>1.0</v>
      </c>
      <c r="C69" s="9">
        <f>IFERROR(__xludf.DUMMYFUNCTION("SPLIT(""21,DET,NFL,RB,15,3,182,945,10,42,46.7,36,5.2,63.0,12.1,71,52,316,6.1,1,20,46.5,24,3.5,21.1,73.2,4.5,234,5.4,1261,11,2,10,PBAP ORoY-4"","","")"),21.0)</f>
        <v>21</v>
      </c>
      <c r="D69" s="9" t="str">
        <f>IFERROR(__xludf.DUMMYFUNCTION("""COMPUTED_VALUE"""),"DET")</f>
        <v>DET</v>
      </c>
      <c r="E69" s="9" t="str">
        <f>IFERROR(__xludf.DUMMYFUNCTION("""COMPUTED_VALUE"""),"NFL")</f>
        <v>NFL</v>
      </c>
      <c r="F69" s="9" t="str">
        <f>IFERROR(__xludf.DUMMYFUNCTION("""COMPUTED_VALUE"""),"RB")</f>
        <v>RB</v>
      </c>
      <c r="G69" s="9">
        <f>IFERROR(__xludf.DUMMYFUNCTION("""COMPUTED_VALUE"""),15.0)</f>
        <v>15</v>
      </c>
      <c r="H69" s="9">
        <f>IFERROR(__xludf.DUMMYFUNCTION("""COMPUTED_VALUE"""),3.0)</f>
        <v>3</v>
      </c>
      <c r="I69" s="9">
        <f>IFERROR(__xludf.DUMMYFUNCTION("""COMPUTED_VALUE"""),182.0)</f>
        <v>182</v>
      </c>
      <c r="J69" s="9">
        <f>IFERROR(__xludf.DUMMYFUNCTION("""COMPUTED_VALUE"""),945.0)</f>
        <v>945</v>
      </c>
      <c r="K69" s="9">
        <f>IFERROR(__xludf.DUMMYFUNCTION("""COMPUTED_VALUE"""),10.0)</f>
        <v>10</v>
      </c>
      <c r="L69" s="9">
        <f>IFERROR(__xludf.DUMMYFUNCTION("""COMPUTED_VALUE"""),42.0)</f>
        <v>42</v>
      </c>
      <c r="M69" s="9">
        <f>IFERROR(__xludf.DUMMYFUNCTION("""COMPUTED_VALUE"""),46.7)</f>
        <v>46.7</v>
      </c>
      <c r="N69" s="9">
        <f>IFERROR(__xludf.DUMMYFUNCTION("""COMPUTED_VALUE"""),36.0)</f>
        <v>36</v>
      </c>
      <c r="O69" s="9">
        <f>IFERROR(__xludf.DUMMYFUNCTION("""COMPUTED_VALUE"""),5.2)</f>
        <v>5.2</v>
      </c>
      <c r="P69" s="9">
        <f>IFERROR(__xludf.DUMMYFUNCTION("""COMPUTED_VALUE"""),63.0)</f>
        <v>63</v>
      </c>
      <c r="Q69" s="9">
        <f>IFERROR(__xludf.DUMMYFUNCTION("""COMPUTED_VALUE"""),12.1)</f>
        <v>12.1</v>
      </c>
      <c r="R69" s="9">
        <f>IFERROR(__xludf.DUMMYFUNCTION("""COMPUTED_VALUE"""),71.0)</f>
        <v>71</v>
      </c>
      <c r="S69" s="9">
        <f>IFERROR(__xludf.DUMMYFUNCTION("""COMPUTED_VALUE"""),52.0)</f>
        <v>52</v>
      </c>
      <c r="T69" s="9">
        <f>IFERROR(__xludf.DUMMYFUNCTION("""COMPUTED_VALUE"""),316.0)</f>
        <v>316</v>
      </c>
      <c r="U69" s="9">
        <f>IFERROR(__xludf.DUMMYFUNCTION("""COMPUTED_VALUE"""),6.1)</f>
        <v>6.1</v>
      </c>
      <c r="V69" s="9">
        <f>IFERROR(__xludf.DUMMYFUNCTION("""COMPUTED_VALUE"""),1.0)</f>
        <v>1</v>
      </c>
      <c r="W69" s="9">
        <f>IFERROR(__xludf.DUMMYFUNCTION("""COMPUTED_VALUE"""),20.0)</f>
        <v>20</v>
      </c>
      <c r="X69" s="9">
        <f>IFERROR(__xludf.DUMMYFUNCTION("""COMPUTED_VALUE"""),46.5)</f>
        <v>46.5</v>
      </c>
      <c r="Y69" s="9">
        <f>IFERROR(__xludf.DUMMYFUNCTION("""COMPUTED_VALUE"""),24.0)</f>
        <v>24</v>
      </c>
      <c r="Z69" s="9">
        <f>IFERROR(__xludf.DUMMYFUNCTION("""COMPUTED_VALUE"""),3.5)</f>
        <v>3.5</v>
      </c>
      <c r="AA69" s="9">
        <f>IFERROR(__xludf.DUMMYFUNCTION("""COMPUTED_VALUE"""),21.1)</f>
        <v>21.1</v>
      </c>
      <c r="AB69" s="9">
        <f>IFERROR(__xludf.DUMMYFUNCTION("""COMPUTED_VALUE"""),73.2)</f>
        <v>73.2</v>
      </c>
      <c r="AC69" s="9">
        <f>IFERROR(__xludf.DUMMYFUNCTION("""COMPUTED_VALUE"""),4.5)</f>
        <v>4.5</v>
      </c>
      <c r="AD69" s="9">
        <f>IFERROR(__xludf.DUMMYFUNCTION("""COMPUTED_VALUE"""),234.0)</f>
        <v>234</v>
      </c>
      <c r="AE69" s="9">
        <f>IFERROR(__xludf.DUMMYFUNCTION("""COMPUTED_VALUE"""),5.4)</f>
        <v>5.4</v>
      </c>
      <c r="AF69" s="9">
        <f>IFERROR(__xludf.DUMMYFUNCTION("""COMPUTED_VALUE"""),1261.0)</f>
        <v>1261</v>
      </c>
      <c r="AG69" s="9">
        <f>IFERROR(__xludf.DUMMYFUNCTION("""COMPUTED_VALUE"""),11.0)</f>
        <v>11</v>
      </c>
      <c r="AH69" s="9">
        <f>IFERROR(__xludf.DUMMYFUNCTION("""COMPUTED_VALUE"""),2.0)</f>
        <v>2</v>
      </c>
      <c r="AI69" s="9">
        <f>IFERROR(__xludf.DUMMYFUNCTION("""COMPUTED_VALUE"""),10.0)</f>
        <v>10</v>
      </c>
      <c r="AJ69" s="9" t="str">
        <f>IFERROR(__xludf.DUMMYFUNCTION("""COMPUTED_VALUE"""),"PBAP ORoY-4")</f>
        <v>PBAP ORoY-4</v>
      </c>
      <c r="AK69" s="6" t="str">
        <f>IFERROR(__xludf.DUMMYFUNCTION("SPLIT(""Dan Campbell,Ben Johnson,Jared Goff,Josh Reynolds,Amon-Ra St. Brown,N/A,Taylor Decker,Jonah Jackson,Frank Ragnow,Graham Glasgow,Penei Sewell"","","")"),"Dan Campbell")</f>
        <v>Dan Campbell</v>
      </c>
      <c r="AL69" s="9" t="str">
        <f>IFERROR(__xludf.DUMMYFUNCTION("""COMPUTED_VALUE"""),"Ben Johnson")</f>
        <v>Ben Johnson</v>
      </c>
      <c r="AM69" s="9" t="str">
        <f>IFERROR(__xludf.DUMMYFUNCTION("""COMPUTED_VALUE"""),"Jared Goff")</f>
        <v>Jared Goff</v>
      </c>
      <c r="AN69" s="9" t="str">
        <f>IFERROR(__xludf.DUMMYFUNCTION("""COMPUTED_VALUE"""),"Josh Reynolds")</f>
        <v>Josh Reynolds</v>
      </c>
      <c r="AO69" s="9" t="str">
        <f>IFERROR(__xludf.DUMMYFUNCTION("""COMPUTED_VALUE"""),"Amon-Ra St. Brown")</f>
        <v>Amon-Ra St. Brown</v>
      </c>
      <c r="AP69" s="9" t="str">
        <f>IFERROR(__xludf.DUMMYFUNCTION("""COMPUTED_VALUE"""),"N/A")</f>
        <v>N/A</v>
      </c>
      <c r="AQ69" s="9" t="str">
        <f>IFERROR(__xludf.DUMMYFUNCTION("""COMPUTED_VALUE"""),"Taylor Decker")</f>
        <v>Taylor Decker</v>
      </c>
      <c r="AR69" s="9" t="str">
        <f>IFERROR(__xludf.DUMMYFUNCTION("""COMPUTED_VALUE"""),"Jonah Jackson")</f>
        <v>Jonah Jackson</v>
      </c>
      <c r="AS69" s="9" t="str">
        <f>IFERROR(__xludf.DUMMYFUNCTION("""COMPUTED_VALUE"""),"Frank Ragnow")</f>
        <v>Frank Ragnow</v>
      </c>
      <c r="AT69" s="9" t="str">
        <f>IFERROR(__xludf.DUMMYFUNCTION("""COMPUTED_VALUE"""),"Graham Glasgow")</f>
        <v>Graham Glasgow</v>
      </c>
      <c r="AU69" s="9" t="str">
        <f>IFERROR(__xludf.DUMMYFUNCTION("""COMPUTED_VALUE"""),"Penei Sewell")</f>
        <v>Penei Sewell</v>
      </c>
    </row>
    <row r="70">
      <c r="A70" s="16" t="s">
        <v>50</v>
      </c>
      <c r="B70" s="16">
        <v>7.0</v>
      </c>
      <c r="C70" s="17">
        <f>IFERROR(__xludf.DUMMYFUNCTION("SPLIT(""27,PHI,NFL,RB,13,13,266,1623,11,64,56.0,72,6.1,124.8,20.5,38,29,267,9.2,2,12,42.1,43,2.2,20.5,76.3,7.0,295,6.4,1890,13,2,0,0"","","")"),27.0)</f>
        <v>27</v>
      </c>
      <c r="D70" s="17" t="str">
        <f>IFERROR(__xludf.DUMMYFUNCTION("""COMPUTED_VALUE"""),"PHI")</f>
        <v>PHI</v>
      </c>
      <c r="E70" s="17" t="str">
        <f>IFERROR(__xludf.DUMMYFUNCTION("""COMPUTED_VALUE"""),"NFL")</f>
        <v>NFL</v>
      </c>
      <c r="F70" s="17" t="str">
        <f>IFERROR(__xludf.DUMMYFUNCTION("""COMPUTED_VALUE"""),"RB")</f>
        <v>RB</v>
      </c>
      <c r="G70" s="17">
        <f>IFERROR(__xludf.DUMMYFUNCTION("""COMPUTED_VALUE"""),13.0)</f>
        <v>13</v>
      </c>
      <c r="H70" s="17">
        <f>IFERROR(__xludf.DUMMYFUNCTION("""COMPUTED_VALUE"""),13.0)</f>
        <v>13</v>
      </c>
      <c r="I70" s="17">
        <f>IFERROR(__xludf.DUMMYFUNCTION("""COMPUTED_VALUE"""),266.0)</f>
        <v>266</v>
      </c>
      <c r="J70" s="17">
        <f>IFERROR(__xludf.DUMMYFUNCTION("""COMPUTED_VALUE"""),1623.0)</f>
        <v>1623</v>
      </c>
      <c r="K70" s="17">
        <f>IFERROR(__xludf.DUMMYFUNCTION("""COMPUTED_VALUE"""),11.0)</f>
        <v>11</v>
      </c>
      <c r="L70" s="17">
        <f>IFERROR(__xludf.DUMMYFUNCTION("""COMPUTED_VALUE"""),64.0)</f>
        <v>64</v>
      </c>
      <c r="M70" s="17">
        <f>IFERROR(__xludf.DUMMYFUNCTION("""COMPUTED_VALUE"""),56.0)</f>
        <v>56</v>
      </c>
      <c r="N70" s="17">
        <f>IFERROR(__xludf.DUMMYFUNCTION("""COMPUTED_VALUE"""),72.0)</f>
        <v>72</v>
      </c>
      <c r="O70" s="17">
        <f>IFERROR(__xludf.DUMMYFUNCTION("""COMPUTED_VALUE"""),6.1)</f>
        <v>6.1</v>
      </c>
      <c r="P70" s="17">
        <f>IFERROR(__xludf.DUMMYFUNCTION("""COMPUTED_VALUE"""),124.8)</f>
        <v>124.8</v>
      </c>
      <c r="Q70" s="17">
        <f>IFERROR(__xludf.DUMMYFUNCTION("""COMPUTED_VALUE"""),20.5)</f>
        <v>20.5</v>
      </c>
      <c r="R70" s="17">
        <f>IFERROR(__xludf.DUMMYFUNCTION("""COMPUTED_VALUE"""),38.0)</f>
        <v>38</v>
      </c>
      <c r="S70" s="17">
        <f>IFERROR(__xludf.DUMMYFUNCTION("""COMPUTED_VALUE"""),29.0)</f>
        <v>29</v>
      </c>
      <c r="T70" s="17">
        <f>IFERROR(__xludf.DUMMYFUNCTION("""COMPUTED_VALUE"""),267.0)</f>
        <v>267</v>
      </c>
      <c r="U70" s="17">
        <f>IFERROR(__xludf.DUMMYFUNCTION("""COMPUTED_VALUE"""),9.2)</f>
        <v>9.2</v>
      </c>
      <c r="V70" s="17">
        <f>IFERROR(__xludf.DUMMYFUNCTION("""COMPUTED_VALUE"""),2.0)</f>
        <v>2</v>
      </c>
      <c r="W70" s="17">
        <f>IFERROR(__xludf.DUMMYFUNCTION("""COMPUTED_VALUE"""),12.0)</f>
        <v>12</v>
      </c>
      <c r="X70" s="17">
        <f>IFERROR(__xludf.DUMMYFUNCTION("""COMPUTED_VALUE"""),42.1)</f>
        <v>42.1</v>
      </c>
      <c r="Y70" s="17">
        <f>IFERROR(__xludf.DUMMYFUNCTION("""COMPUTED_VALUE"""),43.0)</f>
        <v>43</v>
      </c>
      <c r="Z70" s="17">
        <f>IFERROR(__xludf.DUMMYFUNCTION("""COMPUTED_VALUE"""),2.2)</f>
        <v>2.2</v>
      </c>
      <c r="AA70" s="17">
        <f>IFERROR(__xludf.DUMMYFUNCTION("""COMPUTED_VALUE"""),20.5)</f>
        <v>20.5</v>
      </c>
      <c r="AB70" s="17">
        <f>IFERROR(__xludf.DUMMYFUNCTION("""COMPUTED_VALUE"""),76.3)</f>
        <v>76.3</v>
      </c>
      <c r="AC70" s="17">
        <f>IFERROR(__xludf.DUMMYFUNCTION("""COMPUTED_VALUE"""),7.0)</f>
        <v>7</v>
      </c>
      <c r="AD70" s="17">
        <f>IFERROR(__xludf.DUMMYFUNCTION("""COMPUTED_VALUE"""),295.0)</f>
        <v>295</v>
      </c>
      <c r="AE70" s="17">
        <f>IFERROR(__xludf.DUMMYFUNCTION("""COMPUTED_VALUE"""),6.4)</f>
        <v>6.4</v>
      </c>
      <c r="AF70" s="17">
        <f>IFERROR(__xludf.DUMMYFUNCTION("""COMPUTED_VALUE"""),1890.0)</f>
        <v>1890</v>
      </c>
      <c r="AG70" s="17">
        <f>IFERROR(__xludf.DUMMYFUNCTION("""COMPUTED_VALUE"""),13.0)</f>
        <v>13</v>
      </c>
      <c r="AH70" s="17">
        <f>IFERROR(__xludf.DUMMYFUNCTION("""COMPUTED_VALUE"""),2.0)</f>
        <v>2</v>
      </c>
      <c r="AI70" s="17">
        <f>IFERROR(__xludf.DUMMYFUNCTION("""COMPUTED_VALUE"""),0.0)</f>
        <v>0</v>
      </c>
      <c r="AJ70" s="17">
        <f>IFERROR(__xludf.DUMMYFUNCTION("""COMPUTED_VALUE"""),0.0)</f>
        <v>0</v>
      </c>
      <c r="AK70" s="18" t="str">
        <f>IFERROR(__xludf.DUMMYFUNCTION("SPLIT(""Nick Sirianni,Kellen Moore,Jalen Hurts,A.J. Brown,DeVonta Smith,Dallas Goedert,Jordan Mailata,Mekhi Becton,Cam Jurgens,Landon Dickerson,Lane Johnson"","","")"),"Nick Sirianni")</f>
        <v>Nick Sirianni</v>
      </c>
      <c r="AL70" s="17" t="str">
        <f>IFERROR(__xludf.DUMMYFUNCTION("""COMPUTED_VALUE"""),"Kellen Moore")</f>
        <v>Kellen Moore</v>
      </c>
      <c r="AM70" s="17" t="str">
        <f>IFERROR(__xludf.DUMMYFUNCTION("""COMPUTED_VALUE"""),"Jalen Hurts")</f>
        <v>Jalen Hurts</v>
      </c>
      <c r="AN70" s="17" t="str">
        <f>IFERROR(__xludf.DUMMYFUNCTION("""COMPUTED_VALUE"""),"A.J. Brown")</f>
        <v>A.J. Brown</v>
      </c>
      <c r="AO70" s="17" t="str">
        <f>IFERROR(__xludf.DUMMYFUNCTION("""COMPUTED_VALUE"""),"DeVonta Smith")</f>
        <v>DeVonta Smith</v>
      </c>
      <c r="AP70" s="17" t="str">
        <f>IFERROR(__xludf.DUMMYFUNCTION("""COMPUTED_VALUE"""),"Dallas Goedert")</f>
        <v>Dallas Goedert</v>
      </c>
      <c r="AQ70" s="17" t="str">
        <f>IFERROR(__xludf.DUMMYFUNCTION("""COMPUTED_VALUE"""),"Jordan Mailata")</f>
        <v>Jordan Mailata</v>
      </c>
      <c r="AR70" s="17" t="str">
        <f>IFERROR(__xludf.DUMMYFUNCTION("""COMPUTED_VALUE"""),"Mekhi Becton")</f>
        <v>Mekhi Becton</v>
      </c>
      <c r="AS70" s="17" t="str">
        <f>IFERROR(__xludf.DUMMYFUNCTION("""COMPUTED_VALUE"""),"Cam Jurgens")</f>
        <v>Cam Jurgens</v>
      </c>
      <c r="AT70" s="17" t="str">
        <f>IFERROR(__xludf.DUMMYFUNCTION("""COMPUTED_VALUE"""),"Landon Dickerson")</f>
        <v>Landon Dickerson</v>
      </c>
      <c r="AU70" s="17" t="str">
        <f>IFERROR(__xludf.DUMMYFUNCTION("""COMPUTED_VALUE"""),"Lane Johnson")</f>
        <v>Lane Johnson</v>
      </c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</row>
    <row r="71">
      <c r="A71" s="19" t="s">
        <v>47</v>
      </c>
      <c r="B71" s="16">
        <v>4.0</v>
      </c>
      <c r="C71" s="17">
        <f>IFERROR(__xludf.DUMMYFUNCTION("SPLIT(""26,NWE,NFL,RB,12,11,180,671,6,32,48.3,33,3.7,55.9,15.0,38,31,139,4.5,1,6,36.8,14,2.6,11.6,81.6,3.7,211,3.8,810,7,6,0,0"","","")"),26.0)</f>
        <v>26</v>
      </c>
      <c r="D71" s="17" t="str">
        <f>IFERROR(__xludf.DUMMYFUNCTION("""COMPUTED_VALUE"""),"NWE")</f>
        <v>NWE</v>
      </c>
      <c r="E71" s="17" t="str">
        <f>IFERROR(__xludf.DUMMYFUNCTION("""COMPUTED_VALUE"""),"NFL")</f>
        <v>NFL</v>
      </c>
      <c r="F71" s="17" t="str">
        <f>IFERROR(__xludf.DUMMYFUNCTION("""COMPUTED_VALUE"""),"RB")</f>
        <v>RB</v>
      </c>
      <c r="G71" s="17">
        <f>IFERROR(__xludf.DUMMYFUNCTION("""COMPUTED_VALUE"""),12.0)</f>
        <v>12</v>
      </c>
      <c r="H71" s="17">
        <f>IFERROR(__xludf.DUMMYFUNCTION("""COMPUTED_VALUE"""),11.0)</f>
        <v>11</v>
      </c>
      <c r="I71" s="17">
        <f>IFERROR(__xludf.DUMMYFUNCTION("""COMPUTED_VALUE"""),180.0)</f>
        <v>180</v>
      </c>
      <c r="J71" s="17">
        <f>IFERROR(__xludf.DUMMYFUNCTION("""COMPUTED_VALUE"""),671.0)</f>
        <v>671</v>
      </c>
      <c r="K71" s="17">
        <f>IFERROR(__xludf.DUMMYFUNCTION("""COMPUTED_VALUE"""),6.0)</f>
        <v>6</v>
      </c>
      <c r="L71" s="17">
        <f>IFERROR(__xludf.DUMMYFUNCTION("""COMPUTED_VALUE"""),32.0)</f>
        <v>32</v>
      </c>
      <c r="M71" s="17">
        <f>IFERROR(__xludf.DUMMYFUNCTION("""COMPUTED_VALUE"""),48.3)</f>
        <v>48.3</v>
      </c>
      <c r="N71" s="17">
        <f>IFERROR(__xludf.DUMMYFUNCTION("""COMPUTED_VALUE"""),33.0)</f>
        <v>33</v>
      </c>
      <c r="O71" s="17">
        <f>IFERROR(__xludf.DUMMYFUNCTION("""COMPUTED_VALUE"""),3.7)</f>
        <v>3.7</v>
      </c>
      <c r="P71" s="17">
        <f>IFERROR(__xludf.DUMMYFUNCTION("""COMPUTED_VALUE"""),55.9)</f>
        <v>55.9</v>
      </c>
      <c r="Q71" s="17">
        <f>IFERROR(__xludf.DUMMYFUNCTION("""COMPUTED_VALUE"""),15.0)</f>
        <v>15</v>
      </c>
      <c r="R71" s="17">
        <f>IFERROR(__xludf.DUMMYFUNCTION("""COMPUTED_VALUE"""),38.0)</f>
        <v>38</v>
      </c>
      <c r="S71" s="17">
        <f>IFERROR(__xludf.DUMMYFUNCTION("""COMPUTED_VALUE"""),31.0)</f>
        <v>31</v>
      </c>
      <c r="T71" s="17">
        <f>IFERROR(__xludf.DUMMYFUNCTION("""COMPUTED_VALUE"""),139.0)</f>
        <v>139</v>
      </c>
      <c r="U71" s="17">
        <f>IFERROR(__xludf.DUMMYFUNCTION("""COMPUTED_VALUE"""),4.5)</f>
        <v>4.5</v>
      </c>
      <c r="V71" s="17">
        <f>IFERROR(__xludf.DUMMYFUNCTION("""COMPUTED_VALUE"""),1.0)</f>
        <v>1</v>
      </c>
      <c r="W71" s="17">
        <f>IFERROR(__xludf.DUMMYFUNCTION("""COMPUTED_VALUE"""),6.0)</f>
        <v>6</v>
      </c>
      <c r="X71" s="17">
        <f>IFERROR(__xludf.DUMMYFUNCTION("""COMPUTED_VALUE"""),36.8)</f>
        <v>36.8</v>
      </c>
      <c r="Y71" s="17">
        <f>IFERROR(__xludf.DUMMYFUNCTION("""COMPUTED_VALUE"""),14.0)</f>
        <v>14</v>
      </c>
      <c r="Z71" s="17">
        <f>IFERROR(__xludf.DUMMYFUNCTION("""COMPUTED_VALUE"""),2.6)</f>
        <v>2.6</v>
      </c>
      <c r="AA71" s="17">
        <f>IFERROR(__xludf.DUMMYFUNCTION("""COMPUTED_VALUE"""),11.6)</f>
        <v>11.6</v>
      </c>
      <c r="AB71" s="17">
        <f>IFERROR(__xludf.DUMMYFUNCTION("""COMPUTED_VALUE"""),81.6)</f>
        <v>81.6</v>
      </c>
      <c r="AC71" s="17">
        <f>IFERROR(__xludf.DUMMYFUNCTION("""COMPUTED_VALUE"""),3.7)</f>
        <v>3.7</v>
      </c>
      <c r="AD71" s="17">
        <f>IFERROR(__xludf.DUMMYFUNCTION("""COMPUTED_VALUE"""),211.0)</f>
        <v>211</v>
      </c>
      <c r="AE71" s="17">
        <f>IFERROR(__xludf.DUMMYFUNCTION("""COMPUTED_VALUE"""),3.8)</f>
        <v>3.8</v>
      </c>
      <c r="AF71" s="17">
        <f>IFERROR(__xludf.DUMMYFUNCTION("""COMPUTED_VALUE"""),810.0)</f>
        <v>810</v>
      </c>
      <c r="AG71" s="17">
        <f>IFERROR(__xludf.DUMMYFUNCTION("""COMPUTED_VALUE"""),7.0)</f>
        <v>7</v>
      </c>
      <c r="AH71" s="17">
        <f>IFERROR(__xludf.DUMMYFUNCTION("""COMPUTED_VALUE"""),6.0)</f>
        <v>6</v>
      </c>
      <c r="AI71" s="17">
        <f>IFERROR(__xludf.DUMMYFUNCTION("""COMPUTED_VALUE"""),0.0)</f>
        <v>0</v>
      </c>
      <c r="AJ71" s="17">
        <f>IFERROR(__xludf.DUMMYFUNCTION("""COMPUTED_VALUE"""),0.0)</f>
        <v>0</v>
      </c>
      <c r="AK71" s="18" t="str">
        <f>IFERROR(__xludf.DUMMYFUNCTION("SPLIT(""Jerod Mayo,Alex Van Pelt,Drake Maye,Demario Douglass,Kendrick Bourne,N/A,Vederian Lowe,Layden Robinson,Ben Brown,Mike Onwenu,Demontrey Jacobs"","","")"),"Jerod Mayo")</f>
        <v>Jerod Mayo</v>
      </c>
      <c r="AL71" s="17" t="str">
        <f>IFERROR(__xludf.DUMMYFUNCTION("""COMPUTED_VALUE"""),"Alex Van Pelt")</f>
        <v>Alex Van Pelt</v>
      </c>
      <c r="AM71" s="17" t="str">
        <f>IFERROR(__xludf.DUMMYFUNCTION("""COMPUTED_VALUE"""),"Drake Maye")</f>
        <v>Drake Maye</v>
      </c>
      <c r="AN71" s="17" t="str">
        <f>IFERROR(__xludf.DUMMYFUNCTION("""COMPUTED_VALUE"""),"Demario Douglass")</f>
        <v>Demario Douglass</v>
      </c>
      <c r="AO71" s="17" t="str">
        <f>IFERROR(__xludf.DUMMYFUNCTION("""COMPUTED_VALUE"""),"Kendrick Bourne")</f>
        <v>Kendrick Bourne</v>
      </c>
      <c r="AP71" s="17" t="str">
        <f>IFERROR(__xludf.DUMMYFUNCTION("""COMPUTED_VALUE"""),"N/A")</f>
        <v>N/A</v>
      </c>
      <c r="AQ71" s="17" t="str">
        <f>IFERROR(__xludf.DUMMYFUNCTION("""COMPUTED_VALUE"""),"Vederian Lowe")</f>
        <v>Vederian Lowe</v>
      </c>
      <c r="AR71" s="17" t="str">
        <f>IFERROR(__xludf.DUMMYFUNCTION("""COMPUTED_VALUE"""),"Layden Robinson")</f>
        <v>Layden Robinson</v>
      </c>
      <c r="AS71" s="17" t="str">
        <f>IFERROR(__xludf.DUMMYFUNCTION("""COMPUTED_VALUE"""),"Ben Brown")</f>
        <v>Ben Brown</v>
      </c>
      <c r="AT71" s="17" t="str">
        <f>IFERROR(__xludf.DUMMYFUNCTION("""COMPUTED_VALUE"""),"Mike Onwenu")</f>
        <v>Mike Onwenu</v>
      </c>
      <c r="AU71" s="17" t="str">
        <f>IFERROR(__xludf.DUMMYFUNCTION("""COMPUTED_VALUE"""),"Demontrey Jacobs")</f>
        <v>Demontrey Jacobs</v>
      </c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</row>
    <row r="72">
      <c r="A72" s="19" t="s">
        <v>64</v>
      </c>
      <c r="B72" s="16">
        <v>9.0</v>
      </c>
      <c r="C72" s="17">
        <f>IFERROR(__xludf.DUMMYFUNCTION("SPLIT(""30,BAL,NFL,RB,13,13,240,1407,13,65,57.1,87,5.9,108.2,18.5,15,13,125,9.6,2,7,60.0,27,1.0,9.6,86.7,8.3,253,6.1,1532,15,3,0,0"","","")"),30.0)</f>
        <v>30</v>
      </c>
      <c r="D72" s="17" t="str">
        <f>IFERROR(__xludf.DUMMYFUNCTION("""COMPUTED_VALUE"""),"BAL")</f>
        <v>BAL</v>
      </c>
      <c r="E72" s="17" t="str">
        <f>IFERROR(__xludf.DUMMYFUNCTION("""COMPUTED_VALUE"""),"NFL")</f>
        <v>NFL</v>
      </c>
      <c r="F72" s="17" t="str">
        <f>IFERROR(__xludf.DUMMYFUNCTION("""COMPUTED_VALUE"""),"RB")</f>
        <v>RB</v>
      </c>
      <c r="G72" s="17">
        <f>IFERROR(__xludf.DUMMYFUNCTION("""COMPUTED_VALUE"""),13.0)</f>
        <v>13</v>
      </c>
      <c r="H72" s="17">
        <f>IFERROR(__xludf.DUMMYFUNCTION("""COMPUTED_VALUE"""),13.0)</f>
        <v>13</v>
      </c>
      <c r="I72" s="17">
        <f>IFERROR(__xludf.DUMMYFUNCTION("""COMPUTED_VALUE"""),240.0)</f>
        <v>240</v>
      </c>
      <c r="J72" s="17">
        <f>IFERROR(__xludf.DUMMYFUNCTION("""COMPUTED_VALUE"""),1407.0)</f>
        <v>1407</v>
      </c>
      <c r="K72" s="17">
        <f>IFERROR(__xludf.DUMMYFUNCTION("""COMPUTED_VALUE"""),13.0)</f>
        <v>13</v>
      </c>
      <c r="L72" s="17">
        <f>IFERROR(__xludf.DUMMYFUNCTION("""COMPUTED_VALUE"""),65.0)</f>
        <v>65</v>
      </c>
      <c r="M72" s="17">
        <f>IFERROR(__xludf.DUMMYFUNCTION("""COMPUTED_VALUE"""),57.1)</f>
        <v>57.1</v>
      </c>
      <c r="N72" s="17">
        <f>IFERROR(__xludf.DUMMYFUNCTION("""COMPUTED_VALUE"""),87.0)</f>
        <v>87</v>
      </c>
      <c r="O72" s="17">
        <f>IFERROR(__xludf.DUMMYFUNCTION("""COMPUTED_VALUE"""),5.9)</f>
        <v>5.9</v>
      </c>
      <c r="P72" s="17">
        <f>IFERROR(__xludf.DUMMYFUNCTION("""COMPUTED_VALUE"""),108.2)</f>
        <v>108.2</v>
      </c>
      <c r="Q72" s="17">
        <f>IFERROR(__xludf.DUMMYFUNCTION("""COMPUTED_VALUE"""),18.5)</f>
        <v>18.5</v>
      </c>
      <c r="R72" s="17">
        <f>IFERROR(__xludf.DUMMYFUNCTION("""COMPUTED_VALUE"""),15.0)</f>
        <v>15</v>
      </c>
      <c r="S72" s="17">
        <f>IFERROR(__xludf.DUMMYFUNCTION("""COMPUTED_VALUE"""),13.0)</f>
        <v>13</v>
      </c>
      <c r="T72" s="17">
        <f>IFERROR(__xludf.DUMMYFUNCTION("""COMPUTED_VALUE"""),125.0)</f>
        <v>125</v>
      </c>
      <c r="U72" s="17">
        <f>IFERROR(__xludf.DUMMYFUNCTION("""COMPUTED_VALUE"""),9.6)</f>
        <v>9.6</v>
      </c>
      <c r="V72" s="17">
        <f>IFERROR(__xludf.DUMMYFUNCTION("""COMPUTED_VALUE"""),2.0)</f>
        <v>2</v>
      </c>
      <c r="W72" s="17">
        <f>IFERROR(__xludf.DUMMYFUNCTION("""COMPUTED_VALUE"""),7.0)</f>
        <v>7</v>
      </c>
      <c r="X72" s="17">
        <f>IFERROR(__xludf.DUMMYFUNCTION("""COMPUTED_VALUE"""),60.0)</f>
        <v>60</v>
      </c>
      <c r="Y72" s="17">
        <f>IFERROR(__xludf.DUMMYFUNCTION("""COMPUTED_VALUE"""),27.0)</f>
        <v>27</v>
      </c>
      <c r="Z72" s="17">
        <f>IFERROR(__xludf.DUMMYFUNCTION("""COMPUTED_VALUE"""),1.0)</f>
        <v>1</v>
      </c>
      <c r="AA72" s="17">
        <f>IFERROR(__xludf.DUMMYFUNCTION("""COMPUTED_VALUE"""),9.6)</f>
        <v>9.6</v>
      </c>
      <c r="AB72" s="17">
        <f>IFERROR(__xludf.DUMMYFUNCTION("""COMPUTED_VALUE"""),86.7)</f>
        <v>86.7</v>
      </c>
      <c r="AC72" s="17">
        <f>IFERROR(__xludf.DUMMYFUNCTION("""COMPUTED_VALUE"""),8.3)</f>
        <v>8.3</v>
      </c>
      <c r="AD72" s="17">
        <f>IFERROR(__xludf.DUMMYFUNCTION("""COMPUTED_VALUE"""),253.0)</f>
        <v>253</v>
      </c>
      <c r="AE72" s="17">
        <f>IFERROR(__xludf.DUMMYFUNCTION("""COMPUTED_VALUE"""),6.1)</f>
        <v>6.1</v>
      </c>
      <c r="AF72" s="17">
        <f>IFERROR(__xludf.DUMMYFUNCTION("""COMPUTED_VALUE"""),1532.0)</f>
        <v>1532</v>
      </c>
      <c r="AG72" s="17">
        <f>IFERROR(__xludf.DUMMYFUNCTION("""COMPUTED_VALUE"""),15.0)</f>
        <v>15</v>
      </c>
      <c r="AH72" s="17">
        <f>IFERROR(__xludf.DUMMYFUNCTION("""COMPUTED_VALUE"""),3.0)</f>
        <v>3</v>
      </c>
      <c r="AI72" s="17">
        <f>IFERROR(__xludf.DUMMYFUNCTION("""COMPUTED_VALUE"""),0.0)</f>
        <v>0</v>
      </c>
      <c r="AJ72" s="17">
        <f>IFERROR(__xludf.DUMMYFUNCTION("""COMPUTED_VALUE"""),0.0)</f>
        <v>0</v>
      </c>
      <c r="AK72" s="18" t="str">
        <f>IFERROR(__xludf.DUMMYFUNCTION("SPLIT(""John Harbaugh,Todd Monken,Lamar Jackson,Zay Flowers,Rashod Bateman,N/A,Ronnie Stanley,Patrick Mekari,Tyler Linderbaum,Daniel Faalele,Roger Rosengarten"","","")"),"John Harbaugh")</f>
        <v>John Harbaugh</v>
      </c>
      <c r="AL72" s="17" t="str">
        <f>IFERROR(__xludf.DUMMYFUNCTION("""COMPUTED_VALUE"""),"Todd Monken")</f>
        <v>Todd Monken</v>
      </c>
      <c r="AM72" s="17" t="str">
        <f>IFERROR(__xludf.DUMMYFUNCTION("""COMPUTED_VALUE"""),"Lamar Jackson")</f>
        <v>Lamar Jackson</v>
      </c>
      <c r="AN72" s="17" t="str">
        <f>IFERROR(__xludf.DUMMYFUNCTION("""COMPUTED_VALUE"""),"Zay Flowers")</f>
        <v>Zay Flowers</v>
      </c>
      <c r="AO72" s="17" t="str">
        <f>IFERROR(__xludf.DUMMYFUNCTION("""COMPUTED_VALUE"""),"Rashod Bateman")</f>
        <v>Rashod Bateman</v>
      </c>
      <c r="AP72" s="17" t="str">
        <f>IFERROR(__xludf.DUMMYFUNCTION("""COMPUTED_VALUE"""),"N/A")</f>
        <v>N/A</v>
      </c>
      <c r="AQ72" s="17" t="str">
        <f>IFERROR(__xludf.DUMMYFUNCTION("""COMPUTED_VALUE"""),"Ronnie Stanley")</f>
        <v>Ronnie Stanley</v>
      </c>
      <c r="AR72" s="17" t="str">
        <f>IFERROR(__xludf.DUMMYFUNCTION("""COMPUTED_VALUE"""),"Patrick Mekari")</f>
        <v>Patrick Mekari</v>
      </c>
      <c r="AS72" s="17" t="str">
        <f>IFERROR(__xludf.DUMMYFUNCTION("""COMPUTED_VALUE"""),"Tyler Linderbaum")</f>
        <v>Tyler Linderbaum</v>
      </c>
      <c r="AT72" s="17" t="str">
        <f>IFERROR(__xludf.DUMMYFUNCTION("""COMPUTED_VALUE"""),"Daniel Faalele")</f>
        <v>Daniel Faalele</v>
      </c>
      <c r="AU72" s="17" t="str">
        <f>IFERROR(__xludf.DUMMYFUNCTION("""COMPUTED_VALUE"""),"Roger Rosengarten")</f>
        <v>Roger Rosengarten</v>
      </c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</row>
    <row r="73">
      <c r="A73" s="16" t="s">
        <v>97</v>
      </c>
      <c r="B73" s="16">
        <v>6.0</v>
      </c>
      <c r="C73" s="17">
        <f>IFERROR(__xludf.DUMMYFUNCTION("SPLIT(""27,DET,NFL,RB,13,13,180,771,12,50,56.7,21,4.3,59.3,13.8,34,32,310,9.7,0,14,73.5,40,2.5,23.8,94.1,9.1,212,5.1,1081,12,2,0,0"","","")"),27.0)</f>
        <v>27</v>
      </c>
      <c r="D73" s="17" t="str">
        <f>IFERROR(__xludf.DUMMYFUNCTION("""COMPUTED_VALUE"""),"DET")</f>
        <v>DET</v>
      </c>
      <c r="E73" s="17" t="str">
        <f>IFERROR(__xludf.DUMMYFUNCTION("""COMPUTED_VALUE"""),"NFL")</f>
        <v>NFL</v>
      </c>
      <c r="F73" s="17" t="str">
        <f>IFERROR(__xludf.DUMMYFUNCTION("""COMPUTED_VALUE"""),"RB")</f>
        <v>RB</v>
      </c>
      <c r="G73" s="17">
        <f>IFERROR(__xludf.DUMMYFUNCTION("""COMPUTED_VALUE"""),13.0)</f>
        <v>13</v>
      </c>
      <c r="H73" s="17">
        <f>IFERROR(__xludf.DUMMYFUNCTION("""COMPUTED_VALUE"""),13.0)</f>
        <v>13</v>
      </c>
      <c r="I73" s="17">
        <f>IFERROR(__xludf.DUMMYFUNCTION("""COMPUTED_VALUE"""),180.0)</f>
        <v>180</v>
      </c>
      <c r="J73" s="17">
        <f>IFERROR(__xludf.DUMMYFUNCTION("""COMPUTED_VALUE"""),771.0)</f>
        <v>771</v>
      </c>
      <c r="K73" s="17">
        <f>IFERROR(__xludf.DUMMYFUNCTION("""COMPUTED_VALUE"""),12.0)</f>
        <v>12</v>
      </c>
      <c r="L73" s="17">
        <f>IFERROR(__xludf.DUMMYFUNCTION("""COMPUTED_VALUE"""),50.0)</f>
        <v>50</v>
      </c>
      <c r="M73" s="17">
        <f>IFERROR(__xludf.DUMMYFUNCTION("""COMPUTED_VALUE"""),56.7)</f>
        <v>56.7</v>
      </c>
      <c r="N73" s="17">
        <f>IFERROR(__xludf.DUMMYFUNCTION("""COMPUTED_VALUE"""),21.0)</f>
        <v>21</v>
      </c>
      <c r="O73" s="17">
        <f>IFERROR(__xludf.DUMMYFUNCTION("""COMPUTED_VALUE"""),4.3)</f>
        <v>4.3</v>
      </c>
      <c r="P73" s="17">
        <f>IFERROR(__xludf.DUMMYFUNCTION("""COMPUTED_VALUE"""),59.3)</f>
        <v>59.3</v>
      </c>
      <c r="Q73" s="17">
        <f>IFERROR(__xludf.DUMMYFUNCTION("""COMPUTED_VALUE"""),13.8)</f>
        <v>13.8</v>
      </c>
      <c r="R73" s="17">
        <f>IFERROR(__xludf.DUMMYFUNCTION("""COMPUTED_VALUE"""),34.0)</f>
        <v>34</v>
      </c>
      <c r="S73" s="17">
        <f>IFERROR(__xludf.DUMMYFUNCTION("""COMPUTED_VALUE"""),32.0)</f>
        <v>32</v>
      </c>
      <c r="T73" s="17">
        <f>IFERROR(__xludf.DUMMYFUNCTION("""COMPUTED_VALUE"""),310.0)</f>
        <v>310</v>
      </c>
      <c r="U73" s="17">
        <f>IFERROR(__xludf.DUMMYFUNCTION("""COMPUTED_VALUE"""),9.7)</f>
        <v>9.7</v>
      </c>
      <c r="V73" s="17">
        <f>IFERROR(__xludf.DUMMYFUNCTION("""COMPUTED_VALUE"""),0.0)</f>
        <v>0</v>
      </c>
      <c r="W73" s="17">
        <f>IFERROR(__xludf.DUMMYFUNCTION("""COMPUTED_VALUE"""),14.0)</f>
        <v>14</v>
      </c>
      <c r="X73" s="17">
        <f>IFERROR(__xludf.DUMMYFUNCTION("""COMPUTED_VALUE"""),73.5)</f>
        <v>73.5</v>
      </c>
      <c r="Y73" s="17">
        <f>IFERROR(__xludf.DUMMYFUNCTION("""COMPUTED_VALUE"""),40.0)</f>
        <v>40</v>
      </c>
      <c r="Z73" s="17">
        <f>IFERROR(__xludf.DUMMYFUNCTION("""COMPUTED_VALUE"""),2.5)</f>
        <v>2.5</v>
      </c>
      <c r="AA73" s="17">
        <f>IFERROR(__xludf.DUMMYFUNCTION("""COMPUTED_VALUE"""),23.8)</f>
        <v>23.8</v>
      </c>
      <c r="AB73" s="17">
        <f>IFERROR(__xludf.DUMMYFUNCTION("""COMPUTED_VALUE"""),94.1)</f>
        <v>94.1</v>
      </c>
      <c r="AC73" s="17">
        <f>IFERROR(__xludf.DUMMYFUNCTION("""COMPUTED_VALUE"""),9.1)</f>
        <v>9.1</v>
      </c>
      <c r="AD73" s="17">
        <f>IFERROR(__xludf.DUMMYFUNCTION("""COMPUTED_VALUE"""),212.0)</f>
        <v>212</v>
      </c>
      <c r="AE73" s="17">
        <f>IFERROR(__xludf.DUMMYFUNCTION("""COMPUTED_VALUE"""),5.1)</f>
        <v>5.1</v>
      </c>
      <c r="AF73" s="17">
        <f>IFERROR(__xludf.DUMMYFUNCTION("""COMPUTED_VALUE"""),1081.0)</f>
        <v>1081</v>
      </c>
      <c r="AG73" s="17">
        <f>IFERROR(__xludf.DUMMYFUNCTION("""COMPUTED_VALUE"""),12.0)</f>
        <v>12</v>
      </c>
      <c r="AH73" s="17">
        <f>IFERROR(__xludf.DUMMYFUNCTION("""COMPUTED_VALUE"""),2.0)</f>
        <v>2</v>
      </c>
      <c r="AI73" s="17">
        <f>IFERROR(__xludf.DUMMYFUNCTION("""COMPUTED_VALUE"""),0.0)</f>
        <v>0</v>
      </c>
      <c r="AJ73" s="17">
        <f>IFERROR(__xludf.DUMMYFUNCTION("""COMPUTED_VALUE"""),0.0)</f>
        <v>0</v>
      </c>
      <c r="AK73" s="18" t="str">
        <f>IFERROR(__xludf.DUMMYFUNCTION("SPLIT(""Dan Campbell,Ben Johnson,Jared Goff,Amon-Ra St. Brown,Jameson Williams,N/A,Taylor Decker,Graham Glasgow,Frank Ragnow,Kevin Zeitler,Penei Sewell"","","")"),"Dan Campbell")</f>
        <v>Dan Campbell</v>
      </c>
      <c r="AL73" s="17" t="str">
        <f>IFERROR(__xludf.DUMMYFUNCTION("""COMPUTED_VALUE"""),"Ben Johnson")</f>
        <v>Ben Johnson</v>
      </c>
      <c r="AM73" s="17" t="str">
        <f>IFERROR(__xludf.DUMMYFUNCTION("""COMPUTED_VALUE"""),"Jared Goff")</f>
        <v>Jared Goff</v>
      </c>
      <c r="AN73" s="17" t="str">
        <f>IFERROR(__xludf.DUMMYFUNCTION("""COMPUTED_VALUE"""),"Amon-Ra St. Brown")</f>
        <v>Amon-Ra St. Brown</v>
      </c>
      <c r="AO73" s="17" t="str">
        <f>IFERROR(__xludf.DUMMYFUNCTION("""COMPUTED_VALUE"""),"Jameson Williams")</f>
        <v>Jameson Williams</v>
      </c>
      <c r="AP73" s="17" t="str">
        <f>IFERROR(__xludf.DUMMYFUNCTION("""COMPUTED_VALUE"""),"N/A")</f>
        <v>N/A</v>
      </c>
      <c r="AQ73" s="17" t="str">
        <f>IFERROR(__xludf.DUMMYFUNCTION("""COMPUTED_VALUE"""),"Taylor Decker")</f>
        <v>Taylor Decker</v>
      </c>
      <c r="AR73" s="17" t="str">
        <f>IFERROR(__xludf.DUMMYFUNCTION("""COMPUTED_VALUE"""),"Graham Glasgow")</f>
        <v>Graham Glasgow</v>
      </c>
      <c r="AS73" s="17" t="str">
        <f>IFERROR(__xludf.DUMMYFUNCTION("""COMPUTED_VALUE"""),"Frank Ragnow")</f>
        <v>Frank Ragnow</v>
      </c>
      <c r="AT73" s="17" t="str">
        <f>IFERROR(__xludf.DUMMYFUNCTION("""COMPUTED_VALUE"""),"Kevin Zeitler")</f>
        <v>Kevin Zeitler</v>
      </c>
      <c r="AU73" s="17" t="str">
        <f>IFERROR(__xludf.DUMMYFUNCTION("""COMPUTED_VALUE"""),"Penei Sewell")</f>
        <v>Penei Sewell</v>
      </c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</row>
    <row r="74">
      <c r="A74" s="16" t="s">
        <v>212</v>
      </c>
      <c r="B74" s="16">
        <v>2.0</v>
      </c>
      <c r="C74" s="17">
        <f>IFERROR(__xludf.DUMMYFUNCTION("SPLIT(""22,DET,NFL,RB,13,1,178,1016,10,47,53.4,70,5.7,78.2,13.7,42,34,312,9.2,2,14,45.2,54,2.6,24.0,81.0,7.4,212,6.3,1328,12,1,0,0"","","")"),22.0)</f>
        <v>22</v>
      </c>
      <c r="D74" s="17" t="str">
        <f>IFERROR(__xludf.DUMMYFUNCTION("""COMPUTED_VALUE"""),"DET")</f>
        <v>DET</v>
      </c>
      <c r="E74" s="17" t="str">
        <f>IFERROR(__xludf.DUMMYFUNCTION("""COMPUTED_VALUE"""),"NFL")</f>
        <v>NFL</v>
      </c>
      <c r="F74" s="17" t="str">
        <f>IFERROR(__xludf.DUMMYFUNCTION("""COMPUTED_VALUE"""),"RB")</f>
        <v>RB</v>
      </c>
      <c r="G74" s="17">
        <f>IFERROR(__xludf.DUMMYFUNCTION("""COMPUTED_VALUE"""),13.0)</f>
        <v>13</v>
      </c>
      <c r="H74" s="17">
        <f>IFERROR(__xludf.DUMMYFUNCTION("""COMPUTED_VALUE"""),1.0)</f>
        <v>1</v>
      </c>
      <c r="I74" s="17">
        <f>IFERROR(__xludf.DUMMYFUNCTION("""COMPUTED_VALUE"""),178.0)</f>
        <v>178</v>
      </c>
      <c r="J74" s="17">
        <f>IFERROR(__xludf.DUMMYFUNCTION("""COMPUTED_VALUE"""),1016.0)</f>
        <v>1016</v>
      </c>
      <c r="K74" s="17">
        <f>IFERROR(__xludf.DUMMYFUNCTION("""COMPUTED_VALUE"""),10.0)</f>
        <v>10</v>
      </c>
      <c r="L74" s="17">
        <f>IFERROR(__xludf.DUMMYFUNCTION("""COMPUTED_VALUE"""),47.0)</f>
        <v>47</v>
      </c>
      <c r="M74" s="17">
        <f>IFERROR(__xludf.DUMMYFUNCTION("""COMPUTED_VALUE"""),53.4)</f>
        <v>53.4</v>
      </c>
      <c r="N74" s="17">
        <f>IFERROR(__xludf.DUMMYFUNCTION("""COMPUTED_VALUE"""),70.0)</f>
        <v>70</v>
      </c>
      <c r="O74" s="17">
        <f>IFERROR(__xludf.DUMMYFUNCTION("""COMPUTED_VALUE"""),5.7)</f>
        <v>5.7</v>
      </c>
      <c r="P74" s="17">
        <f>IFERROR(__xludf.DUMMYFUNCTION("""COMPUTED_VALUE"""),78.2)</f>
        <v>78.2</v>
      </c>
      <c r="Q74" s="17">
        <f>IFERROR(__xludf.DUMMYFUNCTION("""COMPUTED_VALUE"""),13.7)</f>
        <v>13.7</v>
      </c>
      <c r="R74" s="17">
        <f>IFERROR(__xludf.DUMMYFUNCTION("""COMPUTED_VALUE"""),42.0)</f>
        <v>42</v>
      </c>
      <c r="S74" s="17">
        <f>IFERROR(__xludf.DUMMYFUNCTION("""COMPUTED_VALUE"""),34.0)</f>
        <v>34</v>
      </c>
      <c r="T74" s="17">
        <f>IFERROR(__xludf.DUMMYFUNCTION("""COMPUTED_VALUE"""),312.0)</f>
        <v>312</v>
      </c>
      <c r="U74" s="17">
        <f>IFERROR(__xludf.DUMMYFUNCTION("""COMPUTED_VALUE"""),9.2)</f>
        <v>9.2</v>
      </c>
      <c r="V74" s="17">
        <f>IFERROR(__xludf.DUMMYFUNCTION("""COMPUTED_VALUE"""),2.0)</f>
        <v>2</v>
      </c>
      <c r="W74" s="17">
        <f>IFERROR(__xludf.DUMMYFUNCTION("""COMPUTED_VALUE"""),14.0)</f>
        <v>14</v>
      </c>
      <c r="X74" s="17">
        <f>IFERROR(__xludf.DUMMYFUNCTION("""COMPUTED_VALUE"""),45.2)</f>
        <v>45.2</v>
      </c>
      <c r="Y74" s="17">
        <f>IFERROR(__xludf.DUMMYFUNCTION("""COMPUTED_VALUE"""),54.0)</f>
        <v>54</v>
      </c>
      <c r="Z74" s="17">
        <f>IFERROR(__xludf.DUMMYFUNCTION("""COMPUTED_VALUE"""),2.6)</f>
        <v>2.6</v>
      </c>
      <c r="AA74" s="17">
        <f>IFERROR(__xludf.DUMMYFUNCTION("""COMPUTED_VALUE"""),24.0)</f>
        <v>24</v>
      </c>
      <c r="AB74" s="17">
        <f>IFERROR(__xludf.DUMMYFUNCTION("""COMPUTED_VALUE"""),81.0)</f>
        <v>81</v>
      </c>
      <c r="AC74" s="17">
        <f>IFERROR(__xludf.DUMMYFUNCTION("""COMPUTED_VALUE"""),7.4)</f>
        <v>7.4</v>
      </c>
      <c r="AD74" s="17">
        <f>IFERROR(__xludf.DUMMYFUNCTION("""COMPUTED_VALUE"""),212.0)</f>
        <v>212</v>
      </c>
      <c r="AE74" s="17">
        <f>IFERROR(__xludf.DUMMYFUNCTION("""COMPUTED_VALUE"""),6.3)</f>
        <v>6.3</v>
      </c>
      <c r="AF74" s="17">
        <f>IFERROR(__xludf.DUMMYFUNCTION("""COMPUTED_VALUE"""),1328.0)</f>
        <v>1328</v>
      </c>
      <c r="AG74" s="17">
        <f>IFERROR(__xludf.DUMMYFUNCTION("""COMPUTED_VALUE"""),12.0)</f>
        <v>12</v>
      </c>
      <c r="AH74" s="17">
        <f>IFERROR(__xludf.DUMMYFUNCTION("""COMPUTED_VALUE"""),1.0)</f>
        <v>1</v>
      </c>
      <c r="AI74" s="17">
        <f>IFERROR(__xludf.DUMMYFUNCTION("""COMPUTED_VALUE"""),0.0)</f>
        <v>0</v>
      </c>
      <c r="AJ74" s="17">
        <f>IFERROR(__xludf.DUMMYFUNCTION("""COMPUTED_VALUE"""),0.0)</f>
        <v>0</v>
      </c>
      <c r="AK74" s="18" t="str">
        <f>IFERROR(__xludf.DUMMYFUNCTION("SPLIT(""Dan Campbell,Ben Johnson,Jared Goff,Amon-Ra St. Brown,Jameson Williams,N/A,Taylor Decker,Graham Glasgow,Frank Ragnow,Kevin Zeitler,Penei Sewell"","","")"),"Dan Campbell")</f>
        <v>Dan Campbell</v>
      </c>
      <c r="AL74" s="17" t="str">
        <f>IFERROR(__xludf.DUMMYFUNCTION("""COMPUTED_VALUE"""),"Ben Johnson")</f>
        <v>Ben Johnson</v>
      </c>
      <c r="AM74" s="17" t="str">
        <f>IFERROR(__xludf.DUMMYFUNCTION("""COMPUTED_VALUE"""),"Jared Goff")</f>
        <v>Jared Goff</v>
      </c>
      <c r="AN74" s="17" t="str">
        <f>IFERROR(__xludf.DUMMYFUNCTION("""COMPUTED_VALUE"""),"Amon-Ra St. Brown")</f>
        <v>Amon-Ra St. Brown</v>
      </c>
      <c r="AO74" s="17" t="str">
        <f>IFERROR(__xludf.DUMMYFUNCTION("""COMPUTED_VALUE"""),"Jameson Williams")</f>
        <v>Jameson Williams</v>
      </c>
      <c r="AP74" s="17" t="str">
        <f>IFERROR(__xludf.DUMMYFUNCTION("""COMPUTED_VALUE"""),"N/A")</f>
        <v>N/A</v>
      </c>
      <c r="AQ74" s="17" t="str">
        <f>IFERROR(__xludf.DUMMYFUNCTION("""COMPUTED_VALUE"""),"Taylor Decker")</f>
        <v>Taylor Decker</v>
      </c>
      <c r="AR74" s="17" t="str">
        <f>IFERROR(__xludf.DUMMYFUNCTION("""COMPUTED_VALUE"""),"Graham Glasgow")</f>
        <v>Graham Glasgow</v>
      </c>
      <c r="AS74" s="17" t="str">
        <f>IFERROR(__xludf.DUMMYFUNCTION("""COMPUTED_VALUE"""),"Frank Ragnow")</f>
        <v>Frank Ragnow</v>
      </c>
      <c r="AT74" s="17" t="str">
        <f>IFERROR(__xludf.DUMMYFUNCTION("""COMPUTED_VALUE"""),"Kevin Zeitler")</f>
        <v>Kevin Zeitler</v>
      </c>
      <c r="AU74" s="17" t="str">
        <f>IFERROR(__xludf.DUMMYFUNCTION("""COMPUTED_VALUE"""),"Penei Sewell")</f>
        <v>Penei Sewell</v>
      </c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</row>
    <row r="75">
      <c r="A75" s="19" t="s">
        <v>213</v>
      </c>
      <c r="B75" s="16">
        <v>1.0</v>
      </c>
      <c r="C75" s="17">
        <f>IFERROR(__xludf.DUMMYFUNCTION("SPLIT(""25,NYG,NFL,RB,13,8,141,664,5,31,48.9,45,4.7,51.1,10.8,40,29,216,7.4,0,10,50.0,19,2.2,16.6,72.5,5.4,170,5.2,880,5,4,0"","","")"),25.0)</f>
        <v>25</v>
      </c>
      <c r="D75" s="17" t="str">
        <f>IFERROR(__xludf.DUMMYFUNCTION("""COMPUTED_VALUE"""),"NYG")</f>
        <v>NYG</v>
      </c>
      <c r="E75" s="17" t="str">
        <f>IFERROR(__xludf.DUMMYFUNCTION("""COMPUTED_VALUE"""),"NFL")</f>
        <v>NFL</v>
      </c>
      <c r="F75" s="17" t="str">
        <f>IFERROR(__xludf.DUMMYFUNCTION("""COMPUTED_VALUE"""),"RB")</f>
        <v>RB</v>
      </c>
      <c r="G75" s="17">
        <f>IFERROR(__xludf.DUMMYFUNCTION("""COMPUTED_VALUE"""),13.0)</f>
        <v>13</v>
      </c>
      <c r="H75" s="17">
        <f>IFERROR(__xludf.DUMMYFUNCTION("""COMPUTED_VALUE"""),8.0)</f>
        <v>8</v>
      </c>
      <c r="I75" s="17">
        <f>IFERROR(__xludf.DUMMYFUNCTION("""COMPUTED_VALUE"""),141.0)</f>
        <v>141</v>
      </c>
      <c r="J75" s="17">
        <f>IFERROR(__xludf.DUMMYFUNCTION("""COMPUTED_VALUE"""),664.0)</f>
        <v>664</v>
      </c>
      <c r="K75" s="17">
        <f>IFERROR(__xludf.DUMMYFUNCTION("""COMPUTED_VALUE"""),5.0)</f>
        <v>5</v>
      </c>
      <c r="L75" s="17">
        <f>IFERROR(__xludf.DUMMYFUNCTION("""COMPUTED_VALUE"""),31.0)</f>
        <v>31</v>
      </c>
      <c r="M75" s="17">
        <f>IFERROR(__xludf.DUMMYFUNCTION("""COMPUTED_VALUE"""),48.9)</f>
        <v>48.9</v>
      </c>
      <c r="N75" s="17">
        <f>IFERROR(__xludf.DUMMYFUNCTION("""COMPUTED_VALUE"""),45.0)</f>
        <v>45</v>
      </c>
      <c r="O75" s="17">
        <f>IFERROR(__xludf.DUMMYFUNCTION("""COMPUTED_VALUE"""),4.7)</f>
        <v>4.7</v>
      </c>
      <c r="P75" s="17">
        <f>IFERROR(__xludf.DUMMYFUNCTION("""COMPUTED_VALUE"""),51.1)</f>
        <v>51.1</v>
      </c>
      <c r="Q75" s="17">
        <f>IFERROR(__xludf.DUMMYFUNCTION("""COMPUTED_VALUE"""),10.8)</f>
        <v>10.8</v>
      </c>
      <c r="R75" s="17">
        <f>IFERROR(__xludf.DUMMYFUNCTION("""COMPUTED_VALUE"""),40.0)</f>
        <v>40</v>
      </c>
      <c r="S75" s="17">
        <f>IFERROR(__xludf.DUMMYFUNCTION("""COMPUTED_VALUE"""),29.0)</f>
        <v>29</v>
      </c>
      <c r="T75" s="17">
        <f>IFERROR(__xludf.DUMMYFUNCTION("""COMPUTED_VALUE"""),216.0)</f>
        <v>216</v>
      </c>
      <c r="U75" s="17">
        <f>IFERROR(__xludf.DUMMYFUNCTION("""COMPUTED_VALUE"""),7.4)</f>
        <v>7.4</v>
      </c>
      <c r="V75" s="17">
        <f>IFERROR(__xludf.DUMMYFUNCTION("""COMPUTED_VALUE"""),0.0)</f>
        <v>0</v>
      </c>
      <c r="W75" s="17">
        <f>IFERROR(__xludf.DUMMYFUNCTION("""COMPUTED_VALUE"""),10.0)</f>
        <v>10</v>
      </c>
      <c r="X75" s="17">
        <f>IFERROR(__xludf.DUMMYFUNCTION("""COMPUTED_VALUE"""),50.0)</f>
        <v>50</v>
      </c>
      <c r="Y75" s="17">
        <f>IFERROR(__xludf.DUMMYFUNCTION("""COMPUTED_VALUE"""),19.0)</f>
        <v>19</v>
      </c>
      <c r="Z75" s="17">
        <f>IFERROR(__xludf.DUMMYFUNCTION("""COMPUTED_VALUE"""),2.2)</f>
        <v>2.2</v>
      </c>
      <c r="AA75" s="17">
        <f>IFERROR(__xludf.DUMMYFUNCTION("""COMPUTED_VALUE"""),16.6)</f>
        <v>16.6</v>
      </c>
      <c r="AB75" s="17">
        <f>IFERROR(__xludf.DUMMYFUNCTION("""COMPUTED_VALUE"""),72.5)</f>
        <v>72.5</v>
      </c>
      <c r="AC75" s="17">
        <f>IFERROR(__xludf.DUMMYFUNCTION("""COMPUTED_VALUE"""),5.4)</f>
        <v>5.4</v>
      </c>
      <c r="AD75" s="17">
        <f>IFERROR(__xludf.DUMMYFUNCTION("""COMPUTED_VALUE"""),170.0)</f>
        <v>170</v>
      </c>
      <c r="AE75" s="17">
        <f>IFERROR(__xludf.DUMMYFUNCTION("""COMPUTED_VALUE"""),5.2)</f>
        <v>5.2</v>
      </c>
      <c r="AF75" s="17">
        <f>IFERROR(__xludf.DUMMYFUNCTION("""COMPUTED_VALUE"""),880.0)</f>
        <v>880</v>
      </c>
      <c r="AG75" s="17">
        <f>IFERROR(__xludf.DUMMYFUNCTION("""COMPUTED_VALUE"""),5.0)</f>
        <v>5</v>
      </c>
      <c r="AH75" s="17">
        <f>IFERROR(__xludf.DUMMYFUNCTION("""COMPUTED_VALUE"""),4.0)</f>
        <v>4</v>
      </c>
      <c r="AI75" s="17">
        <f>IFERROR(__xludf.DUMMYFUNCTION("""COMPUTED_VALUE"""),0.0)</f>
        <v>0</v>
      </c>
      <c r="AJ75" s="16">
        <v>0.0</v>
      </c>
      <c r="AK75" s="18" t="str">
        <f>IFERROR(__xludf.DUMMYFUNCTION("SPLIT(""Brian Daboll,Mike Kafka,Daniel Jones,Malik Nabers,Darius Slayton,N/A,Jermaine Eluemunor,Jon Runyan,John Michael Schmitz Jr.,Greg Van Roten,Evan Neal"","","")"),"Brian Daboll")</f>
        <v>Brian Daboll</v>
      </c>
      <c r="AL75" s="17" t="str">
        <f>IFERROR(__xludf.DUMMYFUNCTION("""COMPUTED_VALUE"""),"Mike Kafka")</f>
        <v>Mike Kafka</v>
      </c>
      <c r="AM75" s="17" t="str">
        <f>IFERROR(__xludf.DUMMYFUNCTION("""COMPUTED_VALUE"""),"Daniel Jones")</f>
        <v>Daniel Jones</v>
      </c>
      <c r="AN75" s="17" t="str">
        <f>IFERROR(__xludf.DUMMYFUNCTION("""COMPUTED_VALUE"""),"Malik Nabers")</f>
        <v>Malik Nabers</v>
      </c>
      <c r="AO75" s="17" t="str">
        <f>IFERROR(__xludf.DUMMYFUNCTION("""COMPUTED_VALUE"""),"Darius Slayton")</f>
        <v>Darius Slayton</v>
      </c>
      <c r="AP75" s="17" t="str">
        <f>IFERROR(__xludf.DUMMYFUNCTION("""COMPUTED_VALUE"""),"N/A")</f>
        <v>N/A</v>
      </c>
      <c r="AQ75" s="17" t="str">
        <f>IFERROR(__xludf.DUMMYFUNCTION("""COMPUTED_VALUE"""),"Jermaine Eluemunor")</f>
        <v>Jermaine Eluemunor</v>
      </c>
      <c r="AR75" s="17" t="str">
        <f>IFERROR(__xludf.DUMMYFUNCTION("""COMPUTED_VALUE"""),"Jon Runyan")</f>
        <v>Jon Runyan</v>
      </c>
      <c r="AS75" s="17" t="str">
        <f>IFERROR(__xludf.DUMMYFUNCTION("""COMPUTED_VALUE"""),"John Michael Schmitz Jr.")</f>
        <v>John Michael Schmitz Jr.</v>
      </c>
      <c r="AT75" s="17" t="str">
        <f>IFERROR(__xludf.DUMMYFUNCTION("""COMPUTED_VALUE"""),"Greg Van Roten")</f>
        <v>Greg Van Roten</v>
      </c>
      <c r="AU75" s="17" t="str">
        <f>IFERROR(__xludf.DUMMYFUNCTION("""COMPUTED_VALUE"""),"Evan Neal")</f>
        <v>Evan Neal</v>
      </c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</row>
    <row r="76">
      <c r="A76" s="19" t="s">
        <v>62</v>
      </c>
      <c r="B76" s="16">
        <v>3.0</v>
      </c>
      <c r="C76" s="17">
        <f>IFERROR(__xludf.DUMMYFUNCTION("SPLIT(""25,TAM,NFL,RB,12,12,120,509,3,27,47.5,56,4.2,42.4,10.0,46,41,322,7.9,5,16,52.2,32,3.4,26.8,89.1,7.0,161,5.2,831,8,1,0,0"","","")"),25.0)</f>
        <v>25</v>
      </c>
      <c r="D76" s="17" t="str">
        <f>IFERROR(__xludf.DUMMYFUNCTION("""COMPUTED_VALUE"""),"TAM")</f>
        <v>TAM</v>
      </c>
      <c r="E76" s="17" t="str">
        <f>IFERROR(__xludf.DUMMYFUNCTION("""COMPUTED_VALUE"""),"NFL")</f>
        <v>NFL</v>
      </c>
      <c r="F76" s="17" t="str">
        <f>IFERROR(__xludf.DUMMYFUNCTION("""COMPUTED_VALUE"""),"RB")</f>
        <v>RB</v>
      </c>
      <c r="G76" s="17">
        <f>IFERROR(__xludf.DUMMYFUNCTION("""COMPUTED_VALUE"""),12.0)</f>
        <v>12</v>
      </c>
      <c r="H76" s="17">
        <f>IFERROR(__xludf.DUMMYFUNCTION("""COMPUTED_VALUE"""),12.0)</f>
        <v>12</v>
      </c>
      <c r="I76" s="17">
        <f>IFERROR(__xludf.DUMMYFUNCTION("""COMPUTED_VALUE"""),120.0)</f>
        <v>120</v>
      </c>
      <c r="J76" s="17">
        <f>IFERROR(__xludf.DUMMYFUNCTION("""COMPUTED_VALUE"""),509.0)</f>
        <v>509</v>
      </c>
      <c r="K76" s="17">
        <f>IFERROR(__xludf.DUMMYFUNCTION("""COMPUTED_VALUE"""),3.0)</f>
        <v>3</v>
      </c>
      <c r="L76" s="17">
        <f>IFERROR(__xludf.DUMMYFUNCTION("""COMPUTED_VALUE"""),27.0)</f>
        <v>27</v>
      </c>
      <c r="M76" s="17">
        <f>IFERROR(__xludf.DUMMYFUNCTION("""COMPUTED_VALUE"""),47.5)</f>
        <v>47.5</v>
      </c>
      <c r="N76" s="17">
        <f>IFERROR(__xludf.DUMMYFUNCTION("""COMPUTED_VALUE"""),56.0)</f>
        <v>56</v>
      </c>
      <c r="O76" s="17">
        <f>IFERROR(__xludf.DUMMYFUNCTION("""COMPUTED_VALUE"""),4.2)</f>
        <v>4.2</v>
      </c>
      <c r="P76" s="17">
        <f>IFERROR(__xludf.DUMMYFUNCTION("""COMPUTED_VALUE"""),42.4)</f>
        <v>42.4</v>
      </c>
      <c r="Q76" s="17">
        <f>IFERROR(__xludf.DUMMYFUNCTION("""COMPUTED_VALUE"""),10.0)</f>
        <v>10</v>
      </c>
      <c r="R76" s="17">
        <f>IFERROR(__xludf.DUMMYFUNCTION("""COMPUTED_VALUE"""),46.0)</f>
        <v>46</v>
      </c>
      <c r="S76" s="17">
        <f>IFERROR(__xludf.DUMMYFUNCTION("""COMPUTED_VALUE"""),41.0)</f>
        <v>41</v>
      </c>
      <c r="T76" s="17">
        <f>IFERROR(__xludf.DUMMYFUNCTION("""COMPUTED_VALUE"""),322.0)</f>
        <v>322</v>
      </c>
      <c r="U76" s="17">
        <f>IFERROR(__xludf.DUMMYFUNCTION("""COMPUTED_VALUE"""),7.9)</f>
        <v>7.9</v>
      </c>
      <c r="V76" s="17">
        <f>IFERROR(__xludf.DUMMYFUNCTION("""COMPUTED_VALUE"""),5.0)</f>
        <v>5</v>
      </c>
      <c r="W76" s="17">
        <f>IFERROR(__xludf.DUMMYFUNCTION("""COMPUTED_VALUE"""),16.0)</f>
        <v>16</v>
      </c>
      <c r="X76" s="17">
        <f>IFERROR(__xludf.DUMMYFUNCTION("""COMPUTED_VALUE"""),52.2)</f>
        <v>52.2</v>
      </c>
      <c r="Y76" s="17">
        <f>IFERROR(__xludf.DUMMYFUNCTION("""COMPUTED_VALUE"""),32.0)</f>
        <v>32</v>
      </c>
      <c r="Z76" s="17">
        <f>IFERROR(__xludf.DUMMYFUNCTION("""COMPUTED_VALUE"""),3.4)</f>
        <v>3.4</v>
      </c>
      <c r="AA76" s="17">
        <f>IFERROR(__xludf.DUMMYFUNCTION("""COMPUTED_VALUE"""),26.8)</f>
        <v>26.8</v>
      </c>
      <c r="AB76" s="17">
        <f>IFERROR(__xludf.DUMMYFUNCTION("""COMPUTED_VALUE"""),89.1)</f>
        <v>89.1</v>
      </c>
      <c r="AC76" s="17">
        <f>IFERROR(__xludf.DUMMYFUNCTION("""COMPUTED_VALUE"""),7.0)</f>
        <v>7</v>
      </c>
      <c r="AD76" s="17">
        <f>IFERROR(__xludf.DUMMYFUNCTION("""COMPUTED_VALUE"""),161.0)</f>
        <v>161</v>
      </c>
      <c r="AE76" s="17">
        <f>IFERROR(__xludf.DUMMYFUNCTION("""COMPUTED_VALUE"""),5.2)</f>
        <v>5.2</v>
      </c>
      <c r="AF76" s="17">
        <f>IFERROR(__xludf.DUMMYFUNCTION("""COMPUTED_VALUE"""),831.0)</f>
        <v>831</v>
      </c>
      <c r="AG76" s="17">
        <f>IFERROR(__xludf.DUMMYFUNCTION("""COMPUTED_VALUE"""),8.0)</f>
        <v>8</v>
      </c>
      <c r="AH76" s="17">
        <f>IFERROR(__xludf.DUMMYFUNCTION("""COMPUTED_VALUE"""),1.0)</f>
        <v>1</v>
      </c>
      <c r="AI76" s="17">
        <f>IFERROR(__xludf.DUMMYFUNCTION("""COMPUTED_VALUE"""),0.0)</f>
        <v>0</v>
      </c>
      <c r="AJ76" s="17">
        <f>IFERROR(__xludf.DUMMYFUNCTION("""COMPUTED_VALUE"""),0.0)</f>
        <v>0</v>
      </c>
      <c r="AK76" s="18" t="str">
        <f>IFERROR(__xludf.DUMMYFUNCTION("SPLIT(""Todd Bowles,Liam Coen,Baker Mayfield,Mike Evans,Chris Godwin,Cade Otton,Tristan Wirfs,Ben Bredeson,Graham Barton,Cody Mauch,Luke Goedeke"","","")"),"Todd Bowles")</f>
        <v>Todd Bowles</v>
      </c>
      <c r="AL76" s="17" t="str">
        <f>IFERROR(__xludf.DUMMYFUNCTION("""COMPUTED_VALUE"""),"Liam Coen")</f>
        <v>Liam Coen</v>
      </c>
      <c r="AM76" s="17" t="str">
        <f>IFERROR(__xludf.DUMMYFUNCTION("""COMPUTED_VALUE"""),"Baker Mayfield")</f>
        <v>Baker Mayfield</v>
      </c>
      <c r="AN76" s="17" t="str">
        <f>IFERROR(__xludf.DUMMYFUNCTION("""COMPUTED_VALUE"""),"Mike Evans")</f>
        <v>Mike Evans</v>
      </c>
      <c r="AO76" s="17" t="str">
        <f>IFERROR(__xludf.DUMMYFUNCTION("""COMPUTED_VALUE"""),"Chris Godwin")</f>
        <v>Chris Godwin</v>
      </c>
      <c r="AP76" s="17" t="str">
        <f>IFERROR(__xludf.DUMMYFUNCTION("""COMPUTED_VALUE"""),"Cade Otton")</f>
        <v>Cade Otton</v>
      </c>
      <c r="AQ76" s="17" t="str">
        <f>IFERROR(__xludf.DUMMYFUNCTION("""COMPUTED_VALUE"""),"Tristan Wirfs")</f>
        <v>Tristan Wirfs</v>
      </c>
      <c r="AR76" s="17" t="str">
        <f>IFERROR(__xludf.DUMMYFUNCTION("""COMPUTED_VALUE"""),"Ben Bredeson")</f>
        <v>Ben Bredeson</v>
      </c>
      <c r="AS76" s="17" t="str">
        <f>IFERROR(__xludf.DUMMYFUNCTION("""COMPUTED_VALUE"""),"Graham Barton")</f>
        <v>Graham Barton</v>
      </c>
      <c r="AT76" s="17" t="str">
        <f>IFERROR(__xludf.DUMMYFUNCTION("""COMPUTED_VALUE"""),"Cody Mauch")</f>
        <v>Cody Mauch</v>
      </c>
      <c r="AU76" s="17" t="str">
        <f>IFERROR(__xludf.DUMMYFUNCTION("""COMPUTED_VALUE"""),"Luke Goedeke")</f>
        <v>Luke Goedeke</v>
      </c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</row>
    <row r="77">
      <c r="C77" s="9" t="str">
        <f>IFERROR(__xludf.DUMMYFUNCTION("SPLIT("""","","")"),"#VALUE!")</f>
        <v>#VALUE!</v>
      </c>
      <c r="AK77" s="6" t="str">
        <f>IFERROR(__xludf.DUMMYFUNCTION("SPLIT("""","","")"),"#VALUE!")</f>
        <v>#VALUE!</v>
      </c>
    </row>
    <row r="78">
      <c r="C78" s="9" t="str">
        <f>IFERROR(__xludf.DUMMYFUNCTION("SPLIT("""","","")"),"#VALUE!")</f>
        <v>#VALUE!</v>
      </c>
      <c r="AK78" s="6" t="str">
        <f>IFERROR(__xludf.DUMMYFUNCTION("SPLIT("""","","")"),"#VALUE!")</f>
        <v>#VALUE!</v>
      </c>
    </row>
    <row r="79">
      <c r="C79" s="9" t="str">
        <f>IFERROR(__xludf.DUMMYFUNCTION("SPLIT("""","","")"),"#VALUE!")</f>
        <v>#VALUE!</v>
      </c>
      <c r="AK79" s="6" t="str">
        <f>IFERROR(__xludf.DUMMYFUNCTION("SPLIT("""","","")"),"#VALUE!")</f>
        <v>#VALUE!</v>
      </c>
    </row>
    <row r="80">
      <c r="C80" s="9" t="str">
        <f>IFERROR(__xludf.DUMMYFUNCTION("SPLIT("""","","")"),"#VALUE!")</f>
        <v>#VALUE!</v>
      </c>
      <c r="AK80" s="6" t="str">
        <f>IFERROR(__xludf.DUMMYFUNCTION("SPLIT("""","","")"),"#VALUE!")</f>
        <v>#VALUE!</v>
      </c>
    </row>
    <row r="81">
      <c r="C81" s="9" t="str">
        <f>IFERROR(__xludf.DUMMYFUNCTION("SPLIT("""","","")"),"#VALUE!")</f>
        <v>#VALUE!</v>
      </c>
      <c r="AK81" s="6" t="str">
        <f>IFERROR(__xludf.DUMMYFUNCTION("SPLIT("""","","")"),"#VALUE!")</f>
        <v>#VALUE!</v>
      </c>
    </row>
    <row r="82">
      <c r="C82" s="9" t="str">
        <f>IFERROR(__xludf.DUMMYFUNCTION("SPLIT("""","","")"),"#VALUE!")</f>
        <v>#VALUE!</v>
      </c>
      <c r="AK82" s="6" t="str">
        <f>IFERROR(__xludf.DUMMYFUNCTION("SPLIT("""","","")"),"#VALUE!")</f>
        <v>#VALUE!</v>
      </c>
    </row>
    <row r="83">
      <c r="C83" s="9" t="str">
        <f>IFERROR(__xludf.DUMMYFUNCTION("SPLIT("""","","")"),"#VALUE!")</f>
        <v>#VALUE!</v>
      </c>
      <c r="AK83" s="6" t="str">
        <f>IFERROR(__xludf.DUMMYFUNCTION("SPLIT("""","","")"),"#VALUE!")</f>
        <v>#VALUE!</v>
      </c>
    </row>
    <row r="84">
      <c r="C84" s="9" t="str">
        <f>IFERROR(__xludf.DUMMYFUNCTION("SPLIT("""","","")"),"#VALUE!")</f>
        <v>#VALUE!</v>
      </c>
      <c r="AK84" s="6" t="str">
        <f>IFERROR(__xludf.DUMMYFUNCTION("SPLIT("""","","")"),"#VALUE!")</f>
        <v>#VALUE!</v>
      </c>
    </row>
    <row r="85">
      <c r="C85" s="9" t="str">
        <f>IFERROR(__xludf.DUMMYFUNCTION("SPLIT("""","","")"),"#VALUE!")</f>
        <v>#VALUE!</v>
      </c>
      <c r="AK85" s="6" t="str">
        <f>IFERROR(__xludf.DUMMYFUNCTION("SPLIT("""","","")"),"#VALUE!")</f>
        <v>#VALUE!</v>
      </c>
    </row>
    <row r="86">
      <c r="C86" s="9" t="str">
        <f>IFERROR(__xludf.DUMMYFUNCTION("SPLIT("""","","")"),"#VALUE!")</f>
        <v>#VALUE!</v>
      </c>
      <c r="AK86" s="6" t="str">
        <f>IFERROR(__xludf.DUMMYFUNCTION("SPLIT("""","","")"),"#VALUE!")</f>
        <v>#VALUE!</v>
      </c>
    </row>
    <row r="87">
      <c r="C87" s="9" t="str">
        <f>IFERROR(__xludf.DUMMYFUNCTION("SPLIT("""","","")"),"#VALUE!")</f>
        <v>#VALUE!</v>
      </c>
      <c r="AK87" s="6" t="str">
        <f>IFERROR(__xludf.DUMMYFUNCTION("SPLIT("""","","")"),"#VALUE!")</f>
        <v>#VALUE!</v>
      </c>
    </row>
    <row r="88">
      <c r="C88" s="9" t="str">
        <f>IFERROR(__xludf.DUMMYFUNCTION("SPLIT("""","","")"),"#VALUE!")</f>
        <v>#VALUE!</v>
      </c>
      <c r="AK88" s="6" t="str">
        <f>IFERROR(__xludf.DUMMYFUNCTION("SPLIT("""","","")"),"#VALUE!")</f>
        <v>#VALUE!</v>
      </c>
    </row>
    <row r="89">
      <c r="C89" s="9" t="str">
        <f>IFERROR(__xludf.DUMMYFUNCTION("SPLIT("""","","")"),"#VALUE!")</f>
        <v>#VALUE!</v>
      </c>
      <c r="AK89" s="6" t="str">
        <f>IFERROR(__xludf.DUMMYFUNCTION("SPLIT("""","","")"),"#VALUE!")</f>
        <v>#VALUE!</v>
      </c>
    </row>
    <row r="90">
      <c r="C90" s="9" t="str">
        <f>IFERROR(__xludf.DUMMYFUNCTION("SPLIT("""","","")"),"#VALUE!")</f>
        <v>#VALUE!</v>
      </c>
      <c r="AK90" s="6" t="str">
        <f>IFERROR(__xludf.DUMMYFUNCTION("SPLIT("""","","")"),"#VALUE!")</f>
        <v>#VALUE!</v>
      </c>
    </row>
    <row r="91">
      <c r="C91" s="9" t="str">
        <f>IFERROR(__xludf.DUMMYFUNCTION("SPLIT("""","","")"),"#VALUE!")</f>
        <v>#VALUE!</v>
      </c>
      <c r="AK91" s="6" t="str">
        <f>IFERROR(__xludf.DUMMYFUNCTION("SPLIT("""","","")"),"#VALUE!")</f>
        <v>#VALUE!</v>
      </c>
    </row>
    <row r="92">
      <c r="C92" s="9" t="str">
        <f>IFERROR(__xludf.DUMMYFUNCTION("SPLIT("""","","")"),"#VALUE!")</f>
        <v>#VALUE!</v>
      </c>
      <c r="AK92" s="6" t="str">
        <f>IFERROR(__xludf.DUMMYFUNCTION("SPLIT("""","","")"),"#VALUE!")</f>
        <v>#VALUE!</v>
      </c>
    </row>
    <row r="93">
      <c r="C93" s="9" t="str">
        <f>IFERROR(__xludf.DUMMYFUNCTION("SPLIT("""","","")"),"#VALUE!")</f>
        <v>#VALUE!</v>
      </c>
      <c r="AK93" s="6" t="str">
        <f>IFERROR(__xludf.DUMMYFUNCTION("SPLIT("""","","")"),"#VALUE!")</f>
        <v>#VALUE!</v>
      </c>
    </row>
    <row r="94">
      <c r="C94" s="9" t="str">
        <f>IFERROR(__xludf.DUMMYFUNCTION("SPLIT("""","","")"),"#VALUE!")</f>
        <v>#VALUE!</v>
      </c>
    </row>
    <row r="95">
      <c r="C95" s="9" t="str">
        <f>IFERROR(__xludf.DUMMYFUNCTION("SPLIT("""","","")"),"#VALUE!")</f>
        <v>#VALUE!</v>
      </c>
    </row>
    <row r="96">
      <c r="C96" s="9" t="str">
        <f>IFERROR(__xludf.DUMMYFUNCTION("SPLIT("""","","")"),"#VALUE!")</f>
        <v>#VALUE!</v>
      </c>
    </row>
    <row r="97">
      <c r="C97" s="9" t="str">
        <f>IFERROR(__xludf.DUMMYFUNCTION("SPLIT("""","","")"),"#VALUE!")</f>
        <v>#VALUE!</v>
      </c>
    </row>
    <row r="98">
      <c r="C98" s="9" t="str">
        <f>IFERROR(__xludf.DUMMYFUNCTION("SPLIT("""","","")"),"#VALUE!")</f>
        <v>#VALUE!</v>
      </c>
    </row>
    <row r="99">
      <c r="C99" s="9" t="str">
        <f>IFERROR(__xludf.DUMMYFUNCTION("SPLIT("""","","")"),"#VALUE!")</f>
        <v>#VALUE!</v>
      </c>
    </row>
    <row r="100">
      <c r="C100" s="9" t="str">
        <f>IFERROR(__xludf.DUMMYFUNCTION("SPLIT("""","","")"),"#VALUE!")</f>
        <v>#VALUE!</v>
      </c>
    </row>
    <row r="101">
      <c r="C101" s="9" t="str">
        <f>IFERROR(__xludf.DUMMYFUNCTION("SPLIT("""","","")"),"#VALUE!")</f>
        <v>#VALUE!</v>
      </c>
    </row>
    <row r="102">
      <c r="C102" s="9" t="str">
        <f>IFERROR(__xludf.DUMMYFUNCTION("SPLIT("""","","")"),"#VALUE!")</f>
        <v>#VALUE!</v>
      </c>
    </row>
    <row r="103">
      <c r="C103" s="9" t="str">
        <f>IFERROR(__xludf.DUMMYFUNCTION("SPLIT("""","","")"),"#VALUE!")</f>
        <v>#VALUE!</v>
      </c>
    </row>
    <row r="104">
      <c r="C104" s="9" t="str">
        <f>IFERROR(__xludf.DUMMYFUNCTION("SPLIT("""","","")"),"#VALUE!")</f>
        <v>#VALUE!</v>
      </c>
    </row>
    <row r="105">
      <c r="C105" s="9" t="str">
        <f>IFERROR(__xludf.DUMMYFUNCTION("SPLIT("""","","")"),"#VALUE!")</f>
        <v>#VALUE!</v>
      </c>
    </row>
    <row r="106">
      <c r="C106" s="9" t="str">
        <f>IFERROR(__xludf.DUMMYFUNCTION("SPLIT("""","","")"),"#VALUE!")</f>
        <v>#VALUE!</v>
      </c>
    </row>
    <row r="107">
      <c r="C107" s="9" t="str">
        <f>IFERROR(__xludf.DUMMYFUNCTION("SPLIT("""","","")"),"#VALUE!")</f>
        <v>#VALUE!</v>
      </c>
    </row>
    <row r="108">
      <c r="C108" s="9" t="str">
        <f>IFERROR(__xludf.DUMMYFUNCTION("SPLIT("""","","")"),"#VALUE!")</f>
        <v>#VALUE!</v>
      </c>
    </row>
    <row r="109">
      <c r="C109" s="9" t="str">
        <f>IFERROR(__xludf.DUMMYFUNCTION("SPLIT("""","","")"),"#VALUE!")</f>
        <v>#VALUE!</v>
      </c>
    </row>
    <row r="110">
      <c r="C110" s="9" t="str">
        <f>IFERROR(__xludf.DUMMYFUNCTION("SPLIT("""","","")"),"#VALUE!")</f>
        <v>#VALUE!</v>
      </c>
    </row>
    <row r="111">
      <c r="C111" s="9" t="str">
        <f>IFERROR(__xludf.DUMMYFUNCTION("SPLIT("""","","")"),"#VALUE!")</f>
        <v>#VALUE!</v>
      </c>
    </row>
    <row r="112">
      <c r="C112" s="9" t="str">
        <f>IFERROR(__xludf.DUMMYFUNCTION("SPLIT("""","","")"),"#VALUE!")</f>
        <v>#VALUE!</v>
      </c>
    </row>
    <row r="113">
      <c r="C113" s="9" t="str">
        <f>IFERROR(__xludf.DUMMYFUNCTION("SPLIT("""","","")"),"#VALUE!")</f>
        <v>#VALUE!</v>
      </c>
    </row>
    <row r="114">
      <c r="C114" s="9" t="str">
        <f>IFERROR(__xludf.DUMMYFUNCTION("SPLIT("""","","")"),"#VALUE!")</f>
        <v>#VALUE!</v>
      </c>
    </row>
    <row r="115">
      <c r="C115" s="9" t="str">
        <f>IFERROR(__xludf.DUMMYFUNCTION("SPLIT("""","","")"),"#VALUE!")</f>
        <v>#VALUE!</v>
      </c>
    </row>
    <row r="116">
      <c r="C116" s="9" t="str">
        <f>IFERROR(__xludf.DUMMYFUNCTION("SPLIT("""","","")"),"#VALUE!")</f>
        <v>#VALUE!</v>
      </c>
    </row>
    <row r="117">
      <c r="C117" s="9" t="str">
        <f>IFERROR(__xludf.DUMMYFUNCTION("SPLIT("""","","")"),"#VALUE!")</f>
        <v>#VALUE!</v>
      </c>
    </row>
    <row r="118">
      <c r="C118" s="9" t="str">
        <f>IFERROR(__xludf.DUMMYFUNCTION("SPLIT("""","","")"),"#VALUE!")</f>
        <v>#VALUE!</v>
      </c>
    </row>
    <row r="119">
      <c r="C119" s="9" t="str">
        <f>IFERROR(__xludf.DUMMYFUNCTION("SPLIT("""","","")"),"#VALUE!")</f>
        <v>#VALUE!</v>
      </c>
    </row>
    <row r="120">
      <c r="C120" s="9" t="str">
        <f>IFERROR(__xludf.DUMMYFUNCTION("SPLIT("""","","")"),"#VALUE!")</f>
        <v>#VALUE!</v>
      </c>
    </row>
    <row r="121">
      <c r="C121" s="9" t="str">
        <f>IFERROR(__xludf.DUMMYFUNCTION("SPLIT("""","","")"),"#VALUE!")</f>
        <v>#VALUE!</v>
      </c>
    </row>
    <row r="122">
      <c r="C122" s="9" t="str">
        <f>IFERROR(__xludf.DUMMYFUNCTION("SPLIT("""","","")"),"#VALUE!")</f>
        <v>#VALUE!</v>
      </c>
    </row>
    <row r="123">
      <c r="C123" s="9" t="str">
        <f>IFERROR(__xludf.DUMMYFUNCTION("SPLIT("""","","")"),"#VALUE!")</f>
        <v>#VALUE!</v>
      </c>
    </row>
    <row r="124">
      <c r="C124" s="9" t="str">
        <f>IFERROR(__xludf.DUMMYFUNCTION("SPLIT("""","","")"),"#VALUE!")</f>
        <v>#VALUE!</v>
      </c>
    </row>
    <row r="125">
      <c r="C125" s="9" t="str">
        <f>IFERROR(__xludf.DUMMYFUNCTION("SPLIT("""","","")"),"#VALUE!")</f>
        <v>#VALUE!</v>
      </c>
    </row>
    <row r="126">
      <c r="C126" s="9" t="str">
        <f>IFERROR(__xludf.DUMMYFUNCTION("SPLIT("""","","")"),"#VALUE!")</f>
        <v>#VALUE!</v>
      </c>
    </row>
    <row r="127">
      <c r="C127" s="9" t="str">
        <f>IFERROR(__xludf.DUMMYFUNCTION("SPLIT("""","","")"),"#VALUE!")</f>
        <v>#VALUE!</v>
      </c>
    </row>
    <row r="128">
      <c r="C128" s="9" t="str">
        <f>IFERROR(__xludf.DUMMYFUNCTION("SPLIT("""","","")"),"#VALUE!")</f>
        <v>#VALUE!</v>
      </c>
    </row>
    <row r="129">
      <c r="C129" s="9" t="str">
        <f>IFERROR(__xludf.DUMMYFUNCTION("SPLIT("""","","")"),"#VALUE!")</f>
        <v>#VALUE!</v>
      </c>
    </row>
    <row r="130">
      <c r="C130" s="9" t="str">
        <f>IFERROR(__xludf.DUMMYFUNCTION("SPLIT("""","","")"),"#VALUE!")</f>
        <v>#VALUE!</v>
      </c>
    </row>
    <row r="131">
      <c r="C131" s="9" t="str">
        <f>IFERROR(__xludf.DUMMYFUNCTION("SPLIT("""","","")"),"#VALUE!")</f>
        <v>#VALUE!</v>
      </c>
    </row>
    <row r="132">
      <c r="C132" s="9" t="str">
        <f>IFERROR(__xludf.DUMMYFUNCTION("SPLIT("""","","")"),"#VALUE!")</f>
        <v>#VALUE!</v>
      </c>
    </row>
    <row r="133">
      <c r="C133" s="9" t="str">
        <f>IFERROR(__xludf.DUMMYFUNCTION("SPLIT("""","","")"),"#VALUE!")</f>
        <v>#VALUE!</v>
      </c>
    </row>
    <row r="134">
      <c r="C134" s="9" t="str">
        <f>IFERROR(__xludf.DUMMYFUNCTION("SPLIT("""","","")"),"#VALUE!")</f>
        <v>#VALUE!</v>
      </c>
    </row>
    <row r="135">
      <c r="C135" s="9" t="str">
        <f>IFERROR(__xludf.DUMMYFUNCTION("SPLIT("""","","")"),"#VALUE!")</f>
        <v>#VALUE!</v>
      </c>
    </row>
    <row r="136">
      <c r="C136" s="9" t="str">
        <f>IFERROR(__xludf.DUMMYFUNCTION("SPLIT("""","","")"),"#VALUE!")</f>
        <v>#VALUE!</v>
      </c>
    </row>
    <row r="137">
      <c r="C137" s="9" t="str">
        <f>IFERROR(__xludf.DUMMYFUNCTION("SPLIT("""","","")"),"#VALUE!")</f>
        <v>#VALUE!</v>
      </c>
    </row>
    <row r="138">
      <c r="C138" s="9" t="str">
        <f>IFERROR(__xludf.DUMMYFUNCTION("SPLIT("""","","")"),"#VALUE!")</f>
        <v>#VALUE!</v>
      </c>
    </row>
    <row r="139">
      <c r="C139" s="9" t="str">
        <f>IFERROR(__xludf.DUMMYFUNCTION("SPLIT("""","","")"),"#VALUE!")</f>
        <v>#VALUE!</v>
      </c>
    </row>
    <row r="140">
      <c r="C140" s="9" t="str">
        <f>IFERROR(__xludf.DUMMYFUNCTION("SPLIT("""","","")"),"#VALUE!")</f>
        <v>#VALUE!</v>
      </c>
    </row>
    <row r="141">
      <c r="C141" s="9" t="str">
        <f>IFERROR(__xludf.DUMMYFUNCTION("SPLIT("""","","")"),"#VALUE!")</f>
        <v>#VALUE!</v>
      </c>
    </row>
    <row r="142">
      <c r="C142" s="9" t="str">
        <f>IFERROR(__xludf.DUMMYFUNCTION("SPLIT("""","","")"),"#VALUE!")</f>
        <v>#VALUE!</v>
      </c>
    </row>
    <row r="143">
      <c r="C143" s="9" t="str">
        <f>IFERROR(__xludf.DUMMYFUNCTION("SPLIT("""","","")"),"#VALUE!")</f>
        <v>#VALUE!</v>
      </c>
    </row>
    <row r="144">
      <c r="C144" s="9" t="str">
        <f>IFERROR(__xludf.DUMMYFUNCTION("SPLIT("""","","")"),"#VALUE!")</f>
        <v>#VALUE!</v>
      </c>
    </row>
    <row r="145">
      <c r="C145" s="9" t="str">
        <f>IFERROR(__xludf.DUMMYFUNCTION("SPLIT("""","","")"),"#VALUE!")</f>
        <v>#VALUE!</v>
      </c>
    </row>
    <row r="146">
      <c r="C146" s="9" t="str">
        <f>IFERROR(__xludf.DUMMYFUNCTION("SPLIT("""","","")"),"#VALUE!")</f>
        <v>#VALUE!</v>
      </c>
    </row>
    <row r="147">
      <c r="C147" s="9" t="str">
        <f>IFERROR(__xludf.DUMMYFUNCTION("SPLIT("""","","")"),"#VALUE!")</f>
        <v>#VALUE!</v>
      </c>
    </row>
    <row r="148">
      <c r="C148" s="9" t="str">
        <f>IFERROR(__xludf.DUMMYFUNCTION("SPLIT("""","","")"),"#VALUE!")</f>
        <v>#VALUE!</v>
      </c>
    </row>
    <row r="149">
      <c r="C149" s="9" t="str">
        <f>IFERROR(__xludf.DUMMYFUNCTION("SPLIT("""","","")"),"#VALUE!")</f>
        <v>#VALUE!</v>
      </c>
    </row>
    <row r="150">
      <c r="C150" s="9" t="str">
        <f>IFERROR(__xludf.DUMMYFUNCTION("SPLIT("""","","")"),"#VALUE!")</f>
        <v>#VALUE!</v>
      </c>
    </row>
    <row r="151">
      <c r="C151" s="9" t="str">
        <f>IFERROR(__xludf.DUMMYFUNCTION("SPLIT("""","","")"),"#VALUE!")</f>
        <v>#VALUE!</v>
      </c>
    </row>
    <row r="152">
      <c r="C152" s="9" t="str">
        <f>IFERROR(__xludf.DUMMYFUNCTION("SPLIT("""","","")"),"#VALUE!")</f>
        <v>#VALUE!</v>
      </c>
    </row>
    <row r="153">
      <c r="C153" s="9" t="str">
        <f>IFERROR(__xludf.DUMMYFUNCTION("SPLIT("""","","")"),"#VALUE!")</f>
        <v>#VALUE!</v>
      </c>
    </row>
    <row r="154">
      <c r="C154" s="9" t="str">
        <f>IFERROR(__xludf.DUMMYFUNCTION("SPLIT("""","","")"),"#VALUE!")</f>
        <v>#VALUE!</v>
      </c>
    </row>
    <row r="155">
      <c r="C155" s="9" t="str">
        <f>IFERROR(__xludf.DUMMYFUNCTION("SPLIT("""","","")"),"#VALUE!")</f>
        <v>#VALUE!</v>
      </c>
    </row>
    <row r="156">
      <c r="C156" s="9" t="str">
        <f>IFERROR(__xludf.DUMMYFUNCTION("SPLIT("""","","")"),"#VALUE!")</f>
        <v>#VALUE!</v>
      </c>
    </row>
    <row r="157">
      <c r="C157" s="9" t="str">
        <f>IFERROR(__xludf.DUMMYFUNCTION("SPLIT("""","","")"),"#VALUE!")</f>
        <v>#VALUE!</v>
      </c>
    </row>
    <row r="158">
      <c r="C158" s="9" t="str">
        <f>IFERROR(__xludf.DUMMYFUNCTION("SPLIT("""","","")"),"#VALUE!")</f>
        <v>#VALUE!</v>
      </c>
    </row>
    <row r="159">
      <c r="C159" s="9" t="str">
        <f>IFERROR(__xludf.DUMMYFUNCTION("SPLIT("""","","")"),"#VALUE!")</f>
        <v>#VALUE!</v>
      </c>
    </row>
    <row r="160">
      <c r="C160" s="9" t="str">
        <f>IFERROR(__xludf.DUMMYFUNCTION("SPLIT("""","","")"),"#VALUE!")</f>
        <v>#VALUE!</v>
      </c>
    </row>
    <row r="161">
      <c r="C161" s="9" t="str">
        <f>IFERROR(__xludf.DUMMYFUNCTION("SPLIT("""","","")"),"#VALUE!")</f>
        <v>#VALUE!</v>
      </c>
    </row>
    <row r="162">
      <c r="C162" s="9" t="str">
        <f>IFERROR(__xludf.DUMMYFUNCTION("SPLIT("""","","")"),"#VALUE!")</f>
        <v>#VALUE!</v>
      </c>
    </row>
    <row r="163">
      <c r="C163" s="9" t="str">
        <f>IFERROR(__xludf.DUMMYFUNCTION("SPLIT("""","","")"),"#VALUE!")</f>
        <v>#VALUE!</v>
      </c>
    </row>
    <row r="164">
      <c r="C164" s="9" t="str">
        <f>IFERROR(__xludf.DUMMYFUNCTION("SPLIT("""","","")"),"#VALUE!")</f>
        <v>#VALUE!</v>
      </c>
    </row>
    <row r="165">
      <c r="C165" s="9" t="str">
        <f>IFERROR(__xludf.DUMMYFUNCTION("SPLIT("""","","")"),"#VALUE!")</f>
        <v>#VALUE!</v>
      </c>
    </row>
    <row r="166">
      <c r="C166" s="9" t="str">
        <f>IFERROR(__xludf.DUMMYFUNCTION("SPLIT("""","","")"),"#VALUE!")</f>
        <v>#VALUE!</v>
      </c>
    </row>
    <row r="167">
      <c r="C167" s="9" t="str">
        <f>IFERROR(__xludf.DUMMYFUNCTION("SPLIT("""","","")"),"#VALUE!")</f>
        <v>#VALUE!</v>
      </c>
    </row>
    <row r="168">
      <c r="C168" s="9" t="str">
        <f>IFERROR(__xludf.DUMMYFUNCTION("SPLIT("""","","")"),"#VALUE!")</f>
        <v>#VALUE!</v>
      </c>
    </row>
    <row r="169">
      <c r="C169" s="9" t="str">
        <f>IFERROR(__xludf.DUMMYFUNCTION("SPLIT("""","","")"),"#VALUE!")</f>
        <v>#VALUE!</v>
      </c>
    </row>
    <row r="170">
      <c r="C170" s="9" t="str">
        <f>IFERROR(__xludf.DUMMYFUNCTION("SPLIT("""","","")"),"#VALUE!")</f>
        <v>#VALUE!</v>
      </c>
    </row>
    <row r="171">
      <c r="C171" s="9" t="str">
        <f>IFERROR(__xludf.DUMMYFUNCTION("SPLIT("""","","")"),"#VALUE!")</f>
        <v>#VALUE!</v>
      </c>
    </row>
    <row r="172">
      <c r="C172" s="9" t="str">
        <f>IFERROR(__xludf.DUMMYFUNCTION("SPLIT("""","","")"),"#VALUE!")</f>
        <v>#VALUE!</v>
      </c>
    </row>
    <row r="173">
      <c r="C173" s="9" t="str">
        <f>IFERROR(__xludf.DUMMYFUNCTION("SPLIT("""","","")"),"#VALUE!")</f>
        <v>#VALUE!</v>
      </c>
    </row>
    <row r="174">
      <c r="C174" s="9" t="str">
        <f>IFERROR(__xludf.DUMMYFUNCTION("SPLIT("""","","")"),"#VALUE!")</f>
        <v>#VALUE!</v>
      </c>
    </row>
    <row r="175">
      <c r="C175" s="9" t="str">
        <f>IFERROR(__xludf.DUMMYFUNCTION("SPLIT("""","","")"),"#VALUE!")</f>
        <v>#VALUE!</v>
      </c>
    </row>
    <row r="176">
      <c r="C176" s="9" t="str">
        <f>IFERROR(__xludf.DUMMYFUNCTION("SPLIT("""","","")"),"#VALUE!")</f>
        <v>#VALUE!</v>
      </c>
    </row>
    <row r="177">
      <c r="C177" s="9" t="str">
        <f>IFERROR(__xludf.DUMMYFUNCTION("SPLIT("""","","")"),"#VALUE!")</f>
        <v>#VALUE!</v>
      </c>
    </row>
    <row r="178">
      <c r="C178" s="9" t="str">
        <f>IFERROR(__xludf.DUMMYFUNCTION("SPLIT("""","","")"),"#VALUE!")</f>
        <v>#VALUE!</v>
      </c>
    </row>
    <row r="179">
      <c r="C179" s="9" t="str">
        <f>IFERROR(__xludf.DUMMYFUNCTION("SPLIT("""","","")"),"#VALUE!")</f>
        <v>#VALUE!</v>
      </c>
    </row>
    <row r="180">
      <c r="C180" s="9" t="str">
        <f>IFERROR(__xludf.DUMMYFUNCTION("SPLIT("""","","")"),"#VALUE!")</f>
        <v>#VALUE!</v>
      </c>
    </row>
    <row r="181">
      <c r="C181" s="9" t="str">
        <f>IFERROR(__xludf.DUMMYFUNCTION("SPLIT("""","","")"),"#VALUE!")</f>
        <v>#VALUE!</v>
      </c>
    </row>
    <row r="182">
      <c r="C182" s="9" t="str">
        <f>IFERROR(__xludf.DUMMYFUNCTION("SPLIT("""","","")"),"#VALUE!")</f>
        <v>#VALUE!</v>
      </c>
    </row>
    <row r="183">
      <c r="C183" s="9" t="str">
        <f>IFERROR(__xludf.DUMMYFUNCTION("SPLIT("""","","")"),"#VALUE!")</f>
        <v>#VALUE!</v>
      </c>
    </row>
    <row r="184">
      <c r="C184" s="9" t="str">
        <f>IFERROR(__xludf.DUMMYFUNCTION("SPLIT("""","","")"),"#VALUE!")</f>
        <v>#VALUE!</v>
      </c>
    </row>
    <row r="185">
      <c r="C185" s="9" t="str">
        <f>IFERROR(__xludf.DUMMYFUNCTION("SPLIT("""","","")"),"#VALUE!")</f>
        <v>#VALUE!</v>
      </c>
    </row>
    <row r="186">
      <c r="C186" s="9" t="str">
        <f>IFERROR(__xludf.DUMMYFUNCTION("SPLIT("""","","")"),"#VALUE!")</f>
        <v>#VALUE!</v>
      </c>
    </row>
    <row r="187">
      <c r="C187" s="9" t="str">
        <f>IFERROR(__xludf.DUMMYFUNCTION("SPLIT("""","","")"),"#VALUE!")</f>
        <v>#VALUE!</v>
      </c>
    </row>
    <row r="188">
      <c r="C188" s="9" t="str">
        <f>IFERROR(__xludf.DUMMYFUNCTION("SPLIT("""","","")"),"#VALUE!")</f>
        <v>#VALUE!</v>
      </c>
    </row>
    <row r="189">
      <c r="C189" s="9" t="str">
        <f>IFERROR(__xludf.DUMMYFUNCTION("SPLIT("""","","")"),"#VALUE!")</f>
        <v>#VALUE!</v>
      </c>
    </row>
    <row r="190">
      <c r="C190" s="9" t="str">
        <f>IFERROR(__xludf.DUMMYFUNCTION("SPLIT("""","","")"),"#VALUE!")</f>
        <v>#VALUE!</v>
      </c>
    </row>
    <row r="191">
      <c r="C191" s="9" t="str">
        <f>IFERROR(__xludf.DUMMYFUNCTION("SPLIT("""","","")"),"#VALUE!")</f>
        <v>#VALUE!</v>
      </c>
    </row>
    <row r="192">
      <c r="C192" s="9" t="str">
        <f>IFERROR(__xludf.DUMMYFUNCTION("SPLIT("""","","")"),"#VALUE!")</f>
        <v>#VALUE!</v>
      </c>
    </row>
    <row r="193">
      <c r="C193" s="9" t="str">
        <f>IFERROR(__xludf.DUMMYFUNCTION("SPLIT("""","","")"),"#VALUE!")</f>
        <v>#VALUE!</v>
      </c>
    </row>
    <row r="194">
      <c r="C194" s="9" t="str">
        <f>IFERROR(__xludf.DUMMYFUNCTION("SPLIT("""","","")"),"#VALUE!")</f>
        <v>#VALUE!</v>
      </c>
    </row>
    <row r="195">
      <c r="C195" s="9" t="str">
        <f>IFERROR(__xludf.DUMMYFUNCTION("SPLIT("""","","")"),"#VALUE!")</f>
        <v>#VALUE!</v>
      </c>
    </row>
    <row r="196">
      <c r="C196" s="9" t="str">
        <f>IFERROR(__xludf.DUMMYFUNCTION("SPLIT("""","","")"),"#VALUE!")</f>
        <v>#VALUE!</v>
      </c>
    </row>
    <row r="197">
      <c r="C197" s="9" t="str">
        <f>IFERROR(__xludf.DUMMYFUNCTION("SPLIT("""","","")"),"#VALUE!")</f>
        <v>#VALUE!</v>
      </c>
    </row>
    <row r="198">
      <c r="C198" s="9" t="str">
        <f>IFERROR(__xludf.DUMMYFUNCTION("SPLIT("""","","")"),"#VALUE!")</f>
        <v>#VALUE!</v>
      </c>
    </row>
    <row r="199">
      <c r="C199" s="9" t="str">
        <f>IFERROR(__xludf.DUMMYFUNCTION("SPLIT("""","","")"),"#VALUE!")</f>
        <v>#VALUE!</v>
      </c>
    </row>
    <row r="200">
      <c r="C200" s="9" t="str">
        <f>IFERROR(__xludf.DUMMYFUNCTION("SPLIT("""","","")"),"#VALUE!")</f>
        <v>#VALUE!</v>
      </c>
    </row>
    <row r="201">
      <c r="C201" s="9" t="str">
        <f>IFERROR(__xludf.DUMMYFUNCTION("SPLIT("""","","")"),"#VALUE!")</f>
        <v>#VALUE!</v>
      </c>
    </row>
    <row r="202">
      <c r="C202" s="9" t="str">
        <f>IFERROR(__xludf.DUMMYFUNCTION("SPLIT("""","","")"),"#VALUE!")</f>
        <v>#VALUE!</v>
      </c>
    </row>
    <row r="203">
      <c r="C203" s="9" t="str">
        <f>IFERROR(__xludf.DUMMYFUNCTION("SPLIT("""","","")"),"#VALUE!")</f>
        <v>#VALUE!</v>
      </c>
    </row>
    <row r="204">
      <c r="C204" s="9" t="str">
        <f>IFERROR(__xludf.DUMMYFUNCTION("SPLIT("""","","")"),"#VALUE!")</f>
        <v>#VALUE!</v>
      </c>
    </row>
    <row r="205">
      <c r="C205" s="9" t="str">
        <f>IFERROR(__xludf.DUMMYFUNCTION("SPLIT("""","","")"),"#VALUE!")</f>
        <v>#VALUE!</v>
      </c>
    </row>
    <row r="206">
      <c r="C206" s="9" t="str">
        <f>IFERROR(__xludf.DUMMYFUNCTION("SPLIT("""","","")"),"#VALUE!")</f>
        <v>#VALUE!</v>
      </c>
    </row>
    <row r="207">
      <c r="C207" s="9" t="str">
        <f>IFERROR(__xludf.DUMMYFUNCTION("SPLIT("""","","")"),"#VALUE!")</f>
        <v>#VALUE!</v>
      </c>
    </row>
    <row r="208">
      <c r="C208" s="9" t="str">
        <f>IFERROR(__xludf.DUMMYFUNCTION("SPLIT("""","","")"),"#VALUE!")</f>
        <v>#VALUE!</v>
      </c>
    </row>
    <row r="209">
      <c r="C209" s="9" t="str">
        <f>IFERROR(__xludf.DUMMYFUNCTION("SPLIT("""","","")"),"#VALUE!")</f>
        <v>#VALUE!</v>
      </c>
    </row>
    <row r="210">
      <c r="C210" s="9" t="str">
        <f>IFERROR(__xludf.DUMMYFUNCTION("SPLIT("""","","")"),"#VALUE!")</f>
        <v>#VALUE!</v>
      </c>
    </row>
    <row r="211">
      <c r="C211" s="9" t="str">
        <f>IFERROR(__xludf.DUMMYFUNCTION("SPLIT("""","","")"),"#VALUE!")</f>
        <v>#VALUE!</v>
      </c>
    </row>
    <row r="212">
      <c r="C212" s="9" t="str">
        <f>IFERROR(__xludf.DUMMYFUNCTION("SPLIT("""","","")"),"#VALUE!")</f>
        <v>#VALUE!</v>
      </c>
    </row>
    <row r="213">
      <c r="C213" s="9" t="str">
        <f>IFERROR(__xludf.DUMMYFUNCTION("SPLIT("""","","")"),"#VALUE!")</f>
        <v>#VALUE!</v>
      </c>
    </row>
    <row r="214">
      <c r="C214" s="9" t="str">
        <f>IFERROR(__xludf.DUMMYFUNCTION("SPLIT("""","","")"),"#VALUE!")</f>
        <v>#VALUE!</v>
      </c>
    </row>
    <row r="215">
      <c r="C215" s="9" t="str">
        <f>IFERROR(__xludf.DUMMYFUNCTION("SPLIT("""","","")"),"#VALUE!")</f>
        <v>#VALUE!</v>
      </c>
    </row>
    <row r="216">
      <c r="C216" s="9" t="str">
        <f>IFERROR(__xludf.DUMMYFUNCTION("SPLIT("""","","")"),"#VALUE!")</f>
        <v>#VALUE!</v>
      </c>
    </row>
    <row r="217">
      <c r="C217" s="9" t="str">
        <f>IFERROR(__xludf.DUMMYFUNCTION("SPLIT("""","","")"),"#VALUE!")</f>
        <v>#VALUE!</v>
      </c>
    </row>
    <row r="218">
      <c r="C218" s="9" t="str">
        <f>IFERROR(__xludf.DUMMYFUNCTION("SPLIT("""","","")"),"#VALUE!")</f>
        <v>#VALUE!</v>
      </c>
    </row>
    <row r="219">
      <c r="C219" s="9" t="str">
        <f>IFERROR(__xludf.DUMMYFUNCTION("SPLIT("""","","")"),"#VALUE!")</f>
        <v>#VALUE!</v>
      </c>
    </row>
    <row r="220">
      <c r="C220" s="9" t="str">
        <f>IFERROR(__xludf.DUMMYFUNCTION("SPLIT("""","","")"),"#VALUE!")</f>
        <v>#VALUE!</v>
      </c>
    </row>
    <row r="221">
      <c r="C221" s="9" t="str">
        <f>IFERROR(__xludf.DUMMYFUNCTION("SPLIT("""","","")"),"#VALUE!")</f>
        <v>#VALUE!</v>
      </c>
    </row>
    <row r="222">
      <c r="C222" s="9" t="str">
        <f>IFERROR(__xludf.DUMMYFUNCTION("SPLIT("""","","")"),"#VALUE!")</f>
        <v>#VALUE!</v>
      </c>
    </row>
    <row r="223">
      <c r="C223" s="9" t="str">
        <f>IFERROR(__xludf.DUMMYFUNCTION("SPLIT("""","","")"),"#VALUE!")</f>
        <v>#VALUE!</v>
      </c>
    </row>
    <row r="224">
      <c r="C224" s="9" t="str">
        <f>IFERROR(__xludf.DUMMYFUNCTION("SPLIT("""","","")"),"#VALUE!")</f>
        <v>#VALUE!</v>
      </c>
    </row>
    <row r="225">
      <c r="C225" s="9" t="str">
        <f>IFERROR(__xludf.DUMMYFUNCTION("SPLIT("""","","")"),"#VALUE!")</f>
        <v>#VALUE!</v>
      </c>
    </row>
    <row r="226">
      <c r="C226" s="9" t="str">
        <f>IFERROR(__xludf.DUMMYFUNCTION("SPLIT("""","","")"),"#VALUE!")</f>
        <v>#VALUE!</v>
      </c>
    </row>
    <row r="227">
      <c r="C227" s="9" t="str">
        <f>IFERROR(__xludf.DUMMYFUNCTION("SPLIT("""","","")"),"#VALUE!")</f>
        <v>#VALUE!</v>
      </c>
    </row>
    <row r="228">
      <c r="C228" s="9" t="str">
        <f>IFERROR(__xludf.DUMMYFUNCTION("SPLIT("""","","")"),"#VALUE!")</f>
        <v>#VALUE!</v>
      </c>
    </row>
    <row r="229">
      <c r="C229" s="9" t="str">
        <f>IFERROR(__xludf.DUMMYFUNCTION("SPLIT("""","","")"),"#VALUE!")</f>
        <v>#VALUE!</v>
      </c>
    </row>
    <row r="230">
      <c r="C230" s="9" t="str">
        <f>IFERROR(__xludf.DUMMYFUNCTION("SPLIT("""","","")"),"#VALUE!")</f>
        <v>#VALUE!</v>
      </c>
    </row>
    <row r="231">
      <c r="C231" s="9" t="str">
        <f>IFERROR(__xludf.DUMMYFUNCTION("SPLIT("""","","")"),"#VALUE!")</f>
        <v>#VALUE!</v>
      </c>
    </row>
    <row r="232">
      <c r="C232" s="9" t="str">
        <f>IFERROR(__xludf.DUMMYFUNCTION("SPLIT("""","","")"),"#VALUE!")</f>
        <v>#VALUE!</v>
      </c>
    </row>
    <row r="233">
      <c r="C233" s="9" t="str">
        <f>IFERROR(__xludf.DUMMYFUNCTION("SPLIT("""","","")"),"#VALUE!")</f>
        <v>#VALUE!</v>
      </c>
    </row>
    <row r="234">
      <c r="C234" s="9" t="str">
        <f>IFERROR(__xludf.DUMMYFUNCTION("SPLIT("""","","")"),"#VALUE!")</f>
        <v>#VALUE!</v>
      </c>
    </row>
    <row r="235">
      <c r="C235" s="9" t="str">
        <f>IFERROR(__xludf.DUMMYFUNCTION("SPLIT("""","","")"),"#VALUE!")</f>
        <v>#VALUE!</v>
      </c>
    </row>
    <row r="236">
      <c r="C236" s="9" t="str">
        <f>IFERROR(__xludf.DUMMYFUNCTION("SPLIT("""","","")"),"#VALUE!")</f>
        <v>#VALUE!</v>
      </c>
    </row>
    <row r="237">
      <c r="C237" s="9" t="str">
        <f>IFERROR(__xludf.DUMMYFUNCTION("SPLIT("""","","")"),"#VALUE!")</f>
        <v>#VALUE!</v>
      </c>
    </row>
    <row r="238">
      <c r="C238" s="9" t="str">
        <f>IFERROR(__xludf.DUMMYFUNCTION("SPLIT("""","","")"),"#VALUE!")</f>
        <v>#VALUE!</v>
      </c>
    </row>
    <row r="239">
      <c r="C239" s="9" t="str">
        <f>IFERROR(__xludf.DUMMYFUNCTION("SPLIT("""","","")"),"#VALUE!")</f>
        <v>#VALUE!</v>
      </c>
    </row>
    <row r="240">
      <c r="C240" s="9" t="str">
        <f>IFERROR(__xludf.DUMMYFUNCTION("SPLIT("""","","")"),"#VALUE!")</f>
        <v>#VALUE!</v>
      </c>
    </row>
    <row r="241">
      <c r="C241" s="9" t="str">
        <f>IFERROR(__xludf.DUMMYFUNCTION("SPLIT("""","","")"),"#VALUE!")</f>
        <v>#VALUE!</v>
      </c>
    </row>
    <row r="242">
      <c r="C242" s="9" t="str">
        <f>IFERROR(__xludf.DUMMYFUNCTION("SPLIT("""","","")"),"#VALUE!")</f>
        <v>#VALUE!</v>
      </c>
    </row>
    <row r="243">
      <c r="C243" s="9" t="str">
        <f>IFERROR(__xludf.DUMMYFUNCTION("SPLIT("""","","")"),"#VALUE!")</f>
        <v>#VALUE!</v>
      </c>
    </row>
    <row r="244">
      <c r="C244" s="9" t="str">
        <f>IFERROR(__xludf.DUMMYFUNCTION("SPLIT("""","","")"),"#VALUE!")</f>
        <v>#VALUE!</v>
      </c>
    </row>
    <row r="245">
      <c r="C245" s="9" t="str">
        <f>IFERROR(__xludf.DUMMYFUNCTION("SPLIT("""","","")"),"#VALUE!")</f>
        <v>#VALUE!</v>
      </c>
    </row>
    <row r="246">
      <c r="C246" s="9" t="str">
        <f>IFERROR(__xludf.DUMMYFUNCTION("SPLIT("""","","")"),"#VALUE!")</f>
        <v>#VALUE!</v>
      </c>
    </row>
    <row r="247">
      <c r="C247" s="9" t="str">
        <f>IFERROR(__xludf.DUMMYFUNCTION("SPLIT("""","","")"),"#VALUE!")</f>
        <v>#VALUE!</v>
      </c>
    </row>
    <row r="248">
      <c r="C248" s="9" t="str">
        <f>IFERROR(__xludf.DUMMYFUNCTION("SPLIT("""","","")"),"#VALUE!")</f>
        <v>#VALUE!</v>
      </c>
    </row>
    <row r="249">
      <c r="C249" s="9" t="str">
        <f>IFERROR(__xludf.DUMMYFUNCTION("SPLIT("""","","")"),"#VALUE!")</f>
        <v>#VALUE!</v>
      </c>
    </row>
    <row r="250">
      <c r="C250" s="9" t="str">
        <f>IFERROR(__xludf.DUMMYFUNCTION("SPLIT("""","","")"),"#VALUE!")</f>
        <v>#VALUE!</v>
      </c>
    </row>
    <row r="251">
      <c r="C251" s="9" t="str">
        <f>IFERROR(__xludf.DUMMYFUNCTION("SPLIT("""","","")"),"#VALUE!")</f>
        <v>#VALUE!</v>
      </c>
    </row>
    <row r="252">
      <c r="C252" s="9" t="str">
        <f>IFERROR(__xludf.DUMMYFUNCTION("SPLIT("""","","")"),"#VALUE!")</f>
        <v>#VALUE!</v>
      </c>
    </row>
    <row r="253">
      <c r="C253" s="9" t="str">
        <f>IFERROR(__xludf.DUMMYFUNCTION("SPLIT("""","","")"),"#VALUE!")</f>
        <v>#VALUE!</v>
      </c>
    </row>
    <row r="254">
      <c r="C254" s="9" t="str">
        <f>IFERROR(__xludf.DUMMYFUNCTION("SPLIT("""","","")"),"#VALUE!")</f>
        <v>#VALUE!</v>
      </c>
    </row>
    <row r="255">
      <c r="C255" s="9" t="str">
        <f>IFERROR(__xludf.DUMMYFUNCTION("SPLIT("""","","")"),"#VALUE!")</f>
        <v>#VALUE!</v>
      </c>
    </row>
    <row r="256">
      <c r="C256" s="9" t="str">
        <f>IFERROR(__xludf.DUMMYFUNCTION("SPLIT("""","","")"),"#VALUE!")</f>
        <v>#VALUE!</v>
      </c>
    </row>
    <row r="257">
      <c r="C257" s="9" t="str">
        <f>IFERROR(__xludf.DUMMYFUNCTION("SPLIT("""","","")"),"#VALUE!")</f>
        <v>#VALUE!</v>
      </c>
    </row>
    <row r="258">
      <c r="C258" s="9" t="str">
        <f>IFERROR(__xludf.DUMMYFUNCTION("SPLIT("""","","")"),"#VALUE!")</f>
        <v>#VALUE!</v>
      </c>
    </row>
    <row r="259">
      <c r="C259" s="9" t="str">
        <f>IFERROR(__xludf.DUMMYFUNCTION("SPLIT("""","","")"),"#VALUE!")</f>
        <v>#VALUE!</v>
      </c>
    </row>
    <row r="260">
      <c r="C260" s="9" t="str">
        <f>IFERROR(__xludf.DUMMYFUNCTION("SPLIT("""","","")"),"#VALUE!")</f>
        <v>#VALUE!</v>
      </c>
    </row>
    <row r="261">
      <c r="C261" s="9" t="str">
        <f>IFERROR(__xludf.DUMMYFUNCTION("SPLIT("""","","")"),"#VALUE!")</f>
        <v>#VALUE!</v>
      </c>
    </row>
    <row r="262">
      <c r="C262" s="9" t="str">
        <f>IFERROR(__xludf.DUMMYFUNCTION("SPLIT("""","","")"),"#VALUE!")</f>
        <v>#VALUE!</v>
      </c>
    </row>
    <row r="263">
      <c r="C263" s="9" t="str">
        <f>IFERROR(__xludf.DUMMYFUNCTION("SPLIT("""","","")"),"#VALUE!")</f>
        <v>#VALUE!</v>
      </c>
    </row>
    <row r="264">
      <c r="C264" s="9" t="str">
        <f>IFERROR(__xludf.DUMMYFUNCTION("SPLIT("""","","")"),"#VALUE!")</f>
        <v>#VALUE!</v>
      </c>
    </row>
    <row r="265">
      <c r="C265" s="9" t="str">
        <f>IFERROR(__xludf.DUMMYFUNCTION("SPLIT("""","","")"),"#VALUE!")</f>
        <v>#VALUE!</v>
      </c>
    </row>
    <row r="266">
      <c r="C266" s="9" t="str">
        <f>IFERROR(__xludf.DUMMYFUNCTION("SPLIT("""","","")"),"#VALUE!")</f>
        <v>#VALUE!</v>
      </c>
    </row>
    <row r="267">
      <c r="C267" s="9" t="str">
        <f>IFERROR(__xludf.DUMMYFUNCTION("SPLIT("""","","")"),"#VALUE!")</f>
        <v>#VALUE!</v>
      </c>
    </row>
    <row r="268">
      <c r="C268" s="9" t="str">
        <f>IFERROR(__xludf.DUMMYFUNCTION("SPLIT("""","","")"),"#VALUE!")</f>
        <v>#VALUE!</v>
      </c>
    </row>
    <row r="269">
      <c r="C269" s="9" t="str">
        <f>IFERROR(__xludf.DUMMYFUNCTION("SPLIT("""","","")"),"#VALUE!")</f>
        <v>#VALUE!</v>
      </c>
    </row>
    <row r="270">
      <c r="C270" s="9" t="str">
        <f>IFERROR(__xludf.DUMMYFUNCTION("SPLIT("""","","")"),"#VALUE!")</f>
        <v>#VALUE!</v>
      </c>
    </row>
    <row r="271">
      <c r="C271" s="9" t="str">
        <f>IFERROR(__xludf.DUMMYFUNCTION("SPLIT("""","","")"),"#VALUE!")</f>
        <v>#VALUE!</v>
      </c>
    </row>
    <row r="272">
      <c r="C272" s="9" t="str">
        <f>IFERROR(__xludf.DUMMYFUNCTION("SPLIT("""","","")"),"#VALUE!")</f>
        <v>#VALUE!</v>
      </c>
    </row>
    <row r="273">
      <c r="C273" s="9" t="str">
        <f>IFERROR(__xludf.DUMMYFUNCTION("SPLIT("""","","")"),"#VALUE!")</f>
        <v>#VALUE!</v>
      </c>
    </row>
    <row r="274">
      <c r="C274" s="9" t="str">
        <f>IFERROR(__xludf.DUMMYFUNCTION("SPLIT("""","","")"),"#VALUE!")</f>
        <v>#VALUE!</v>
      </c>
    </row>
    <row r="275">
      <c r="C275" s="9" t="str">
        <f>IFERROR(__xludf.DUMMYFUNCTION("SPLIT("""","","")"),"#VALUE!")</f>
        <v>#VALUE!</v>
      </c>
    </row>
    <row r="276">
      <c r="C276" s="9" t="str">
        <f>IFERROR(__xludf.DUMMYFUNCTION("SPLIT("""","","")"),"#VALUE!")</f>
        <v>#VALUE!</v>
      </c>
    </row>
    <row r="277">
      <c r="C277" s="9" t="str">
        <f>IFERROR(__xludf.DUMMYFUNCTION("SPLIT("""","","")"),"#VALUE!")</f>
        <v>#VALUE!</v>
      </c>
    </row>
    <row r="278">
      <c r="C278" s="9" t="str">
        <f>IFERROR(__xludf.DUMMYFUNCTION("SPLIT("""","","")"),"#VALUE!")</f>
        <v>#VALUE!</v>
      </c>
    </row>
    <row r="279">
      <c r="C279" s="9" t="str">
        <f>IFERROR(__xludf.DUMMYFUNCTION("SPLIT("""","","")"),"#VALUE!")</f>
        <v>#VALUE!</v>
      </c>
    </row>
    <row r="280">
      <c r="C280" s="9" t="str">
        <f>IFERROR(__xludf.DUMMYFUNCTION("SPLIT("""","","")"),"#VALUE!")</f>
        <v>#VALUE!</v>
      </c>
    </row>
    <row r="281">
      <c r="C281" s="9" t="str">
        <f>IFERROR(__xludf.DUMMYFUNCTION("SPLIT("""","","")"),"#VALUE!")</f>
        <v>#VALUE!</v>
      </c>
    </row>
    <row r="282">
      <c r="C282" s="9" t="str">
        <f>IFERROR(__xludf.DUMMYFUNCTION("SPLIT("""","","")"),"#VALUE!")</f>
        <v>#VALUE!</v>
      </c>
    </row>
    <row r="283">
      <c r="C283" s="9" t="str">
        <f>IFERROR(__xludf.DUMMYFUNCTION("SPLIT("""","","")"),"#VALUE!")</f>
        <v>#VALUE!</v>
      </c>
    </row>
    <row r="284">
      <c r="C284" s="9" t="str">
        <f>IFERROR(__xludf.DUMMYFUNCTION("SPLIT("""","","")"),"#VALUE!")</f>
        <v>#VALUE!</v>
      </c>
    </row>
    <row r="285">
      <c r="C285" s="9" t="str">
        <f>IFERROR(__xludf.DUMMYFUNCTION("SPLIT("""","","")"),"#VALUE!")</f>
        <v>#VALUE!</v>
      </c>
    </row>
    <row r="286">
      <c r="C286" s="9" t="str">
        <f>IFERROR(__xludf.DUMMYFUNCTION("SPLIT("""","","")"),"#VALUE!")</f>
        <v>#VALUE!</v>
      </c>
    </row>
    <row r="287">
      <c r="C287" s="9" t="str">
        <f>IFERROR(__xludf.DUMMYFUNCTION("SPLIT("""","","")"),"#VALUE!")</f>
        <v>#VALUE!</v>
      </c>
    </row>
    <row r="288">
      <c r="C288" s="9" t="str">
        <f>IFERROR(__xludf.DUMMYFUNCTION("SPLIT("""","","")"),"#VALUE!")</f>
        <v>#VALUE!</v>
      </c>
    </row>
    <row r="289">
      <c r="C289" s="9" t="str">
        <f>IFERROR(__xludf.DUMMYFUNCTION("SPLIT("""","","")"),"#VALUE!")</f>
        <v>#VALUE!</v>
      </c>
    </row>
    <row r="290">
      <c r="C290" s="9" t="str">
        <f>IFERROR(__xludf.DUMMYFUNCTION("SPLIT("""","","")"),"#VALUE!")</f>
        <v>#VALUE!</v>
      </c>
    </row>
    <row r="291">
      <c r="C291" s="9" t="str">
        <f>IFERROR(__xludf.DUMMYFUNCTION("SPLIT("""","","")"),"#VALUE!")</f>
        <v>#VALUE!</v>
      </c>
    </row>
    <row r="292">
      <c r="C292" s="9" t="str">
        <f>IFERROR(__xludf.DUMMYFUNCTION("SPLIT("""","","")"),"#VALUE!")</f>
        <v>#VALUE!</v>
      </c>
    </row>
    <row r="293">
      <c r="C293" s="9" t="str">
        <f>IFERROR(__xludf.DUMMYFUNCTION("SPLIT("""","","")"),"#VALUE!")</f>
        <v>#VALUE!</v>
      </c>
    </row>
    <row r="294">
      <c r="C294" s="9" t="str">
        <f>IFERROR(__xludf.DUMMYFUNCTION("SPLIT("""","","")"),"#VALUE!")</f>
        <v>#VALUE!</v>
      </c>
    </row>
    <row r="295">
      <c r="C295" s="9" t="str">
        <f>IFERROR(__xludf.DUMMYFUNCTION("SPLIT("""","","")"),"#VALUE!")</f>
        <v>#VALUE!</v>
      </c>
    </row>
    <row r="296">
      <c r="C296" s="9" t="str">
        <f>IFERROR(__xludf.DUMMYFUNCTION("SPLIT("""","","")"),"#VALUE!")</f>
        <v>#VALUE!</v>
      </c>
    </row>
    <row r="297">
      <c r="C297" s="9" t="str">
        <f>IFERROR(__xludf.DUMMYFUNCTION("SPLIT("""","","")"),"#VALUE!")</f>
        <v>#VALUE!</v>
      </c>
    </row>
    <row r="298">
      <c r="C298" s="9" t="str">
        <f>IFERROR(__xludf.DUMMYFUNCTION("SPLIT("""","","")"),"#VALUE!")</f>
        <v>#VALUE!</v>
      </c>
    </row>
    <row r="299">
      <c r="C299" s="9" t="str">
        <f>IFERROR(__xludf.DUMMYFUNCTION("SPLIT("""","","")"),"#VALUE!")</f>
        <v>#VALUE!</v>
      </c>
    </row>
    <row r="300">
      <c r="C300" s="9" t="str">
        <f>IFERROR(__xludf.DUMMYFUNCTION("SPLIT("""","","")"),"#VALUE!")</f>
        <v>#VALUE!</v>
      </c>
    </row>
    <row r="301">
      <c r="C301" s="9" t="str">
        <f>IFERROR(__xludf.DUMMYFUNCTION("SPLIT("""","","")"),"#VALUE!")</f>
        <v>#VALUE!</v>
      </c>
    </row>
    <row r="302">
      <c r="C302" s="9" t="str">
        <f>IFERROR(__xludf.DUMMYFUNCTION("SPLIT("""","","")"),"#VALUE!")</f>
        <v>#VALUE!</v>
      </c>
    </row>
    <row r="303">
      <c r="C303" s="9" t="str">
        <f>IFERROR(__xludf.DUMMYFUNCTION("SPLIT("""","","")"),"#VALUE!")</f>
        <v>#VALUE!</v>
      </c>
    </row>
    <row r="304">
      <c r="C304" s="9" t="str">
        <f>IFERROR(__xludf.DUMMYFUNCTION("SPLIT("""","","")"),"#VALUE!")</f>
        <v>#VALUE!</v>
      </c>
    </row>
    <row r="305">
      <c r="C305" s="9" t="str">
        <f>IFERROR(__xludf.DUMMYFUNCTION("SPLIT("""","","")"),"#VALUE!")</f>
        <v>#VALUE!</v>
      </c>
    </row>
    <row r="306">
      <c r="C306" s="9" t="str">
        <f>IFERROR(__xludf.DUMMYFUNCTION("SPLIT("""","","")"),"#VALUE!")</f>
        <v>#VALUE!</v>
      </c>
    </row>
    <row r="307">
      <c r="C307" s="9" t="str">
        <f>IFERROR(__xludf.DUMMYFUNCTION("SPLIT("""","","")"),"#VALUE!")</f>
        <v>#VALUE!</v>
      </c>
    </row>
    <row r="308">
      <c r="C308" s="9" t="str">
        <f>IFERROR(__xludf.DUMMYFUNCTION("SPLIT("""","","")"),"#VALUE!")</f>
        <v>#VALUE!</v>
      </c>
    </row>
    <row r="309">
      <c r="C309" s="9" t="str">
        <f>IFERROR(__xludf.DUMMYFUNCTION("SPLIT("""","","")"),"#VALUE!")</f>
        <v>#VALUE!</v>
      </c>
    </row>
    <row r="310">
      <c r="C310" s="9" t="str">
        <f>IFERROR(__xludf.DUMMYFUNCTION("SPLIT("""","","")"),"#VALUE!")</f>
        <v>#VALUE!</v>
      </c>
    </row>
    <row r="311">
      <c r="C311" s="9" t="str">
        <f>IFERROR(__xludf.DUMMYFUNCTION("SPLIT("""","","")"),"#VALUE!")</f>
        <v>#VALUE!</v>
      </c>
    </row>
    <row r="312">
      <c r="C312" s="9" t="str">
        <f>IFERROR(__xludf.DUMMYFUNCTION("SPLIT("""","","")"),"#VALUE!")</f>
        <v>#VALUE!</v>
      </c>
    </row>
    <row r="313">
      <c r="C313" s="9" t="str">
        <f>IFERROR(__xludf.DUMMYFUNCTION("SPLIT("""","","")"),"#VALUE!")</f>
        <v>#VALUE!</v>
      </c>
    </row>
    <row r="314">
      <c r="C314" s="9" t="str">
        <f>IFERROR(__xludf.DUMMYFUNCTION("SPLIT("""","","")"),"#VALUE!")</f>
        <v>#VALUE!</v>
      </c>
    </row>
    <row r="315">
      <c r="C315" s="9" t="str">
        <f>IFERROR(__xludf.DUMMYFUNCTION("SPLIT("""","","")"),"#VALUE!")</f>
        <v>#VALUE!</v>
      </c>
    </row>
    <row r="316">
      <c r="C316" s="9" t="str">
        <f>IFERROR(__xludf.DUMMYFUNCTION("SPLIT("""","","")"),"#VALUE!")</f>
        <v>#VALUE!</v>
      </c>
    </row>
    <row r="317">
      <c r="C317" s="9" t="str">
        <f>IFERROR(__xludf.DUMMYFUNCTION("SPLIT("""","","")"),"#VALUE!")</f>
        <v>#VALUE!</v>
      </c>
    </row>
    <row r="318">
      <c r="C318" s="9" t="str">
        <f>IFERROR(__xludf.DUMMYFUNCTION("SPLIT("""","","")"),"#VALUE!")</f>
        <v>#VALUE!</v>
      </c>
    </row>
    <row r="319">
      <c r="C319" s="9" t="str">
        <f>IFERROR(__xludf.DUMMYFUNCTION("SPLIT("""","","")"),"#VALUE!")</f>
        <v>#VALUE!</v>
      </c>
    </row>
    <row r="320">
      <c r="C320" s="9" t="str">
        <f>IFERROR(__xludf.DUMMYFUNCTION("SPLIT("""","","")"),"#VALUE!")</f>
        <v>#VALUE!</v>
      </c>
    </row>
    <row r="321">
      <c r="C321" s="9" t="str">
        <f>IFERROR(__xludf.DUMMYFUNCTION("SPLIT("""","","")"),"#VALUE!")</f>
        <v>#VALUE!</v>
      </c>
    </row>
    <row r="322">
      <c r="C322" s="9" t="str">
        <f>IFERROR(__xludf.DUMMYFUNCTION("SPLIT("""","","")"),"#VALUE!")</f>
        <v>#VALUE!</v>
      </c>
    </row>
    <row r="323">
      <c r="C323" s="9" t="str">
        <f>IFERROR(__xludf.DUMMYFUNCTION("SPLIT("""","","")"),"#VALUE!")</f>
        <v>#VALUE!</v>
      </c>
    </row>
    <row r="324">
      <c r="C324" s="9" t="str">
        <f>IFERROR(__xludf.DUMMYFUNCTION("SPLIT("""","","")"),"#VALUE!")</f>
        <v>#VALUE!</v>
      </c>
    </row>
    <row r="325">
      <c r="C325" s="9" t="str">
        <f>IFERROR(__xludf.DUMMYFUNCTION("SPLIT("""","","")"),"#VALUE!")</f>
        <v>#VALUE!</v>
      </c>
    </row>
    <row r="326">
      <c r="C326" s="9" t="str">
        <f>IFERROR(__xludf.DUMMYFUNCTION("SPLIT("""","","")"),"#VALUE!")</f>
        <v>#VALUE!</v>
      </c>
    </row>
    <row r="327">
      <c r="C327" s="9" t="str">
        <f>IFERROR(__xludf.DUMMYFUNCTION("SPLIT("""","","")"),"#VALUE!")</f>
        <v>#VALUE!</v>
      </c>
    </row>
    <row r="328">
      <c r="C328" s="9" t="str">
        <f>IFERROR(__xludf.DUMMYFUNCTION("SPLIT("""","","")"),"#VALUE!")</f>
        <v>#VALUE!</v>
      </c>
    </row>
    <row r="329">
      <c r="C329" s="9" t="str">
        <f>IFERROR(__xludf.DUMMYFUNCTION("SPLIT("""","","")"),"#VALUE!")</f>
        <v>#VALUE!</v>
      </c>
    </row>
    <row r="330">
      <c r="C330" s="9" t="str">
        <f>IFERROR(__xludf.DUMMYFUNCTION("SPLIT("""","","")"),"#VALUE!")</f>
        <v>#VALUE!</v>
      </c>
    </row>
    <row r="331">
      <c r="C331" s="9" t="str">
        <f>IFERROR(__xludf.DUMMYFUNCTION("SPLIT("""","","")"),"#VALUE!")</f>
        <v>#VALUE!</v>
      </c>
    </row>
    <row r="332">
      <c r="C332" s="9" t="str">
        <f>IFERROR(__xludf.DUMMYFUNCTION("SPLIT("""","","")"),"#VALUE!")</f>
        <v>#VALUE!</v>
      </c>
    </row>
    <row r="333">
      <c r="C333" s="9" t="str">
        <f>IFERROR(__xludf.DUMMYFUNCTION("SPLIT("""","","")"),"#VALUE!")</f>
        <v>#VALUE!</v>
      </c>
    </row>
    <row r="334">
      <c r="C334" s="9" t="str">
        <f>IFERROR(__xludf.DUMMYFUNCTION("SPLIT("""","","")"),"#VALUE!")</f>
        <v>#VALUE!</v>
      </c>
    </row>
    <row r="335">
      <c r="C335" s="9" t="str">
        <f>IFERROR(__xludf.DUMMYFUNCTION("SPLIT("""","","")"),"#VALUE!")</f>
        <v>#VALUE!</v>
      </c>
    </row>
    <row r="336">
      <c r="C336" s="9" t="str">
        <f>IFERROR(__xludf.DUMMYFUNCTION("SPLIT("""","","")"),"#VALUE!")</f>
        <v>#VALUE!</v>
      </c>
    </row>
    <row r="337">
      <c r="C337" s="9" t="str">
        <f>IFERROR(__xludf.DUMMYFUNCTION("SPLIT("""","","")"),"#VALUE!")</f>
        <v>#VALUE!</v>
      </c>
    </row>
    <row r="338">
      <c r="C338" s="9" t="str">
        <f>IFERROR(__xludf.DUMMYFUNCTION("SPLIT("""","","")"),"#VALUE!")</f>
        <v>#VALUE!</v>
      </c>
    </row>
    <row r="339">
      <c r="C339" s="9" t="str">
        <f>IFERROR(__xludf.DUMMYFUNCTION("SPLIT("""","","")"),"#VALUE!")</f>
        <v>#VALUE!</v>
      </c>
    </row>
    <row r="340">
      <c r="C340" s="9" t="str">
        <f>IFERROR(__xludf.DUMMYFUNCTION("SPLIT("""","","")"),"#VALUE!")</f>
        <v>#VALUE!</v>
      </c>
    </row>
    <row r="341">
      <c r="C341" s="9" t="str">
        <f>IFERROR(__xludf.DUMMYFUNCTION("SPLIT("""","","")"),"#VALUE!")</f>
        <v>#VALUE!</v>
      </c>
    </row>
    <row r="342">
      <c r="C342" s="9" t="str">
        <f>IFERROR(__xludf.DUMMYFUNCTION("SPLIT("""","","")"),"#VALUE!")</f>
        <v>#VALUE!</v>
      </c>
    </row>
    <row r="343">
      <c r="C343" s="9" t="str">
        <f>IFERROR(__xludf.DUMMYFUNCTION("SPLIT("""","","")"),"#VALUE!")</f>
        <v>#VALUE!</v>
      </c>
    </row>
    <row r="344">
      <c r="C344" s="9" t="str">
        <f>IFERROR(__xludf.DUMMYFUNCTION("SPLIT("""","","")"),"#VALUE!")</f>
        <v>#VALUE!</v>
      </c>
    </row>
    <row r="345">
      <c r="C345" s="9" t="str">
        <f>IFERROR(__xludf.DUMMYFUNCTION("SPLIT("""","","")"),"#VALUE!")</f>
        <v>#VALUE!</v>
      </c>
    </row>
    <row r="346">
      <c r="C346" s="9" t="str">
        <f>IFERROR(__xludf.DUMMYFUNCTION("SPLIT("""","","")"),"#VALUE!")</f>
        <v>#VALUE!</v>
      </c>
    </row>
    <row r="347">
      <c r="C347" s="9" t="str">
        <f>IFERROR(__xludf.DUMMYFUNCTION("SPLIT("""","","")"),"#VALUE!")</f>
        <v>#VALUE!</v>
      </c>
    </row>
    <row r="348">
      <c r="C348" s="9" t="str">
        <f>IFERROR(__xludf.DUMMYFUNCTION("SPLIT("""","","")"),"#VALUE!")</f>
        <v>#VALUE!</v>
      </c>
    </row>
    <row r="349">
      <c r="C349" s="9" t="str">
        <f>IFERROR(__xludf.DUMMYFUNCTION("SPLIT("""","","")"),"#VALUE!")</f>
        <v>#VALUE!</v>
      </c>
    </row>
    <row r="350">
      <c r="C350" s="9" t="str">
        <f>IFERROR(__xludf.DUMMYFUNCTION("SPLIT("""","","")"),"#VALUE!")</f>
        <v>#VALUE!</v>
      </c>
    </row>
    <row r="351">
      <c r="C351" s="9" t="str">
        <f>IFERROR(__xludf.DUMMYFUNCTION("SPLIT("""","","")"),"#VALUE!")</f>
        <v>#VALUE!</v>
      </c>
    </row>
    <row r="352">
      <c r="C352" s="9" t="str">
        <f>IFERROR(__xludf.DUMMYFUNCTION("SPLIT("""","","")"),"#VALUE!")</f>
        <v>#VALUE!</v>
      </c>
    </row>
    <row r="353">
      <c r="C353" s="9" t="str">
        <f>IFERROR(__xludf.DUMMYFUNCTION("SPLIT("""","","")"),"#VALUE!")</f>
        <v>#VALUE!</v>
      </c>
    </row>
    <row r="354">
      <c r="C354" s="9" t="str">
        <f>IFERROR(__xludf.DUMMYFUNCTION("SPLIT("""","","")"),"#VALUE!")</f>
        <v>#VALUE!</v>
      </c>
    </row>
    <row r="355">
      <c r="C355" s="9" t="str">
        <f>IFERROR(__xludf.DUMMYFUNCTION("SPLIT("""","","")"),"#VALUE!")</f>
        <v>#VALUE!</v>
      </c>
    </row>
    <row r="356">
      <c r="C356" s="9" t="str">
        <f>IFERROR(__xludf.DUMMYFUNCTION("SPLIT("""","","")"),"#VALUE!")</f>
        <v>#VALUE!</v>
      </c>
    </row>
    <row r="357">
      <c r="C357" s="9" t="str">
        <f>IFERROR(__xludf.DUMMYFUNCTION("SPLIT("""","","")"),"#VALUE!")</f>
        <v>#VALUE!</v>
      </c>
    </row>
    <row r="358">
      <c r="C358" s="9" t="str">
        <f>IFERROR(__xludf.DUMMYFUNCTION("SPLIT("""","","")"),"#VALUE!")</f>
        <v>#VALUE!</v>
      </c>
    </row>
    <row r="359">
      <c r="C359" s="9" t="str">
        <f>IFERROR(__xludf.DUMMYFUNCTION("SPLIT("""","","")"),"#VALUE!")</f>
        <v>#VALUE!</v>
      </c>
    </row>
    <row r="360">
      <c r="C360" s="9" t="str">
        <f>IFERROR(__xludf.DUMMYFUNCTION("SPLIT("""","","")"),"#VALUE!")</f>
        <v>#VALUE!</v>
      </c>
    </row>
    <row r="361">
      <c r="C361" s="9" t="str">
        <f>IFERROR(__xludf.DUMMYFUNCTION("SPLIT("""","","")"),"#VALUE!")</f>
        <v>#VALUE!</v>
      </c>
    </row>
    <row r="362">
      <c r="C362" s="9" t="str">
        <f>IFERROR(__xludf.DUMMYFUNCTION("SPLIT("""","","")"),"#VALUE!")</f>
        <v>#VALUE!</v>
      </c>
    </row>
    <row r="363">
      <c r="C363" s="9" t="str">
        <f>IFERROR(__xludf.DUMMYFUNCTION("SPLIT("""","","")"),"#VALUE!")</f>
        <v>#VALUE!</v>
      </c>
    </row>
    <row r="364">
      <c r="C364" s="9" t="str">
        <f>IFERROR(__xludf.DUMMYFUNCTION("SPLIT("""","","")"),"#VALUE!")</f>
        <v>#VALUE!</v>
      </c>
    </row>
    <row r="365">
      <c r="C365" s="9" t="str">
        <f>IFERROR(__xludf.DUMMYFUNCTION("SPLIT("""","","")"),"#VALUE!")</f>
        <v>#VALUE!</v>
      </c>
    </row>
    <row r="366">
      <c r="C366" s="9" t="str">
        <f>IFERROR(__xludf.DUMMYFUNCTION("SPLIT("""","","")"),"#VALUE!")</f>
        <v>#VALUE!</v>
      </c>
    </row>
    <row r="367">
      <c r="C367" s="9" t="str">
        <f>IFERROR(__xludf.DUMMYFUNCTION("SPLIT("""","","")"),"#VALUE!")</f>
        <v>#VALUE!</v>
      </c>
    </row>
    <row r="368">
      <c r="C368" s="9" t="str">
        <f>IFERROR(__xludf.DUMMYFUNCTION("SPLIT("""","","")"),"#VALUE!")</f>
        <v>#VALUE!</v>
      </c>
    </row>
    <row r="369">
      <c r="C369" s="9" t="str">
        <f>IFERROR(__xludf.DUMMYFUNCTION("SPLIT("""","","")"),"#VALUE!")</f>
        <v>#VALUE!</v>
      </c>
    </row>
    <row r="370">
      <c r="C370" s="9" t="str">
        <f>IFERROR(__xludf.DUMMYFUNCTION("SPLIT("""","","")"),"#VALUE!")</f>
        <v>#VALUE!</v>
      </c>
    </row>
    <row r="371">
      <c r="C371" s="9" t="str">
        <f>IFERROR(__xludf.DUMMYFUNCTION("SPLIT("""","","")"),"#VALUE!")</f>
        <v>#VALUE!</v>
      </c>
    </row>
    <row r="372">
      <c r="C372" s="9" t="str">
        <f>IFERROR(__xludf.DUMMYFUNCTION("SPLIT("""","","")"),"#VALUE!")</f>
        <v>#VALUE!</v>
      </c>
    </row>
    <row r="373">
      <c r="C373" s="9" t="str">
        <f>IFERROR(__xludf.DUMMYFUNCTION("SPLIT("""","","")"),"#VALUE!")</f>
        <v>#VALUE!</v>
      </c>
    </row>
    <row r="374">
      <c r="C374" s="9" t="str">
        <f>IFERROR(__xludf.DUMMYFUNCTION("SPLIT("""","","")"),"#VALUE!")</f>
        <v>#VALUE!</v>
      </c>
    </row>
    <row r="375">
      <c r="C375" s="9" t="str">
        <f>IFERROR(__xludf.DUMMYFUNCTION("SPLIT("""","","")"),"#VALUE!")</f>
        <v>#VALUE!</v>
      </c>
    </row>
    <row r="376">
      <c r="C376" s="9" t="str">
        <f>IFERROR(__xludf.DUMMYFUNCTION("SPLIT("""","","")"),"#VALUE!")</f>
        <v>#VALUE!</v>
      </c>
    </row>
    <row r="377">
      <c r="C377" s="9" t="str">
        <f>IFERROR(__xludf.DUMMYFUNCTION("SPLIT("""","","")"),"#VALUE!")</f>
        <v>#VALUE!</v>
      </c>
    </row>
    <row r="378">
      <c r="C378" s="9" t="str">
        <f>IFERROR(__xludf.DUMMYFUNCTION("SPLIT("""","","")"),"#VALUE!")</f>
        <v>#VALUE!</v>
      </c>
    </row>
    <row r="379">
      <c r="C379" s="9" t="str">
        <f>IFERROR(__xludf.DUMMYFUNCTION("SPLIT("""","","")"),"#VALUE!")</f>
        <v>#VALUE!</v>
      </c>
    </row>
    <row r="380">
      <c r="C380" s="9" t="str">
        <f>IFERROR(__xludf.DUMMYFUNCTION("SPLIT("""","","")"),"#VALUE!")</f>
        <v>#VALUE!</v>
      </c>
    </row>
    <row r="381">
      <c r="C381" s="9" t="str">
        <f>IFERROR(__xludf.DUMMYFUNCTION("SPLIT("""","","")"),"#VALUE!")</f>
        <v>#VALUE!</v>
      </c>
    </row>
    <row r="382">
      <c r="C382" s="9" t="str">
        <f>IFERROR(__xludf.DUMMYFUNCTION("SPLIT("""","","")"),"#VALUE!")</f>
        <v>#VALUE!</v>
      </c>
    </row>
    <row r="383">
      <c r="C383" s="9" t="str">
        <f>IFERROR(__xludf.DUMMYFUNCTION("SPLIT("""","","")"),"#VALUE!")</f>
        <v>#VALUE!</v>
      </c>
    </row>
    <row r="384">
      <c r="C384" s="9" t="str">
        <f>IFERROR(__xludf.DUMMYFUNCTION("SPLIT("""","","")"),"#VALUE!")</f>
        <v>#VALUE!</v>
      </c>
    </row>
    <row r="385">
      <c r="C385" s="9" t="str">
        <f>IFERROR(__xludf.DUMMYFUNCTION("SPLIT("""","","")"),"#VALUE!")</f>
        <v>#VALUE!</v>
      </c>
    </row>
    <row r="386">
      <c r="C386" s="9" t="str">
        <f>IFERROR(__xludf.DUMMYFUNCTION("SPLIT("""","","")"),"#VALUE!")</f>
        <v>#VALUE!</v>
      </c>
    </row>
    <row r="387">
      <c r="C387" s="9" t="str">
        <f>IFERROR(__xludf.DUMMYFUNCTION("SPLIT("""","","")"),"#VALUE!")</f>
        <v>#VALUE!</v>
      </c>
    </row>
    <row r="388">
      <c r="C388" s="9" t="str">
        <f>IFERROR(__xludf.DUMMYFUNCTION("SPLIT("""","","")"),"#VALUE!")</f>
        <v>#VALUE!</v>
      </c>
    </row>
    <row r="389">
      <c r="C389" s="9" t="str">
        <f>IFERROR(__xludf.DUMMYFUNCTION("SPLIT("""","","")"),"#VALUE!")</f>
        <v>#VALUE!</v>
      </c>
    </row>
    <row r="390">
      <c r="C390" s="9" t="str">
        <f>IFERROR(__xludf.DUMMYFUNCTION("SPLIT("""","","")"),"#VALUE!")</f>
        <v>#VALUE!</v>
      </c>
    </row>
    <row r="391">
      <c r="C391" s="9" t="str">
        <f>IFERROR(__xludf.DUMMYFUNCTION("SPLIT("""","","")"),"#VALUE!")</f>
        <v>#VALUE!</v>
      </c>
    </row>
    <row r="392">
      <c r="C392" s="9" t="str">
        <f>IFERROR(__xludf.DUMMYFUNCTION("SPLIT("""","","")"),"#VALUE!")</f>
        <v>#VALUE!</v>
      </c>
    </row>
    <row r="393">
      <c r="C393" s="9" t="str">
        <f>IFERROR(__xludf.DUMMYFUNCTION("SPLIT("""","","")"),"#VALUE!")</f>
        <v>#VALUE!</v>
      </c>
    </row>
    <row r="394">
      <c r="C394" s="9" t="str">
        <f>IFERROR(__xludf.DUMMYFUNCTION("SPLIT("""","","")"),"#VALUE!")</f>
        <v>#VALUE!</v>
      </c>
    </row>
    <row r="395">
      <c r="C395" s="9" t="str">
        <f>IFERROR(__xludf.DUMMYFUNCTION("SPLIT("""","","")"),"#VALUE!")</f>
        <v>#VALUE!</v>
      </c>
    </row>
    <row r="396">
      <c r="C396" s="9" t="str">
        <f>IFERROR(__xludf.DUMMYFUNCTION("SPLIT("""","","")"),"#VALUE!")</f>
        <v>#VALUE!</v>
      </c>
    </row>
    <row r="397">
      <c r="C397" s="9" t="str">
        <f>IFERROR(__xludf.DUMMYFUNCTION("SPLIT("""","","")"),"#VALUE!")</f>
        <v>#VALUE!</v>
      </c>
    </row>
    <row r="398">
      <c r="C398" s="9" t="str">
        <f>IFERROR(__xludf.DUMMYFUNCTION("SPLIT("""","","")"),"#VALUE!")</f>
        <v>#VALUE!</v>
      </c>
    </row>
    <row r="399">
      <c r="C399" s="9" t="str">
        <f>IFERROR(__xludf.DUMMYFUNCTION("SPLIT("""","","")"),"#VALUE!")</f>
        <v>#VALUE!</v>
      </c>
    </row>
    <row r="400">
      <c r="C400" s="9" t="str">
        <f>IFERROR(__xludf.DUMMYFUNCTION("SPLIT("""","","")"),"#VALUE!")</f>
        <v>#VALUE!</v>
      </c>
    </row>
    <row r="401">
      <c r="C401" s="9" t="str">
        <f>IFERROR(__xludf.DUMMYFUNCTION("SPLIT("""","","")"),"#VALUE!")</f>
        <v>#VALUE!</v>
      </c>
    </row>
    <row r="402">
      <c r="C402" s="9" t="str">
        <f>IFERROR(__xludf.DUMMYFUNCTION("SPLIT("""","","")"),"#VALUE!")</f>
        <v>#VALUE!</v>
      </c>
    </row>
    <row r="403">
      <c r="C403" s="9" t="str">
        <f>IFERROR(__xludf.DUMMYFUNCTION("SPLIT("""","","")"),"#VALUE!")</f>
        <v>#VALUE!</v>
      </c>
    </row>
    <row r="404">
      <c r="C404" s="9" t="str">
        <f>IFERROR(__xludf.DUMMYFUNCTION("SPLIT("""","","")"),"#VALUE!")</f>
        <v>#VALUE!</v>
      </c>
    </row>
    <row r="405">
      <c r="C405" s="9" t="str">
        <f>IFERROR(__xludf.DUMMYFUNCTION("SPLIT("""","","")"),"#VALUE!")</f>
        <v>#VALUE!</v>
      </c>
    </row>
    <row r="406">
      <c r="C406" s="9" t="str">
        <f>IFERROR(__xludf.DUMMYFUNCTION("SPLIT("""","","")"),"#VALUE!")</f>
        <v>#VALUE!</v>
      </c>
    </row>
    <row r="407">
      <c r="C407" s="9" t="str">
        <f>IFERROR(__xludf.DUMMYFUNCTION("SPLIT("""","","")"),"#VALUE!")</f>
        <v>#VALUE!</v>
      </c>
    </row>
    <row r="408">
      <c r="C408" s="9" t="str">
        <f>IFERROR(__xludf.DUMMYFUNCTION("SPLIT("""","","")"),"#VALUE!")</f>
        <v>#VALUE!</v>
      </c>
    </row>
    <row r="409">
      <c r="C409" s="9" t="str">
        <f>IFERROR(__xludf.DUMMYFUNCTION("SPLIT("""","","")"),"#VALUE!")</f>
        <v>#VALUE!</v>
      </c>
    </row>
    <row r="410">
      <c r="C410" s="9" t="str">
        <f>IFERROR(__xludf.DUMMYFUNCTION("SPLIT("""","","")"),"#VALUE!")</f>
        <v>#VALUE!</v>
      </c>
    </row>
    <row r="411">
      <c r="C411" s="9" t="str">
        <f>IFERROR(__xludf.DUMMYFUNCTION("SPLIT("""","","")"),"#VALUE!")</f>
        <v>#VALUE!</v>
      </c>
    </row>
    <row r="412">
      <c r="C412" s="9" t="str">
        <f>IFERROR(__xludf.DUMMYFUNCTION("SPLIT("""","","")"),"#VALUE!")</f>
        <v>#VALUE!</v>
      </c>
    </row>
    <row r="413">
      <c r="C413" s="9" t="str">
        <f>IFERROR(__xludf.DUMMYFUNCTION("SPLIT("""","","")"),"#VALUE!")</f>
        <v>#VALUE!</v>
      </c>
    </row>
    <row r="414">
      <c r="C414" s="9" t="str">
        <f>IFERROR(__xludf.DUMMYFUNCTION("SPLIT("""","","")"),"#VALUE!")</f>
        <v>#VALUE!</v>
      </c>
    </row>
    <row r="415">
      <c r="C415" s="9" t="str">
        <f>IFERROR(__xludf.DUMMYFUNCTION("SPLIT("""","","")"),"#VALUE!")</f>
        <v>#VALUE!</v>
      </c>
    </row>
    <row r="416">
      <c r="C416" s="9" t="str">
        <f>IFERROR(__xludf.DUMMYFUNCTION("SPLIT("""","","")"),"#VALUE!")</f>
        <v>#VALUE!</v>
      </c>
    </row>
    <row r="417">
      <c r="C417" s="9" t="str">
        <f>IFERROR(__xludf.DUMMYFUNCTION("SPLIT("""","","")"),"#VALUE!")</f>
        <v>#VALUE!</v>
      </c>
    </row>
    <row r="418">
      <c r="C418" s="9" t="str">
        <f>IFERROR(__xludf.DUMMYFUNCTION("SPLIT("""","","")"),"#VALUE!")</f>
        <v>#VALUE!</v>
      </c>
    </row>
    <row r="419">
      <c r="C419" s="9" t="str">
        <f>IFERROR(__xludf.DUMMYFUNCTION("SPLIT("""","","")"),"#VALUE!")</f>
        <v>#VALUE!</v>
      </c>
    </row>
    <row r="420">
      <c r="C420" s="9" t="str">
        <f>IFERROR(__xludf.DUMMYFUNCTION("SPLIT("""","","")"),"#VALUE!")</f>
        <v>#VALUE!</v>
      </c>
    </row>
    <row r="421">
      <c r="C421" s="9" t="str">
        <f>IFERROR(__xludf.DUMMYFUNCTION("SPLIT("""","","")"),"#VALUE!")</f>
        <v>#VALUE!</v>
      </c>
    </row>
    <row r="422">
      <c r="C422" s="9" t="str">
        <f>IFERROR(__xludf.DUMMYFUNCTION("SPLIT("""","","")"),"#VALUE!")</f>
        <v>#VALUE!</v>
      </c>
    </row>
    <row r="423">
      <c r="C423" s="9" t="str">
        <f>IFERROR(__xludf.DUMMYFUNCTION("SPLIT("""","","")"),"#VALUE!")</f>
        <v>#VALUE!</v>
      </c>
    </row>
    <row r="424">
      <c r="C424" s="9" t="str">
        <f>IFERROR(__xludf.DUMMYFUNCTION("SPLIT("""","","")"),"#VALUE!")</f>
        <v>#VALUE!</v>
      </c>
    </row>
    <row r="425">
      <c r="C425" s="9" t="str">
        <f>IFERROR(__xludf.DUMMYFUNCTION("SPLIT("""","","")"),"#VALUE!")</f>
        <v>#VALUE!</v>
      </c>
    </row>
    <row r="426">
      <c r="C426" s="9" t="str">
        <f>IFERROR(__xludf.DUMMYFUNCTION("SPLIT("""","","")"),"#VALUE!")</f>
        <v>#VALUE!</v>
      </c>
    </row>
    <row r="427">
      <c r="C427" s="9" t="str">
        <f>IFERROR(__xludf.DUMMYFUNCTION("SPLIT("""","","")"),"#VALUE!")</f>
        <v>#VALUE!</v>
      </c>
    </row>
    <row r="428">
      <c r="C428" s="9" t="str">
        <f>IFERROR(__xludf.DUMMYFUNCTION("SPLIT("""","","")"),"#VALUE!")</f>
        <v>#VALUE!</v>
      </c>
    </row>
    <row r="429">
      <c r="C429" s="9" t="str">
        <f>IFERROR(__xludf.DUMMYFUNCTION("SPLIT("""","","")"),"#VALUE!")</f>
        <v>#VALUE!</v>
      </c>
    </row>
    <row r="430">
      <c r="C430" s="9" t="str">
        <f>IFERROR(__xludf.DUMMYFUNCTION("SPLIT("""","","")"),"#VALUE!")</f>
        <v>#VALUE!</v>
      </c>
    </row>
    <row r="431">
      <c r="C431" s="9" t="str">
        <f>IFERROR(__xludf.DUMMYFUNCTION("SPLIT("""","","")"),"#VALUE!")</f>
        <v>#VALUE!</v>
      </c>
    </row>
    <row r="432">
      <c r="C432" s="9" t="str">
        <f>IFERROR(__xludf.DUMMYFUNCTION("SPLIT("""","","")"),"#VALUE!")</f>
        <v>#VALUE!</v>
      </c>
    </row>
    <row r="433">
      <c r="C433" s="9" t="str">
        <f>IFERROR(__xludf.DUMMYFUNCTION("SPLIT("""","","")"),"#VALUE!")</f>
        <v>#VALUE!</v>
      </c>
    </row>
    <row r="434">
      <c r="C434" s="9" t="str">
        <f>IFERROR(__xludf.DUMMYFUNCTION("SPLIT("""","","")"),"#VALUE!")</f>
        <v>#VALUE!</v>
      </c>
    </row>
    <row r="435">
      <c r="C435" s="9" t="str">
        <f>IFERROR(__xludf.DUMMYFUNCTION("SPLIT("""","","")"),"#VALUE!")</f>
        <v>#VALUE!</v>
      </c>
    </row>
    <row r="436">
      <c r="C436" s="9" t="str">
        <f>IFERROR(__xludf.DUMMYFUNCTION("SPLIT("""","","")"),"#VALUE!")</f>
        <v>#VALUE!</v>
      </c>
    </row>
    <row r="437">
      <c r="C437" s="9" t="str">
        <f>IFERROR(__xludf.DUMMYFUNCTION("SPLIT("""","","")"),"#VALUE!")</f>
        <v>#VALUE!</v>
      </c>
    </row>
    <row r="438">
      <c r="C438" s="9" t="str">
        <f>IFERROR(__xludf.DUMMYFUNCTION("SPLIT("""","","")"),"#VALUE!")</f>
        <v>#VALUE!</v>
      </c>
    </row>
    <row r="439">
      <c r="C439" s="9" t="str">
        <f>IFERROR(__xludf.DUMMYFUNCTION("SPLIT("""","","")"),"#VALUE!")</f>
        <v>#VALUE!</v>
      </c>
    </row>
    <row r="440">
      <c r="C440" s="9" t="str">
        <f>IFERROR(__xludf.DUMMYFUNCTION("SPLIT("""","","")"),"#VALUE!")</f>
        <v>#VALUE!</v>
      </c>
    </row>
    <row r="441">
      <c r="C441" s="9" t="str">
        <f>IFERROR(__xludf.DUMMYFUNCTION("SPLIT("""","","")"),"#VALUE!")</f>
        <v>#VALUE!</v>
      </c>
    </row>
    <row r="442">
      <c r="C442" s="9" t="str">
        <f>IFERROR(__xludf.DUMMYFUNCTION("SPLIT("""","","")"),"#VALUE!")</f>
        <v>#VALUE!</v>
      </c>
    </row>
    <row r="443">
      <c r="C443" s="9" t="str">
        <f>IFERROR(__xludf.DUMMYFUNCTION("SPLIT("""","","")"),"#VALUE!")</f>
        <v>#VALUE!</v>
      </c>
    </row>
    <row r="444">
      <c r="C444" s="9" t="str">
        <f>IFERROR(__xludf.DUMMYFUNCTION("SPLIT("""","","")"),"#VALUE!")</f>
        <v>#VALUE!</v>
      </c>
    </row>
    <row r="445">
      <c r="C445" s="9" t="str">
        <f>IFERROR(__xludf.DUMMYFUNCTION("SPLIT("""","","")"),"#VALUE!")</f>
        <v>#VALUE!</v>
      </c>
    </row>
    <row r="446">
      <c r="C446" s="9" t="str">
        <f>IFERROR(__xludf.DUMMYFUNCTION("SPLIT("""","","")"),"#VALUE!")</f>
        <v>#VALUE!</v>
      </c>
    </row>
    <row r="447">
      <c r="C447" s="9" t="str">
        <f>IFERROR(__xludf.DUMMYFUNCTION("SPLIT("""","","")"),"#VALUE!")</f>
        <v>#VALUE!</v>
      </c>
    </row>
    <row r="448">
      <c r="C448" s="9" t="str">
        <f>IFERROR(__xludf.DUMMYFUNCTION("SPLIT("""","","")"),"#VALUE!")</f>
        <v>#VALUE!</v>
      </c>
    </row>
    <row r="449">
      <c r="C449" s="9" t="str">
        <f>IFERROR(__xludf.DUMMYFUNCTION("SPLIT("""","","")"),"#VALUE!")</f>
        <v>#VALUE!</v>
      </c>
    </row>
    <row r="450">
      <c r="C450" s="9" t="str">
        <f>IFERROR(__xludf.DUMMYFUNCTION("SPLIT("""","","")"),"#VALUE!")</f>
        <v>#VALUE!</v>
      </c>
    </row>
    <row r="451">
      <c r="C451" s="9" t="str">
        <f>IFERROR(__xludf.DUMMYFUNCTION("SPLIT("""","","")"),"#VALUE!")</f>
        <v>#VALUE!</v>
      </c>
    </row>
    <row r="452">
      <c r="C452" s="9" t="str">
        <f>IFERROR(__xludf.DUMMYFUNCTION("SPLIT("""","","")"),"#VALUE!")</f>
        <v>#VALUE!</v>
      </c>
    </row>
    <row r="453">
      <c r="C453" s="9" t="str">
        <f>IFERROR(__xludf.DUMMYFUNCTION("SPLIT("""","","")"),"#VALUE!")</f>
        <v>#VALUE!</v>
      </c>
    </row>
    <row r="454">
      <c r="C454" s="9" t="str">
        <f>IFERROR(__xludf.DUMMYFUNCTION("SPLIT("""","","")"),"#VALUE!")</f>
        <v>#VALUE!</v>
      </c>
    </row>
    <row r="455">
      <c r="C455" s="9" t="str">
        <f>IFERROR(__xludf.DUMMYFUNCTION("SPLIT("""","","")"),"#VALUE!")</f>
        <v>#VALUE!</v>
      </c>
    </row>
    <row r="456">
      <c r="C456" s="9" t="str">
        <f>IFERROR(__xludf.DUMMYFUNCTION("SPLIT("""","","")"),"#VALUE!")</f>
        <v>#VALUE!</v>
      </c>
    </row>
    <row r="457">
      <c r="C457" s="9" t="str">
        <f>IFERROR(__xludf.DUMMYFUNCTION("SPLIT("""","","")"),"#VALUE!")</f>
        <v>#VALUE!</v>
      </c>
    </row>
    <row r="458">
      <c r="C458" s="9" t="str">
        <f>IFERROR(__xludf.DUMMYFUNCTION("SPLIT("""","","")"),"#VALUE!")</f>
        <v>#VALUE!</v>
      </c>
    </row>
    <row r="459">
      <c r="C459" s="9" t="str">
        <f>IFERROR(__xludf.DUMMYFUNCTION("SPLIT("""","","")"),"#VALUE!")</f>
        <v>#VALUE!</v>
      </c>
    </row>
    <row r="460">
      <c r="C460" s="9" t="str">
        <f>IFERROR(__xludf.DUMMYFUNCTION("SPLIT("""","","")"),"#VALUE!")</f>
        <v>#VALUE!</v>
      </c>
    </row>
    <row r="461">
      <c r="C461" s="9" t="str">
        <f>IFERROR(__xludf.DUMMYFUNCTION("SPLIT("""","","")"),"#VALUE!")</f>
        <v>#VALUE!</v>
      </c>
    </row>
    <row r="462">
      <c r="C462" s="9" t="str">
        <f>IFERROR(__xludf.DUMMYFUNCTION("SPLIT("""","","")"),"#VALUE!")</f>
        <v>#VALUE!</v>
      </c>
    </row>
    <row r="463">
      <c r="C463" s="9" t="str">
        <f>IFERROR(__xludf.DUMMYFUNCTION("SPLIT("""","","")"),"#VALUE!")</f>
        <v>#VALUE!</v>
      </c>
    </row>
    <row r="464">
      <c r="C464" s="9" t="str">
        <f>IFERROR(__xludf.DUMMYFUNCTION("SPLIT("""","","")"),"#VALUE!")</f>
        <v>#VALUE!</v>
      </c>
    </row>
    <row r="465">
      <c r="C465" s="9" t="str">
        <f>IFERROR(__xludf.DUMMYFUNCTION("SPLIT("""","","")"),"#VALUE!")</f>
        <v>#VALUE!</v>
      </c>
    </row>
    <row r="466">
      <c r="C466" s="9" t="str">
        <f>IFERROR(__xludf.DUMMYFUNCTION("SPLIT("""","","")"),"#VALUE!")</f>
        <v>#VALUE!</v>
      </c>
    </row>
    <row r="467">
      <c r="C467" s="9" t="str">
        <f>IFERROR(__xludf.DUMMYFUNCTION("SPLIT("""","","")"),"#VALUE!")</f>
        <v>#VALUE!</v>
      </c>
    </row>
    <row r="468">
      <c r="C468" s="9" t="str">
        <f>IFERROR(__xludf.DUMMYFUNCTION("SPLIT("""","","")"),"#VALUE!")</f>
        <v>#VALUE!</v>
      </c>
    </row>
    <row r="469">
      <c r="C469" s="9" t="str">
        <f>IFERROR(__xludf.DUMMYFUNCTION("SPLIT("""","","")"),"#VALUE!")</f>
        <v>#VALUE!</v>
      </c>
    </row>
    <row r="470">
      <c r="C470" s="9" t="str">
        <f>IFERROR(__xludf.DUMMYFUNCTION("SPLIT("""","","")"),"#VALUE!")</f>
        <v>#VALUE!</v>
      </c>
    </row>
    <row r="471">
      <c r="C471" s="9" t="str">
        <f>IFERROR(__xludf.DUMMYFUNCTION("SPLIT("""","","")"),"#VALUE!")</f>
        <v>#VALUE!</v>
      </c>
    </row>
    <row r="472">
      <c r="C472" s="9" t="str">
        <f>IFERROR(__xludf.DUMMYFUNCTION("SPLIT("""","","")"),"#VALUE!")</f>
        <v>#VALUE!</v>
      </c>
    </row>
    <row r="473">
      <c r="C473" s="9" t="str">
        <f>IFERROR(__xludf.DUMMYFUNCTION("SPLIT("""","","")"),"#VALUE!")</f>
        <v>#VALUE!</v>
      </c>
    </row>
    <row r="474">
      <c r="C474" s="9" t="str">
        <f>IFERROR(__xludf.DUMMYFUNCTION("SPLIT("""","","")"),"#VALUE!")</f>
        <v>#VALUE!</v>
      </c>
    </row>
    <row r="475">
      <c r="C475" s="9" t="str">
        <f>IFERROR(__xludf.DUMMYFUNCTION("SPLIT("""","","")"),"#VALUE!")</f>
        <v>#VALUE!</v>
      </c>
    </row>
    <row r="476">
      <c r="C476" s="9" t="str">
        <f>IFERROR(__xludf.DUMMYFUNCTION("SPLIT("""","","")"),"#VALUE!")</f>
        <v>#VALUE!</v>
      </c>
    </row>
    <row r="477">
      <c r="C477" s="9" t="str">
        <f>IFERROR(__xludf.DUMMYFUNCTION("SPLIT("""","","")"),"#VALUE!")</f>
        <v>#VALUE!</v>
      </c>
    </row>
    <row r="478">
      <c r="C478" s="9" t="str">
        <f>IFERROR(__xludf.DUMMYFUNCTION("SPLIT("""","","")"),"#VALUE!")</f>
        <v>#VALUE!</v>
      </c>
    </row>
    <row r="479">
      <c r="C479" s="9" t="str">
        <f>IFERROR(__xludf.DUMMYFUNCTION("SPLIT("""","","")"),"#VALUE!")</f>
        <v>#VALUE!</v>
      </c>
    </row>
    <row r="480">
      <c r="C480" s="9" t="str">
        <f>IFERROR(__xludf.DUMMYFUNCTION("SPLIT("""","","")"),"#VALUE!")</f>
        <v>#VALUE!</v>
      </c>
    </row>
    <row r="481">
      <c r="C481" s="9" t="str">
        <f>IFERROR(__xludf.DUMMYFUNCTION("SPLIT("""","","")"),"#VALUE!")</f>
        <v>#VALUE!</v>
      </c>
    </row>
    <row r="482">
      <c r="C482" s="9" t="str">
        <f>IFERROR(__xludf.DUMMYFUNCTION("SPLIT("""","","")"),"#VALUE!")</f>
        <v>#VALUE!</v>
      </c>
    </row>
    <row r="483">
      <c r="C483" s="9" t="str">
        <f>IFERROR(__xludf.DUMMYFUNCTION("SPLIT("""","","")"),"#VALUE!")</f>
        <v>#VALUE!</v>
      </c>
    </row>
    <row r="484">
      <c r="C484" s="9" t="str">
        <f>IFERROR(__xludf.DUMMYFUNCTION("SPLIT("""","","")"),"#VALUE!")</f>
        <v>#VALUE!</v>
      </c>
    </row>
    <row r="485">
      <c r="C485" s="9" t="str">
        <f>IFERROR(__xludf.DUMMYFUNCTION("SPLIT("""","","")"),"#VALUE!")</f>
        <v>#VALUE!</v>
      </c>
    </row>
    <row r="486">
      <c r="C486" s="9" t="str">
        <f>IFERROR(__xludf.DUMMYFUNCTION("SPLIT("""","","")"),"#VALUE!")</f>
        <v>#VALUE!</v>
      </c>
    </row>
    <row r="487">
      <c r="C487" s="9" t="str">
        <f>IFERROR(__xludf.DUMMYFUNCTION("SPLIT("""","","")"),"#VALUE!")</f>
        <v>#VALUE!</v>
      </c>
    </row>
    <row r="488">
      <c r="C488" s="9" t="str">
        <f>IFERROR(__xludf.DUMMYFUNCTION("SPLIT("""","","")"),"#VALUE!")</f>
        <v>#VALUE!</v>
      </c>
    </row>
    <row r="489">
      <c r="C489" s="9" t="str">
        <f>IFERROR(__xludf.DUMMYFUNCTION("SPLIT("""","","")"),"#VALUE!")</f>
        <v>#VALUE!</v>
      </c>
    </row>
    <row r="490">
      <c r="C490" s="9" t="str">
        <f>IFERROR(__xludf.DUMMYFUNCTION("SPLIT("""","","")"),"#VALUE!")</f>
        <v>#VALUE!</v>
      </c>
    </row>
    <row r="491">
      <c r="C491" s="9" t="str">
        <f>IFERROR(__xludf.DUMMYFUNCTION("SPLIT("""","","")"),"#VALUE!")</f>
        <v>#VALUE!</v>
      </c>
    </row>
    <row r="492">
      <c r="C492" s="9" t="str">
        <f>IFERROR(__xludf.DUMMYFUNCTION("SPLIT("""","","")"),"#VALUE!")</f>
        <v>#VALUE!</v>
      </c>
    </row>
    <row r="493">
      <c r="C493" s="9" t="str">
        <f>IFERROR(__xludf.DUMMYFUNCTION("SPLIT("""","","")"),"#VALUE!")</f>
        <v>#VALUE!</v>
      </c>
    </row>
    <row r="494">
      <c r="C494" s="9" t="str">
        <f>IFERROR(__xludf.DUMMYFUNCTION("SPLIT("""","","")"),"#VALUE!")</f>
        <v>#VALUE!</v>
      </c>
    </row>
    <row r="495">
      <c r="C495" s="9" t="str">
        <f>IFERROR(__xludf.DUMMYFUNCTION("SPLIT("""","","")"),"#VALUE!")</f>
        <v>#VALUE!</v>
      </c>
    </row>
    <row r="496">
      <c r="C496" s="9" t="str">
        <f>IFERROR(__xludf.DUMMYFUNCTION("SPLIT("""","","")"),"#VALUE!")</f>
        <v>#VALUE!</v>
      </c>
    </row>
    <row r="497">
      <c r="C497" s="9" t="str">
        <f>IFERROR(__xludf.DUMMYFUNCTION("SPLIT("""","","")"),"#VALUE!")</f>
        <v>#VALUE!</v>
      </c>
    </row>
    <row r="498">
      <c r="C498" s="9" t="str">
        <f>IFERROR(__xludf.DUMMYFUNCTION("SPLIT("""","","")"),"#VALUE!")</f>
        <v>#VALUE!</v>
      </c>
    </row>
    <row r="499">
      <c r="C499" s="9" t="str">
        <f>IFERROR(__xludf.DUMMYFUNCTION("SPLIT("""","","")"),"#VALUE!")</f>
        <v>#VALUE!</v>
      </c>
    </row>
    <row r="500">
      <c r="C500" s="9" t="str">
        <f>IFERROR(__xludf.DUMMYFUNCTION("SPLIT("""","","")"),"#VALUE!")</f>
        <v>#VALUE!</v>
      </c>
    </row>
    <row r="501">
      <c r="C501" s="9" t="str">
        <f>IFERROR(__xludf.DUMMYFUNCTION("SPLIT("""","","")"),"#VALUE!")</f>
        <v>#VALUE!</v>
      </c>
    </row>
    <row r="502">
      <c r="C502" s="9" t="str">
        <f>IFERROR(__xludf.DUMMYFUNCTION("SPLIT("""","","")"),"#VALUE!")</f>
        <v>#VALUE!</v>
      </c>
    </row>
    <row r="503">
      <c r="C503" s="9" t="str">
        <f>IFERROR(__xludf.DUMMYFUNCTION("SPLIT("""","","")"),"#VALUE!")</f>
        <v>#VALUE!</v>
      </c>
    </row>
    <row r="504">
      <c r="C504" s="9" t="str">
        <f>IFERROR(__xludf.DUMMYFUNCTION("SPLIT("""","","")"),"#VALUE!")</f>
        <v>#VALUE!</v>
      </c>
    </row>
    <row r="505">
      <c r="C505" s="9" t="str">
        <f>IFERROR(__xludf.DUMMYFUNCTION("SPLIT("""","","")"),"#VALUE!")</f>
        <v>#VALUE!</v>
      </c>
    </row>
    <row r="506">
      <c r="C506" s="9" t="str">
        <f>IFERROR(__xludf.DUMMYFUNCTION("SPLIT("""","","")"),"#VALUE!")</f>
        <v>#VALUE!</v>
      </c>
    </row>
    <row r="507">
      <c r="C507" s="9" t="str">
        <f>IFERROR(__xludf.DUMMYFUNCTION("SPLIT("""","","")"),"#VALUE!")</f>
        <v>#VALUE!</v>
      </c>
    </row>
    <row r="508">
      <c r="C508" s="9" t="str">
        <f>IFERROR(__xludf.DUMMYFUNCTION("SPLIT("""","","")"),"#VALUE!")</f>
        <v>#VALUE!</v>
      </c>
    </row>
    <row r="509">
      <c r="C509" s="9" t="str">
        <f>IFERROR(__xludf.DUMMYFUNCTION("SPLIT("""","","")"),"#VALUE!")</f>
        <v>#VALUE!</v>
      </c>
    </row>
    <row r="510">
      <c r="C510" s="9" t="str">
        <f>IFERROR(__xludf.DUMMYFUNCTION("SPLIT("""","","")"),"#VALUE!")</f>
        <v>#VALUE!</v>
      </c>
    </row>
    <row r="511">
      <c r="C511" s="9" t="str">
        <f>IFERROR(__xludf.DUMMYFUNCTION("SPLIT("""","","")"),"#VALUE!")</f>
        <v>#VALUE!</v>
      </c>
    </row>
    <row r="512">
      <c r="C512" s="9" t="str">
        <f>IFERROR(__xludf.DUMMYFUNCTION("SPLIT("""","","")"),"#VALUE!")</f>
        <v>#VALUE!</v>
      </c>
    </row>
    <row r="513">
      <c r="C513" s="9" t="str">
        <f>IFERROR(__xludf.DUMMYFUNCTION("SPLIT("""","","")"),"#VALUE!")</f>
        <v>#VALUE!</v>
      </c>
    </row>
    <row r="514">
      <c r="C514" s="9" t="str">
        <f>IFERROR(__xludf.DUMMYFUNCTION("SPLIT("""","","")"),"#VALUE!")</f>
        <v>#VALUE!</v>
      </c>
    </row>
    <row r="515">
      <c r="C515" s="9" t="str">
        <f>IFERROR(__xludf.DUMMYFUNCTION("SPLIT("""","","")"),"#VALUE!")</f>
        <v>#VALUE!</v>
      </c>
    </row>
    <row r="516">
      <c r="C516" s="9" t="str">
        <f>IFERROR(__xludf.DUMMYFUNCTION("SPLIT("""","","")"),"#VALUE!")</f>
        <v>#VALUE!</v>
      </c>
    </row>
    <row r="517">
      <c r="C517" s="9" t="str">
        <f>IFERROR(__xludf.DUMMYFUNCTION("SPLIT("""","","")"),"#VALUE!")</f>
        <v>#VALUE!</v>
      </c>
    </row>
    <row r="518">
      <c r="C518" s="9" t="str">
        <f>IFERROR(__xludf.DUMMYFUNCTION("SPLIT("""","","")"),"#VALUE!")</f>
        <v>#VALUE!</v>
      </c>
    </row>
    <row r="519">
      <c r="C519" s="9" t="str">
        <f>IFERROR(__xludf.DUMMYFUNCTION("SPLIT("""","","")"),"#VALUE!")</f>
        <v>#VALUE!</v>
      </c>
    </row>
    <row r="520">
      <c r="C520" s="9" t="str">
        <f>IFERROR(__xludf.DUMMYFUNCTION("SPLIT("""","","")"),"#VALUE!")</f>
        <v>#VALUE!</v>
      </c>
    </row>
    <row r="521">
      <c r="C521" s="9" t="str">
        <f>IFERROR(__xludf.DUMMYFUNCTION("SPLIT("""","","")"),"#VALUE!")</f>
        <v>#VALUE!</v>
      </c>
    </row>
    <row r="522">
      <c r="C522" s="9" t="str">
        <f>IFERROR(__xludf.DUMMYFUNCTION("SPLIT("""","","")"),"#VALUE!")</f>
        <v>#VALUE!</v>
      </c>
    </row>
    <row r="523">
      <c r="C523" s="9" t="str">
        <f>IFERROR(__xludf.DUMMYFUNCTION("SPLIT("""","","")"),"#VALUE!")</f>
        <v>#VALUE!</v>
      </c>
    </row>
    <row r="524">
      <c r="C524" s="9" t="str">
        <f>IFERROR(__xludf.DUMMYFUNCTION("SPLIT("""","","")"),"#VALUE!")</f>
        <v>#VALUE!</v>
      </c>
    </row>
    <row r="525">
      <c r="C525" s="9" t="str">
        <f>IFERROR(__xludf.DUMMYFUNCTION("SPLIT("""","","")"),"#VALUE!")</f>
        <v>#VALUE!</v>
      </c>
    </row>
    <row r="526">
      <c r="C526" s="9" t="str">
        <f>IFERROR(__xludf.DUMMYFUNCTION("SPLIT("""","","")"),"#VALUE!")</f>
        <v>#VALUE!</v>
      </c>
    </row>
    <row r="527">
      <c r="C527" s="9" t="str">
        <f>IFERROR(__xludf.DUMMYFUNCTION("SPLIT("""","","")"),"#VALUE!")</f>
        <v>#VALUE!</v>
      </c>
    </row>
    <row r="528">
      <c r="C528" s="9" t="str">
        <f>IFERROR(__xludf.DUMMYFUNCTION("SPLIT("""","","")"),"#VALUE!")</f>
        <v>#VALUE!</v>
      </c>
    </row>
    <row r="529">
      <c r="C529" s="9" t="str">
        <f>IFERROR(__xludf.DUMMYFUNCTION("SPLIT("""","","")"),"#VALUE!")</f>
        <v>#VALUE!</v>
      </c>
    </row>
    <row r="530">
      <c r="C530" s="9" t="str">
        <f>IFERROR(__xludf.DUMMYFUNCTION("SPLIT("""","","")"),"#VALUE!")</f>
        <v>#VALUE!</v>
      </c>
    </row>
    <row r="531">
      <c r="C531" s="9" t="str">
        <f>IFERROR(__xludf.DUMMYFUNCTION("SPLIT("""","","")"),"#VALUE!")</f>
        <v>#VALUE!</v>
      </c>
    </row>
    <row r="532">
      <c r="C532" s="9" t="str">
        <f>IFERROR(__xludf.DUMMYFUNCTION("SPLIT("""","","")"),"#VALUE!")</f>
        <v>#VALUE!</v>
      </c>
    </row>
    <row r="533">
      <c r="C533" s="9" t="str">
        <f>IFERROR(__xludf.DUMMYFUNCTION("SPLIT("""","","")"),"#VALUE!")</f>
        <v>#VALUE!</v>
      </c>
    </row>
    <row r="534">
      <c r="C534" s="9" t="str">
        <f>IFERROR(__xludf.DUMMYFUNCTION("SPLIT("""","","")"),"#VALUE!")</f>
        <v>#VALUE!</v>
      </c>
    </row>
    <row r="535">
      <c r="C535" s="9" t="str">
        <f>IFERROR(__xludf.DUMMYFUNCTION("SPLIT("""","","")"),"#VALUE!")</f>
        <v>#VALUE!</v>
      </c>
    </row>
    <row r="536">
      <c r="C536" s="9" t="str">
        <f>IFERROR(__xludf.DUMMYFUNCTION("SPLIT("""","","")"),"#VALUE!")</f>
        <v>#VALUE!</v>
      </c>
    </row>
    <row r="537">
      <c r="C537" s="9" t="str">
        <f>IFERROR(__xludf.DUMMYFUNCTION("SPLIT("""","","")"),"#VALUE!")</f>
        <v>#VALUE!</v>
      </c>
    </row>
    <row r="538">
      <c r="C538" s="9" t="str">
        <f>IFERROR(__xludf.DUMMYFUNCTION("SPLIT("""","","")"),"#VALUE!")</f>
        <v>#VALUE!</v>
      </c>
    </row>
    <row r="539">
      <c r="C539" s="9" t="str">
        <f>IFERROR(__xludf.DUMMYFUNCTION("SPLIT("""","","")"),"#VALUE!")</f>
        <v>#VALUE!</v>
      </c>
    </row>
    <row r="540">
      <c r="C540" s="9" t="str">
        <f>IFERROR(__xludf.DUMMYFUNCTION("SPLIT("""","","")"),"#VALUE!")</f>
        <v>#VALUE!</v>
      </c>
    </row>
    <row r="541">
      <c r="C541" s="9" t="str">
        <f>IFERROR(__xludf.DUMMYFUNCTION("SPLIT("""","","")"),"#VALUE!")</f>
        <v>#VALUE!</v>
      </c>
    </row>
    <row r="542">
      <c r="C542" s="9" t="str">
        <f>IFERROR(__xludf.DUMMYFUNCTION("SPLIT("""","","")"),"#VALUE!")</f>
        <v>#VALUE!</v>
      </c>
    </row>
    <row r="543">
      <c r="C543" s="9" t="str">
        <f>IFERROR(__xludf.DUMMYFUNCTION("SPLIT("""","","")"),"#VALUE!")</f>
        <v>#VALUE!</v>
      </c>
    </row>
    <row r="544">
      <c r="C544" s="9" t="str">
        <f>IFERROR(__xludf.DUMMYFUNCTION("SPLIT("""","","")"),"#VALUE!")</f>
        <v>#VALUE!</v>
      </c>
    </row>
    <row r="545">
      <c r="C545" s="9" t="str">
        <f>IFERROR(__xludf.DUMMYFUNCTION("SPLIT("""","","")"),"#VALUE!")</f>
        <v>#VALUE!</v>
      </c>
    </row>
    <row r="546">
      <c r="C546" s="9" t="str">
        <f>IFERROR(__xludf.DUMMYFUNCTION("SPLIT("""","","")"),"#VALUE!")</f>
        <v>#VALUE!</v>
      </c>
    </row>
    <row r="547">
      <c r="C547" s="9" t="str">
        <f>IFERROR(__xludf.DUMMYFUNCTION("SPLIT("""","","")"),"#VALUE!")</f>
        <v>#VALUE!</v>
      </c>
    </row>
    <row r="548">
      <c r="C548" s="9" t="str">
        <f>IFERROR(__xludf.DUMMYFUNCTION("SPLIT("""","","")"),"#VALUE!")</f>
        <v>#VALUE!</v>
      </c>
    </row>
    <row r="549">
      <c r="C549" s="9" t="str">
        <f>IFERROR(__xludf.DUMMYFUNCTION("SPLIT("""","","")"),"#VALUE!")</f>
        <v>#VALUE!</v>
      </c>
    </row>
    <row r="550">
      <c r="C550" s="9" t="str">
        <f>IFERROR(__xludf.DUMMYFUNCTION("SPLIT("""","","")"),"#VALUE!")</f>
        <v>#VALUE!</v>
      </c>
    </row>
    <row r="551">
      <c r="C551" s="9" t="str">
        <f>IFERROR(__xludf.DUMMYFUNCTION("SPLIT("""","","")"),"#VALUE!")</f>
        <v>#VALUE!</v>
      </c>
    </row>
    <row r="552">
      <c r="C552" s="9" t="str">
        <f>IFERROR(__xludf.DUMMYFUNCTION("SPLIT("""","","")"),"#VALUE!")</f>
        <v>#VALUE!</v>
      </c>
    </row>
    <row r="553">
      <c r="C553" s="9" t="str">
        <f>IFERROR(__xludf.DUMMYFUNCTION("SPLIT("""","","")"),"#VALUE!")</f>
        <v>#VALUE!</v>
      </c>
    </row>
    <row r="554">
      <c r="C554" s="9" t="str">
        <f>IFERROR(__xludf.DUMMYFUNCTION("SPLIT("""","","")"),"#VALUE!")</f>
        <v>#VALUE!</v>
      </c>
    </row>
    <row r="555">
      <c r="C555" s="9" t="str">
        <f>IFERROR(__xludf.DUMMYFUNCTION("SPLIT("""","","")"),"#VALUE!")</f>
        <v>#VALUE!</v>
      </c>
    </row>
    <row r="556">
      <c r="C556" s="9" t="str">
        <f>IFERROR(__xludf.DUMMYFUNCTION("SPLIT("""","","")"),"#VALUE!")</f>
        <v>#VALUE!</v>
      </c>
    </row>
    <row r="557">
      <c r="C557" s="9" t="str">
        <f>IFERROR(__xludf.DUMMYFUNCTION("SPLIT("""","","")"),"#VALUE!")</f>
        <v>#VALUE!</v>
      </c>
    </row>
    <row r="558">
      <c r="C558" s="9" t="str">
        <f>IFERROR(__xludf.DUMMYFUNCTION("SPLIT("""","","")"),"#VALUE!")</f>
        <v>#VALUE!</v>
      </c>
    </row>
    <row r="559">
      <c r="C559" s="9" t="str">
        <f>IFERROR(__xludf.DUMMYFUNCTION("SPLIT("""","","")"),"#VALUE!")</f>
        <v>#VALUE!</v>
      </c>
    </row>
    <row r="560">
      <c r="C560" s="9" t="str">
        <f>IFERROR(__xludf.DUMMYFUNCTION("SPLIT("""","","")"),"#VALUE!")</f>
        <v>#VALUE!</v>
      </c>
    </row>
    <row r="561">
      <c r="C561" s="9" t="str">
        <f>IFERROR(__xludf.DUMMYFUNCTION("SPLIT("""","","")"),"#VALUE!")</f>
        <v>#VALUE!</v>
      </c>
    </row>
    <row r="562">
      <c r="C562" s="9" t="str">
        <f>IFERROR(__xludf.DUMMYFUNCTION("SPLIT("""","","")"),"#VALUE!")</f>
        <v>#VALUE!</v>
      </c>
    </row>
    <row r="563">
      <c r="C563" s="9" t="str">
        <f>IFERROR(__xludf.DUMMYFUNCTION("SPLIT("""","","")"),"#VALUE!")</f>
        <v>#VALUE!</v>
      </c>
    </row>
    <row r="564">
      <c r="C564" s="9" t="str">
        <f>IFERROR(__xludf.DUMMYFUNCTION("SPLIT("""","","")"),"#VALUE!")</f>
        <v>#VALUE!</v>
      </c>
    </row>
    <row r="565">
      <c r="C565" s="9" t="str">
        <f>IFERROR(__xludf.DUMMYFUNCTION("SPLIT("""","","")"),"#VALUE!")</f>
        <v>#VALUE!</v>
      </c>
    </row>
    <row r="566">
      <c r="C566" s="9" t="str">
        <f>IFERROR(__xludf.DUMMYFUNCTION("SPLIT("""","","")"),"#VALUE!")</f>
        <v>#VALUE!</v>
      </c>
    </row>
    <row r="567">
      <c r="C567" s="9" t="str">
        <f>IFERROR(__xludf.DUMMYFUNCTION("SPLIT("""","","")"),"#VALUE!")</f>
        <v>#VALUE!</v>
      </c>
    </row>
    <row r="568">
      <c r="C568" s="9" t="str">
        <f>IFERROR(__xludf.DUMMYFUNCTION("SPLIT("""","","")"),"#VALUE!")</f>
        <v>#VALUE!</v>
      </c>
    </row>
    <row r="569">
      <c r="C569" s="9" t="str">
        <f>IFERROR(__xludf.DUMMYFUNCTION("SPLIT("""","","")"),"#VALUE!")</f>
        <v>#VALUE!</v>
      </c>
    </row>
    <row r="570">
      <c r="C570" s="9" t="str">
        <f>IFERROR(__xludf.DUMMYFUNCTION("SPLIT("""","","")"),"#VALUE!")</f>
        <v>#VALUE!</v>
      </c>
    </row>
    <row r="571">
      <c r="C571" s="9" t="str">
        <f>IFERROR(__xludf.DUMMYFUNCTION("SPLIT("""","","")"),"#VALUE!")</f>
        <v>#VALUE!</v>
      </c>
    </row>
    <row r="572">
      <c r="C572" s="9" t="str">
        <f>IFERROR(__xludf.DUMMYFUNCTION("SPLIT("""","","")"),"#VALUE!")</f>
        <v>#VALUE!</v>
      </c>
    </row>
    <row r="573">
      <c r="C573" s="9" t="str">
        <f>IFERROR(__xludf.DUMMYFUNCTION("SPLIT("""","","")"),"#VALUE!")</f>
        <v>#VALUE!</v>
      </c>
    </row>
    <row r="574">
      <c r="C574" s="9" t="str">
        <f>IFERROR(__xludf.DUMMYFUNCTION("SPLIT("""","","")"),"#VALUE!")</f>
        <v>#VALUE!</v>
      </c>
    </row>
    <row r="575">
      <c r="C575" s="9" t="str">
        <f>IFERROR(__xludf.DUMMYFUNCTION("SPLIT("""","","")"),"#VALUE!")</f>
        <v>#VALUE!</v>
      </c>
    </row>
    <row r="576">
      <c r="C576" s="9" t="str">
        <f>IFERROR(__xludf.DUMMYFUNCTION("SPLIT("""","","")"),"#VALUE!")</f>
        <v>#VALUE!</v>
      </c>
    </row>
    <row r="577">
      <c r="C577" s="9" t="str">
        <f>IFERROR(__xludf.DUMMYFUNCTION("SPLIT("""","","")"),"#VALUE!")</f>
        <v>#VALUE!</v>
      </c>
    </row>
    <row r="578">
      <c r="C578" s="9" t="str">
        <f>IFERROR(__xludf.DUMMYFUNCTION("SPLIT("""","","")"),"#VALUE!")</f>
        <v>#VALUE!</v>
      </c>
    </row>
    <row r="579">
      <c r="C579" s="9" t="str">
        <f>IFERROR(__xludf.DUMMYFUNCTION("SPLIT("""","","")"),"#VALUE!")</f>
        <v>#VALUE!</v>
      </c>
    </row>
    <row r="580">
      <c r="C580" s="9" t="str">
        <f>IFERROR(__xludf.DUMMYFUNCTION("SPLIT("""","","")"),"#VALUE!")</f>
        <v>#VALUE!</v>
      </c>
    </row>
    <row r="581">
      <c r="C581" s="9" t="str">
        <f>IFERROR(__xludf.DUMMYFUNCTION("SPLIT("""","","")"),"#VALUE!")</f>
        <v>#VALUE!</v>
      </c>
    </row>
    <row r="582">
      <c r="C582" s="9" t="str">
        <f>IFERROR(__xludf.DUMMYFUNCTION("SPLIT("""","","")"),"#VALUE!")</f>
        <v>#VALUE!</v>
      </c>
    </row>
    <row r="583">
      <c r="C583" s="9" t="str">
        <f>IFERROR(__xludf.DUMMYFUNCTION("SPLIT("""","","")"),"#VALUE!")</f>
        <v>#VALUE!</v>
      </c>
    </row>
    <row r="584">
      <c r="C584" s="9" t="str">
        <f>IFERROR(__xludf.DUMMYFUNCTION("SPLIT("""","","")"),"#VALUE!")</f>
        <v>#VALUE!</v>
      </c>
    </row>
    <row r="585">
      <c r="C585" s="9" t="str">
        <f>IFERROR(__xludf.DUMMYFUNCTION("SPLIT("""","","")"),"#VALUE!")</f>
        <v>#VALUE!</v>
      </c>
    </row>
    <row r="586">
      <c r="C586" s="9" t="str">
        <f>IFERROR(__xludf.DUMMYFUNCTION("SPLIT("""","","")"),"#VALUE!")</f>
        <v>#VALUE!</v>
      </c>
    </row>
    <row r="587">
      <c r="C587" s="9" t="str">
        <f>IFERROR(__xludf.DUMMYFUNCTION("SPLIT("""","","")"),"#VALUE!")</f>
        <v>#VALUE!</v>
      </c>
    </row>
    <row r="588">
      <c r="C588" s="9" t="str">
        <f>IFERROR(__xludf.DUMMYFUNCTION("SPLIT("""","","")"),"#VALUE!")</f>
        <v>#VALUE!</v>
      </c>
    </row>
    <row r="589">
      <c r="C589" s="9" t="str">
        <f>IFERROR(__xludf.DUMMYFUNCTION("SPLIT("""","","")"),"#VALUE!")</f>
        <v>#VALUE!</v>
      </c>
    </row>
    <row r="590">
      <c r="C590" s="9" t="str">
        <f>IFERROR(__xludf.DUMMYFUNCTION("SPLIT("""","","")"),"#VALUE!")</f>
        <v>#VALUE!</v>
      </c>
    </row>
    <row r="591">
      <c r="C591" s="9" t="str">
        <f>IFERROR(__xludf.DUMMYFUNCTION("SPLIT("""","","")"),"#VALUE!")</f>
        <v>#VALUE!</v>
      </c>
    </row>
    <row r="592">
      <c r="C592" s="9" t="str">
        <f>IFERROR(__xludf.DUMMYFUNCTION("SPLIT("""","","")"),"#VALUE!")</f>
        <v>#VALUE!</v>
      </c>
    </row>
    <row r="593">
      <c r="C593" s="9" t="str">
        <f>IFERROR(__xludf.DUMMYFUNCTION("SPLIT("""","","")"),"#VALUE!")</f>
        <v>#VALUE!</v>
      </c>
    </row>
    <row r="594">
      <c r="C594" s="9" t="str">
        <f>IFERROR(__xludf.DUMMYFUNCTION("SPLIT("""","","")"),"#VALUE!")</f>
        <v>#VALUE!</v>
      </c>
    </row>
    <row r="595">
      <c r="C595" s="9" t="str">
        <f>IFERROR(__xludf.DUMMYFUNCTION("SPLIT("""","","")"),"#VALUE!")</f>
        <v>#VALUE!</v>
      </c>
    </row>
    <row r="596">
      <c r="C596" s="9" t="str">
        <f>IFERROR(__xludf.DUMMYFUNCTION("SPLIT("""","","")"),"#VALUE!")</f>
        <v>#VALUE!</v>
      </c>
    </row>
    <row r="597">
      <c r="C597" s="9" t="str">
        <f>IFERROR(__xludf.DUMMYFUNCTION("SPLIT("""","","")"),"#VALUE!")</f>
        <v>#VALUE!</v>
      </c>
    </row>
    <row r="598">
      <c r="C598" s="9" t="str">
        <f>IFERROR(__xludf.DUMMYFUNCTION("SPLIT("""","","")"),"#VALUE!")</f>
        <v>#VALUE!</v>
      </c>
    </row>
    <row r="599">
      <c r="C599" s="9" t="str">
        <f>IFERROR(__xludf.DUMMYFUNCTION("SPLIT("""","","")"),"#VALUE!")</f>
        <v>#VALUE!</v>
      </c>
    </row>
    <row r="600">
      <c r="C600" s="9" t="str">
        <f>IFERROR(__xludf.DUMMYFUNCTION("SPLIT("""","","")"),"#VALUE!")</f>
        <v>#VALUE!</v>
      </c>
    </row>
    <row r="601">
      <c r="C601" s="9" t="str">
        <f>IFERROR(__xludf.DUMMYFUNCTION("SPLIT("""","","")"),"#VALUE!")</f>
        <v>#VALUE!</v>
      </c>
    </row>
    <row r="602">
      <c r="C602" s="9" t="str">
        <f>IFERROR(__xludf.DUMMYFUNCTION("SPLIT("""","","")"),"#VALUE!")</f>
        <v>#VALUE!</v>
      </c>
    </row>
    <row r="603">
      <c r="C603" s="9" t="str">
        <f>IFERROR(__xludf.DUMMYFUNCTION("SPLIT("""","","")"),"#VALUE!")</f>
        <v>#VALUE!</v>
      </c>
    </row>
    <row r="604">
      <c r="C604" s="9" t="str">
        <f>IFERROR(__xludf.DUMMYFUNCTION("SPLIT("""","","")"),"#VALUE!")</f>
        <v>#VALUE!</v>
      </c>
    </row>
    <row r="605">
      <c r="C605" s="9" t="str">
        <f>IFERROR(__xludf.DUMMYFUNCTION("SPLIT("""","","")"),"#VALUE!")</f>
        <v>#VALUE!</v>
      </c>
    </row>
    <row r="606">
      <c r="C606" s="9" t="str">
        <f>IFERROR(__xludf.DUMMYFUNCTION("SPLIT("""","","")"),"#VALUE!")</f>
        <v>#VALUE!</v>
      </c>
    </row>
    <row r="607">
      <c r="C607" s="9" t="str">
        <f>IFERROR(__xludf.DUMMYFUNCTION("SPLIT("""","","")"),"#VALUE!")</f>
        <v>#VALUE!</v>
      </c>
    </row>
    <row r="608">
      <c r="C608" s="9" t="str">
        <f>IFERROR(__xludf.DUMMYFUNCTION("SPLIT("""","","")"),"#VALUE!")</f>
        <v>#VALUE!</v>
      </c>
    </row>
    <row r="609">
      <c r="C609" s="9" t="str">
        <f>IFERROR(__xludf.DUMMYFUNCTION("SPLIT("""","","")"),"#VALUE!")</f>
        <v>#VALUE!</v>
      </c>
    </row>
    <row r="610">
      <c r="C610" s="9" t="str">
        <f>IFERROR(__xludf.DUMMYFUNCTION("SPLIT("""","","")"),"#VALUE!")</f>
        <v>#VALUE!</v>
      </c>
    </row>
    <row r="611">
      <c r="C611" s="9" t="str">
        <f>IFERROR(__xludf.DUMMYFUNCTION("SPLIT("""","","")"),"#VALUE!")</f>
        <v>#VALUE!</v>
      </c>
    </row>
    <row r="612">
      <c r="C612" s="9" t="str">
        <f>IFERROR(__xludf.DUMMYFUNCTION("SPLIT("""","","")"),"#VALUE!")</f>
        <v>#VALUE!</v>
      </c>
    </row>
    <row r="613">
      <c r="C613" s="9" t="str">
        <f>IFERROR(__xludf.DUMMYFUNCTION("SPLIT("""","","")"),"#VALUE!")</f>
        <v>#VALUE!</v>
      </c>
    </row>
    <row r="614">
      <c r="C614" s="9" t="str">
        <f>IFERROR(__xludf.DUMMYFUNCTION("SPLIT("""","","")"),"#VALUE!")</f>
        <v>#VALUE!</v>
      </c>
    </row>
    <row r="615">
      <c r="C615" s="9" t="str">
        <f>IFERROR(__xludf.DUMMYFUNCTION("SPLIT("""","","")"),"#VALUE!")</f>
        <v>#VALUE!</v>
      </c>
    </row>
    <row r="616">
      <c r="C616" s="9" t="str">
        <f>IFERROR(__xludf.DUMMYFUNCTION("SPLIT("""","","")"),"#VALUE!")</f>
        <v>#VALUE!</v>
      </c>
    </row>
    <row r="617">
      <c r="C617" s="9" t="str">
        <f>IFERROR(__xludf.DUMMYFUNCTION("SPLIT("""","","")"),"#VALUE!")</f>
        <v>#VALUE!</v>
      </c>
    </row>
    <row r="618">
      <c r="C618" s="9" t="str">
        <f>IFERROR(__xludf.DUMMYFUNCTION("SPLIT("""","","")"),"#VALUE!")</f>
        <v>#VALUE!</v>
      </c>
    </row>
    <row r="619">
      <c r="C619" s="9" t="str">
        <f>IFERROR(__xludf.DUMMYFUNCTION("SPLIT("""","","")"),"#VALUE!")</f>
        <v>#VALUE!</v>
      </c>
    </row>
    <row r="620">
      <c r="C620" s="9" t="str">
        <f>IFERROR(__xludf.DUMMYFUNCTION("SPLIT("""","","")"),"#VALUE!")</f>
        <v>#VALUE!</v>
      </c>
    </row>
    <row r="621">
      <c r="C621" s="9" t="str">
        <f>IFERROR(__xludf.DUMMYFUNCTION("SPLIT("""","","")"),"#VALUE!")</f>
        <v>#VALUE!</v>
      </c>
    </row>
    <row r="622">
      <c r="C622" s="9" t="str">
        <f>IFERROR(__xludf.DUMMYFUNCTION("SPLIT("""","","")"),"#VALUE!")</f>
        <v>#VALUE!</v>
      </c>
    </row>
    <row r="623">
      <c r="C623" s="9" t="str">
        <f>IFERROR(__xludf.DUMMYFUNCTION("SPLIT("""","","")"),"#VALUE!")</f>
        <v>#VALUE!</v>
      </c>
    </row>
    <row r="624">
      <c r="C624" s="9" t="str">
        <f>IFERROR(__xludf.DUMMYFUNCTION("SPLIT("""","","")"),"#VALUE!")</f>
        <v>#VALUE!</v>
      </c>
    </row>
    <row r="625">
      <c r="C625" s="9" t="str">
        <f>IFERROR(__xludf.DUMMYFUNCTION("SPLIT("""","","")"),"#VALUE!")</f>
        <v>#VALUE!</v>
      </c>
    </row>
    <row r="626">
      <c r="C626" s="9" t="str">
        <f>IFERROR(__xludf.DUMMYFUNCTION("SPLIT("""","","")"),"#VALUE!")</f>
        <v>#VALUE!</v>
      </c>
    </row>
    <row r="627">
      <c r="C627" s="9" t="str">
        <f>IFERROR(__xludf.DUMMYFUNCTION("SPLIT("""","","")"),"#VALUE!")</f>
        <v>#VALUE!</v>
      </c>
    </row>
    <row r="628">
      <c r="C628" s="9" t="str">
        <f>IFERROR(__xludf.DUMMYFUNCTION("SPLIT("""","","")"),"#VALUE!")</f>
        <v>#VALUE!</v>
      </c>
    </row>
    <row r="629">
      <c r="C629" s="9" t="str">
        <f>IFERROR(__xludf.DUMMYFUNCTION("SPLIT("""","","")"),"#VALUE!")</f>
        <v>#VALUE!</v>
      </c>
    </row>
    <row r="630">
      <c r="C630" s="9" t="str">
        <f>IFERROR(__xludf.DUMMYFUNCTION("SPLIT("""","","")"),"#VALUE!")</f>
        <v>#VALUE!</v>
      </c>
    </row>
    <row r="631">
      <c r="C631" s="9" t="str">
        <f>IFERROR(__xludf.DUMMYFUNCTION("SPLIT("""","","")"),"#VALUE!")</f>
        <v>#VALUE!</v>
      </c>
    </row>
    <row r="632">
      <c r="C632" s="9" t="str">
        <f>IFERROR(__xludf.DUMMYFUNCTION("SPLIT("""","","")"),"#VALUE!")</f>
        <v>#VALUE!</v>
      </c>
    </row>
    <row r="633">
      <c r="C633" s="9" t="str">
        <f>IFERROR(__xludf.DUMMYFUNCTION("SPLIT("""","","")"),"#VALUE!")</f>
        <v>#VALUE!</v>
      </c>
    </row>
    <row r="634">
      <c r="C634" s="9" t="str">
        <f>IFERROR(__xludf.DUMMYFUNCTION("SPLIT("""","","")"),"#VALUE!")</f>
        <v>#VALUE!</v>
      </c>
    </row>
    <row r="635">
      <c r="C635" s="9" t="str">
        <f>IFERROR(__xludf.DUMMYFUNCTION("SPLIT("""","","")"),"#VALUE!")</f>
        <v>#VALUE!</v>
      </c>
    </row>
    <row r="636">
      <c r="C636" s="9" t="str">
        <f>IFERROR(__xludf.DUMMYFUNCTION("SPLIT("""","","")"),"#VALUE!")</f>
        <v>#VALUE!</v>
      </c>
    </row>
    <row r="637">
      <c r="C637" s="9" t="str">
        <f>IFERROR(__xludf.DUMMYFUNCTION("SPLIT("""","","")"),"#VALUE!")</f>
        <v>#VALUE!</v>
      </c>
    </row>
    <row r="638">
      <c r="C638" s="9" t="str">
        <f>IFERROR(__xludf.DUMMYFUNCTION("SPLIT("""","","")"),"#VALUE!")</f>
        <v>#VALUE!</v>
      </c>
    </row>
    <row r="639">
      <c r="C639" s="9" t="str">
        <f>IFERROR(__xludf.DUMMYFUNCTION("SPLIT("""","","")"),"#VALUE!")</f>
        <v>#VALUE!</v>
      </c>
    </row>
    <row r="640">
      <c r="C640" s="9" t="str">
        <f>IFERROR(__xludf.DUMMYFUNCTION("SPLIT("""","","")"),"#VALUE!")</f>
        <v>#VALUE!</v>
      </c>
    </row>
    <row r="641">
      <c r="C641" s="9" t="str">
        <f>IFERROR(__xludf.DUMMYFUNCTION("SPLIT("""","","")"),"#VALUE!")</f>
        <v>#VALUE!</v>
      </c>
    </row>
    <row r="642">
      <c r="C642" s="9" t="str">
        <f>IFERROR(__xludf.DUMMYFUNCTION("SPLIT("""","","")"),"#VALUE!")</f>
        <v>#VALUE!</v>
      </c>
    </row>
    <row r="643">
      <c r="C643" s="9" t="str">
        <f>IFERROR(__xludf.DUMMYFUNCTION("SPLIT("""","","")"),"#VALUE!")</f>
        <v>#VALUE!</v>
      </c>
    </row>
    <row r="644">
      <c r="C644" s="9" t="str">
        <f>IFERROR(__xludf.DUMMYFUNCTION("SPLIT("""","","")"),"#VALUE!")</f>
        <v>#VALUE!</v>
      </c>
    </row>
    <row r="645">
      <c r="C645" s="9" t="str">
        <f>IFERROR(__xludf.DUMMYFUNCTION("SPLIT("""","","")"),"#VALUE!")</f>
        <v>#VALUE!</v>
      </c>
    </row>
    <row r="646">
      <c r="C646" s="9" t="str">
        <f>IFERROR(__xludf.DUMMYFUNCTION("SPLIT("""","","")"),"#VALUE!")</f>
        <v>#VALUE!</v>
      </c>
    </row>
    <row r="647">
      <c r="C647" s="9" t="str">
        <f>IFERROR(__xludf.DUMMYFUNCTION("SPLIT("""","","")"),"#VALUE!")</f>
        <v>#VALUE!</v>
      </c>
    </row>
    <row r="648">
      <c r="C648" s="9" t="str">
        <f>IFERROR(__xludf.DUMMYFUNCTION("SPLIT("""","","")"),"#VALUE!")</f>
        <v>#VALUE!</v>
      </c>
    </row>
    <row r="649">
      <c r="C649" s="9" t="str">
        <f>IFERROR(__xludf.DUMMYFUNCTION("SPLIT("""","","")"),"#VALUE!")</f>
        <v>#VALUE!</v>
      </c>
    </row>
    <row r="650">
      <c r="C650" s="9" t="str">
        <f>IFERROR(__xludf.DUMMYFUNCTION("SPLIT("""","","")"),"#VALUE!")</f>
        <v>#VALUE!</v>
      </c>
    </row>
    <row r="651">
      <c r="C651" s="9" t="str">
        <f>IFERROR(__xludf.DUMMYFUNCTION("SPLIT("""","","")"),"#VALUE!")</f>
        <v>#VALUE!</v>
      </c>
    </row>
    <row r="652">
      <c r="C652" s="9" t="str">
        <f>IFERROR(__xludf.DUMMYFUNCTION("SPLIT("""","","")"),"#VALUE!")</f>
        <v>#VALUE!</v>
      </c>
    </row>
    <row r="653">
      <c r="C653" s="9" t="str">
        <f>IFERROR(__xludf.DUMMYFUNCTION("SPLIT("""","","")"),"#VALUE!")</f>
        <v>#VALUE!</v>
      </c>
    </row>
    <row r="654">
      <c r="C654" s="9" t="str">
        <f>IFERROR(__xludf.DUMMYFUNCTION("SPLIT("""","","")"),"#VALUE!")</f>
        <v>#VALUE!</v>
      </c>
    </row>
    <row r="655">
      <c r="C655" s="9" t="str">
        <f>IFERROR(__xludf.DUMMYFUNCTION("SPLIT("""","","")"),"#VALUE!")</f>
        <v>#VALUE!</v>
      </c>
    </row>
    <row r="656">
      <c r="C656" s="9" t="str">
        <f>IFERROR(__xludf.DUMMYFUNCTION("SPLIT("""","","")"),"#VALUE!")</f>
        <v>#VALUE!</v>
      </c>
    </row>
    <row r="657">
      <c r="C657" s="9" t="str">
        <f>IFERROR(__xludf.DUMMYFUNCTION("SPLIT("""","","")"),"#VALUE!")</f>
        <v>#VALUE!</v>
      </c>
    </row>
    <row r="658">
      <c r="C658" s="9" t="str">
        <f>IFERROR(__xludf.DUMMYFUNCTION("SPLIT("""","","")"),"#VALUE!")</f>
        <v>#VALUE!</v>
      </c>
    </row>
    <row r="659">
      <c r="C659" s="9" t="str">
        <f>IFERROR(__xludf.DUMMYFUNCTION("SPLIT("""","","")"),"#VALUE!")</f>
        <v>#VALUE!</v>
      </c>
    </row>
    <row r="660">
      <c r="C660" s="9" t="str">
        <f>IFERROR(__xludf.DUMMYFUNCTION("SPLIT("""","","")"),"#VALUE!")</f>
        <v>#VALUE!</v>
      </c>
    </row>
    <row r="661">
      <c r="C661" s="9" t="str">
        <f>IFERROR(__xludf.DUMMYFUNCTION("SPLIT("""","","")"),"#VALUE!")</f>
        <v>#VALUE!</v>
      </c>
    </row>
    <row r="662">
      <c r="C662" s="9" t="str">
        <f>IFERROR(__xludf.DUMMYFUNCTION("SPLIT("""","","")"),"#VALUE!")</f>
        <v>#VALUE!</v>
      </c>
    </row>
    <row r="663">
      <c r="C663" s="9" t="str">
        <f>IFERROR(__xludf.DUMMYFUNCTION("SPLIT("""","","")"),"#VALUE!")</f>
        <v>#VALUE!</v>
      </c>
    </row>
    <row r="664">
      <c r="C664" s="9" t="str">
        <f>IFERROR(__xludf.DUMMYFUNCTION("SPLIT("""","","")"),"#VALUE!")</f>
        <v>#VALUE!</v>
      </c>
    </row>
    <row r="665">
      <c r="C665" s="9" t="str">
        <f>IFERROR(__xludf.DUMMYFUNCTION("SPLIT("""","","")"),"#VALUE!")</f>
        <v>#VALUE!</v>
      </c>
    </row>
    <row r="666">
      <c r="C666" s="9" t="str">
        <f>IFERROR(__xludf.DUMMYFUNCTION("SPLIT("""","","")"),"#VALUE!")</f>
        <v>#VALUE!</v>
      </c>
    </row>
    <row r="667">
      <c r="C667" s="9" t="str">
        <f>IFERROR(__xludf.DUMMYFUNCTION("SPLIT("""","","")"),"#VALUE!")</f>
        <v>#VALUE!</v>
      </c>
    </row>
    <row r="668">
      <c r="C668" s="9" t="str">
        <f>IFERROR(__xludf.DUMMYFUNCTION("SPLIT("""","","")"),"#VALUE!")</f>
        <v>#VALUE!</v>
      </c>
    </row>
    <row r="669">
      <c r="C669" s="9" t="str">
        <f>IFERROR(__xludf.DUMMYFUNCTION("SPLIT("""","","")"),"#VALUE!")</f>
        <v>#VALUE!</v>
      </c>
    </row>
    <row r="670">
      <c r="C670" s="9" t="str">
        <f>IFERROR(__xludf.DUMMYFUNCTION("SPLIT("""","","")"),"#VALUE!")</f>
        <v>#VALUE!</v>
      </c>
    </row>
    <row r="671">
      <c r="C671" s="9" t="str">
        <f>IFERROR(__xludf.DUMMYFUNCTION("SPLIT("""","","")"),"#VALUE!")</f>
        <v>#VALUE!</v>
      </c>
    </row>
    <row r="672">
      <c r="C672" s="9" t="str">
        <f>IFERROR(__xludf.DUMMYFUNCTION("SPLIT("""","","")"),"#VALUE!")</f>
        <v>#VALUE!</v>
      </c>
    </row>
    <row r="673">
      <c r="C673" s="9" t="str">
        <f>IFERROR(__xludf.DUMMYFUNCTION("SPLIT("""","","")"),"#VALUE!")</f>
        <v>#VALUE!</v>
      </c>
    </row>
    <row r="674">
      <c r="C674" s="9" t="str">
        <f>IFERROR(__xludf.DUMMYFUNCTION("SPLIT("""","","")"),"#VALUE!")</f>
        <v>#VALUE!</v>
      </c>
    </row>
    <row r="675">
      <c r="C675" s="9" t="str">
        <f>IFERROR(__xludf.DUMMYFUNCTION("SPLIT("""","","")"),"#VALUE!")</f>
        <v>#VALUE!</v>
      </c>
    </row>
    <row r="676">
      <c r="C676" s="9" t="str">
        <f>IFERROR(__xludf.DUMMYFUNCTION("SPLIT("""","","")"),"#VALUE!")</f>
        <v>#VALUE!</v>
      </c>
    </row>
    <row r="677">
      <c r="C677" s="9" t="str">
        <f>IFERROR(__xludf.DUMMYFUNCTION("SPLIT("""","","")"),"#VALUE!")</f>
        <v>#VALUE!</v>
      </c>
    </row>
    <row r="678">
      <c r="C678" s="9" t="str">
        <f>IFERROR(__xludf.DUMMYFUNCTION("SPLIT("""","","")"),"#VALUE!")</f>
        <v>#VALUE!</v>
      </c>
    </row>
    <row r="679">
      <c r="C679" s="9" t="str">
        <f>IFERROR(__xludf.DUMMYFUNCTION("SPLIT("""","","")"),"#VALUE!")</f>
        <v>#VALUE!</v>
      </c>
    </row>
    <row r="680">
      <c r="C680" s="9" t="str">
        <f>IFERROR(__xludf.DUMMYFUNCTION("SPLIT("""","","")"),"#VALUE!")</f>
        <v>#VALUE!</v>
      </c>
    </row>
    <row r="681">
      <c r="C681" s="9" t="str">
        <f>IFERROR(__xludf.DUMMYFUNCTION("SPLIT("""","","")"),"#VALUE!")</f>
        <v>#VALUE!</v>
      </c>
    </row>
    <row r="682">
      <c r="C682" s="9" t="str">
        <f>IFERROR(__xludf.DUMMYFUNCTION("SPLIT("""","","")"),"#VALUE!")</f>
        <v>#VALUE!</v>
      </c>
    </row>
    <row r="683">
      <c r="C683" s="9" t="str">
        <f>IFERROR(__xludf.DUMMYFUNCTION("SPLIT("""","","")"),"#VALUE!")</f>
        <v>#VALUE!</v>
      </c>
    </row>
    <row r="684">
      <c r="C684" s="9" t="str">
        <f>IFERROR(__xludf.DUMMYFUNCTION("SPLIT("""","","")"),"#VALUE!")</f>
        <v>#VALUE!</v>
      </c>
    </row>
    <row r="685">
      <c r="C685" s="9" t="str">
        <f>IFERROR(__xludf.DUMMYFUNCTION("SPLIT("""","","")"),"#VALUE!")</f>
        <v>#VALUE!</v>
      </c>
    </row>
    <row r="686">
      <c r="C686" s="9" t="str">
        <f>IFERROR(__xludf.DUMMYFUNCTION("SPLIT("""","","")"),"#VALUE!")</f>
        <v>#VALUE!</v>
      </c>
    </row>
    <row r="687">
      <c r="C687" s="9" t="str">
        <f>IFERROR(__xludf.DUMMYFUNCTION("SPLIT("""","","")"),"#VALUE!")</f>
        <v>#VALUE!</v>
      </c>
    </row>
    <row r="688">
      <c r="C688" s="9" t="str">
        <f>IFERROR(__xludf.DUMMYFUNCTION("SPLIT("""","","")"),"#VALUE!")</f>
        <v>#VALUE!</v>
      </c>
    </row>
    <row r="689">
      <c r="C689" s="9" t="str">
        <f>IFERROR(__xludf.DUMMYFUNCTION("SPLIT("""","","")"),"#VALUE!")</f>
        <v>#VALUE!</v>
      </c>
    </row>
    <row r="690">
      <c r="C690" s="9" t="str">
        <f>IFERROR(__xludf.DUMMYFUNCTION("SPLIT("""","","")"),"#VALUE!")</f>
        <v>#VALUE!</v>
      </c>
    </row>
    <row r="691">
      <c r="C691" s="9" t="str">
        <f>IFERROR(__xludf.DUMMYFUNCTION("SPLIT("""","","")"),"#VALUE!")</f>
        <v>#VALUE!</v>
      </c>
    </row>
    <row r="692">
      <c r="C692" s="9" t="str">
        <f>IFERROR(__xludf.DUMMYFUNCTION("SPLIT("""","","")"),"#VALUE!")</f>
        <v>#VALUE!</v>
      </c>
    </row>
    <row r="693">
      <c r="C693" s="9" t="str">
        <f>IFERROR(__xludf.DUMMYFUNCTION("SPLIT("""","","")"),"#VALUE!")</f>
        <v>#VALUE!</v>
      </c>
    </row>
    <row r="694">
      <c r="C694" s="9" t="str">
        <f>IFERROR(__xludf.DUMMYFUNCTION("SPLIT("""","","")"),"#VALUE!")</f>
        <v>#VALUE!</v>
      </c>
    </row>
    <row r="695">
      <c r="C695" s="9" t="str">
        <f>IFERROR(__xludf.DUMMYFUNCTION("SPLIT("""","","")"),"#VALUE!")</f>
        <v>#VALUE!</v>
      </c>
    </row>
    <row r="696">
      <c r="C696" s="9" t="str">
        <f>IFERROR(__xludf.DUMMYFUNCTION("SPLIT("""","","")"),"#VALUE!")</f>
        <v>#VALUE!</v>
      </c>
    </row>
    <row r="697">
      <c r="C697" s="9" t="str">
        <f>IFERROR(__xludf.DUMMYFUNCTION("SPLIT("""","","")"),"#VALUE!")</f>
        <v>#VALUE!</v>
      </c>
    </row>
    <row r="698">
      <c r="C698" s="9" t="str">
        <f>IFERROR(__xludf.DUMMYFUNCTION("SPLIT("""","","")"),"#VALUE!")</f>
        <v>#VALUE!</v>
      </c>
    </row>
    <row r="699">
      <c r="C699" s="9" t="str">
        <f>IFERROR(__xludf.DUMMYFUNCTION("SPLIT("""","","")"),"#VALUE!")</f>
        <v>#VALUE!</v>
      </c>
    </row>
    <row r="700">
      <c r="C700" s="9" t="str">
        <f>IFERROR(__xludf.DUMMYFUNCTION("SPLIT("""","","")"),"#VALUE!")</f>
        <v>#VALUE!</v>
      </c>
    </row>
    <row r="701">
      <c r="C701" s="9" t="str">
        <f>IFERROR(__xludf.DUMMYFUNCTION("SPLIT("""","","")"),"#VALUE!")</f>
        <v>#VALUE!</v>
      </c>
    </row>
    <row r="702">
      <c r="C702" s="9" t="str">
        <f>IFERROR(__xludf.DUMMYFUNCTION("SPLIT("""","","")"),"#VALUE!")</f>
        <v>#VALUE!</v>
      </c>
    </row>
    <row r="703">
      <c r="C703" s="9" t="str">
        <f>IFERROR(__xludf.DUMMYFUNCTION("SPLIT("""","","")"),"#VALUE!")</f>
        <v>#VALUE!</v>
      </c>
    </row>
    <row r="704">
      <c r="C704" s="9" t="str">
        <f>IFERROR(__xludf.DUMMYFUNCTION("SPLIT("""","","")"),"#VALUE!")</f>
        <v>#VALUE!</v>
      </c>
    </row>
    <row r="705">
      <c r="C705" s="9" t="str">
        <f>IFERROR(__xludf.DUMMYFUNCTION("SPLIT("""","","")"),"#VALUE!")</f>
        <v>#VALUE!</v>
      </c>
    </row>
    <row r="706">
      <c r="C706" s="9" t="str">
        <f>IFERROR(__xludf.DUMMYFUNCTION("SPLIT("""","","")"),"#VALUE!")</f>
        <v>#VALUE!</v>
      </c>
    </row>
    <row r="707">
      <c r="C707" s="9" t="str">
        <f>IFERROR(__xludf.DUMMYFUNCTION("SPLIT("""","","")"),"#VALUE!")</f>
        <v>#VALUE!</v>
      </c>
    </row>
    <row r="708">
      <c r="C708" s="9" t="str">
        <f>IFERROR(__xludf.DUMMYFUNCTION("SPLIT("""","","")"),"#VALUE!")</f>
        <v>#VALUE!</v>
      </c>
    </row>
    <row r="709">
      <c r="C709" s="9" t="str">
        <f>IFERROR(__xludf.DUMMYFUNCTION("SPLIT("""","","")"),"#VALUE!")</f>
        <v>#VALUE!</v>
      </c>
    </row>
    <row r="710">
      <c r="C710" s="9" t="str">
        <f>IFERROR(__xludf.DUMMYFUNCTION("SPLIT("""","","")"),"#VALUE!")</f>
        <v>#VALUE!</v>
      </c>
    </row>
    <row r="711">
      <c r="C711" s="9" t="str">
        <f>IFERROR(__xludf.DUMMYFUNCTION("SPLIT("""","","")"),"#VALUE!")</f>
        <v>#VALUE!</v>
      </c>
    </row>
    <row r="712">
      <c r="C712" s="9" t="str">
        <f>IFERROR(__xludf.DUMMYFUNCTION("SPLIT("""","","")"),"#VALUE!")</f>
        <v>#VALUE!</v>
      </c>
    </row>
    <row r="713">
      <c r="C713" s="9" t="str">
        <f>IFERROR(__xludf.DUMMYFUNCTION("SPLIT("""","","")"),"#VALUE!")</f>
        <v>#VALUE!</v>
      </c>
    </row>
    <row r="714">
      <c r="C714" s="9" t="str">
        <f>IFERROR(__xludf.DUMMYFUNCTION("SPLIT("""","","")"),"#VALUE!")</f>
        <v>#VALUE!</v>
      </c>
    </row>
    <row r="715">
      <c r="C715" s="9" t="str">
        <f>IFERROR(__xludf.DUMMYFUNCTION("SPLIT("""","","")"),"#VALUE!")</f>
        <v>#VALUE!</v>
      </c>
    </row>
    <row r="716">
      <c r="C716" s="9" t="str">
        <f>IFERROR(__xludf.DUMMYFUNCTION("SPLIT("""","","")"),"#VALUE!")</f>
        <v>#VALUE!</v>
      </c>
    </row>
    <row r="717">
      <c r="C717" s="9" t="str">
        <f>IFERROR(__xludf.DUMMYFUNCTION("SPLIT("""","","")"),"#VALUE!")</f>
        <v>#VALUE!</v>
      </c>
    </row>
    <row r="718">
      <c r="C718" s="9" t="str">
        <f>IFERROR(__xludf.DUMMYFUNCTION("SPLIT("""","","")"),"#VALUE!")</f>
        <v>#VALUE!</v>
      </c>
    </row>
    <row r="719">
      <c r="C719" s="9" t="str">
        <f>IFERROR(__xludf.DUMMYFUNCTION("SPLIT("""","","")"),"#VALUE!")</f>
        <v>#VALUE!</v>
      </c>
    </row>
    <row r="720">
      <c r="C720" s="9" t="str">
        <f>IFERROR(__xludf.DUMMYFUNCTION("SPLIT("""","","")"),"#VALUE!")</f>
        <v>#VALUE!</v>
      </c>
    </row>
    <row r="721">
      <c r="C721" s="9" t="str">
        <f>IFERROR(__xludf.DUMMYFUNCTION("SPLIT("""","","")"),"#VALUE!")</f>
        <v>#VALUE!</v>
      </c>
    </row>
    <row r="722">
      <c r="C722" s="9" t="str">
        <f>IFERROR(__xludf.DUMMYFUNCTION("SPLIT("""","","")"),"#VALUE!")</f>
        <v>#VALUE!</v>
      </c>
    </row>
    <row r="723">
      <c r="C723" s="9" t="str">
        <f>IFERROR(__xludf.DUMMYFUNCTION("SPLIT("""","","")"),"#VALUE!")</f>
        <v>#VALUE!</v>
      </c>
    </row>
    <row r="724">
      <c r="C724" s="9" t="str">
        <f>IFERROR(__xludf.DUMMYFUNCTION("SPLIT("""","","")"),"#VALUE!")</f>
        <v>#VALUE!</v>
      </c>
    </row>
    <row r="725">
      <c r="C725" s="9" t="str">
        <f>IFERROR(__xludf.DUMMYFUNCTION("SPLIT("""","","")"),"#VALUE!")</f>
        <v>#VALUE!</v>
      </c>
    </row>
    <row r="726">
      <c r="C726" s="9" t="str">
        <f>IFERROR(__xludf.DUMMYFUNCTION("SPLIT("""","","")"),"#VALUE!")</f>
        <v>#VALUE!</v>
      </c>
    </row>
    <row r="727">
      <c r="C727" s="9" t="str">
        <f>IFERROR(__xludf.DUMMYFUNCTION("SPLIT("""","","")"),"#VALUE!")</f>
        <v>#VALUE!</v>
      </c>
    </row>
    <row r="728">
      <c r="C728" s="9" t="str">
        <f>IFERROR(__xludf.DUMMYFUNCTION("SPLIT("""","","")"),"#VALUE!")</f>
        <v>#VALUE!</v>
      </c>
    </row>
    <row r="729">
      <c r="C729" s="9" t="str">
        <f>IFERROR(__xludf.DUMMYFUNCTION("SPLIT("""","","")"),"#VALUE!")</f>
        <v>#VALUE!</v>
      </c>
    </row>
    <row r="730">
      <c r="C730" s="9" t="str">
        <f>IFERROR(__xludf.DUMMYFUNCTION("SPLIT("""","","")"),"#VALUE!")</f>
        <v>#VALUE!</v>
      </c>
    </row>
    <row r="731">
      <c r="C731" s="9" t="str">
        <f>IFERROR(__xludf.DUMMYFUNCTION("SPLIT("""","","")"),"#VALUE!")</f>
        <v>#VALUE!</v>
      </c>
    </row>
    <row r="732">
      <c r="C732" s="9" t="str">
        <f>IFERROR(__xludf.DUMMYFUNCTION("SPLIT("""","","")"),"#VALUE!")</f>
        <v>#VALUE!</v>
      </c>
    </row>
    <row r="733">
      <c r="C733" s="9" t="str">
        <f>IFERROR(__xludf.DUMMYFUNCTION("SPLIT("""","","")"),"#VALUE!")</f>
        <v>#VALUE!</v>
      </c>
    </row>
    <row r="734">
      <c r="C734" s="9" t="str">
        <f>IFERROR(__xludf.DUMMYFUNCTION("SPLIT("""","","")"),"#VALUE!")</f>
        <v>#VALUE!</v>
      </c>
    </row>
    <row r="735">
      <c r="C735" s="9" t="str">
        <f>IFERROR(__xludf.DUMMYFUNCTION("SPLIT("""","","")"),"#VALUE!")</f>
        <v>#VALUE!</v>
      </c>
    </row>
    <row r="736">
      <c r="C736" s="9" t="str">
        <f>IFERROR(__xludf.DUMMYFUNCTION("SPLIT("""","","")"),"#VALUE!")</f>
        <v>#VALUE!</v>
      </c>
    </row>
    <row r="737">
      <c r="C737" s="9" t="str">
        <f>IFERROR(__xludf.DUMMYFUNCTION("SPLIT("""","","")"),"#VALUE!")</f>
        <v>#VALUE!</v>
      </c>
    </row>
    <row r="738">
      <c r="C738" s="9" t="str">
        <f>IFERROR(__xludf.DUMMYFUNCTION("SPLIT("""","","")"),"#VALUE!")</f>
        <v>#VALUE!</v>
      </c>
    </row>
    <row r="739">
      <c r="C739" s="9" t="str">
        <f>IFERROR(__xludf.DUMMYFUNCTION("SPLIT("""","","")"),"#VALUE!")</f>
        <v>#VALUE!</v>
      </c>
    </row>
    <row r="740">
      <c r="C740" s="9" t="str">
        <f>IFERROR(__xludf.DUMMYFUNCTION("SPLIT("""","","")"),"#VALUE!")</f>
        <v>#VALUE!</v>
      </c>
    </row>
    <row r="741">
      <c r="C741" s="9" t="str">
        <f>IFERROR(__xludf.DUMMYFUNCTION("SPLIT("""","","")"),"#VALUE!")</f>
        <v>#VALUE!</v>
      </c>
    </row>
    <row r="742">
      <c r="C742" s="9" t="str">
        <f>IFERROR(__xludf.DUMMYFUNCTION("SPLIT("""","","")"),"#VALUE!")</f>
        <v>#VALUE!</v>
      </c>
    </row>
    <row r="743">
      <c r="C743" s="9" t="str">
        <f>IFERROR(__xludf.DUMMYFUNCTION("SPLIT("""","","")"),"#VALUE!")</f>
        <v>#VALUE!</v>
      </c>
    </row>
    <row r="744">
      <c r="C744" s="9" t="str">
        <f>IFERROR(__xludf.DUMMYFUNCTION("SPLIT("""","","")"),"#VALUE!")</f>
        <v>#VALUE!</v>
      </c>
    </row>
    <row r="745">
      <c r="C745" s="9" t="str">
        <f>IFERROR(__xludf.DUMMYFUNCTION("SPLIT("""","","")"),"#VALUE!")</f>
        <v>#VALUE!</v>
      </c>
    </row>
    <row r="746">
      <c r="C746" s="9" t="str">
        <f>IFERROR(__xludf.DUMMYFUNCTION("SPLIT("""","","")"),"#VALUE!")</f>
        <v>#VALUE!</v>
      </c>
    </row>
    <row r="747">
      <c r="C747" s="9" t="str">
        <f>IFERROR(__xludf.DUMMYFUNCTION("SPLIT("""","","")"),"#VALUE!")</f>
        <v>#VALUE!</v>
      </c>
    </row>
    <row r="748">
      <c r="C748" s="9" t="str">
        <f>IFERROR(__xludf.DUMMYFUNCTION("SPLIT("""","","")"),"#VALUE!")</f>
        <v>#VALUE!</v>
      </c>
    </row>
    <row r="749">
      <c r="C749" s="9" t="str">
        <f>IFERROR(__xludf.DUMMYFUNCTION("SPLIT("""","","")"),"#VALUE!")</f>
        <v>#VALUE!</v>
      </c>
    </row>
    <row r="750">
      <c r="C750" s="9" t="str">
        <f>IFERROR(__xludf.DUMMYFUNCTION("SPLIT("""","","")"),"#VALUE!")</f>
        <v>#VALUE!</v>
      </c>
    </row>
    <row r="751">
      <c r="C751" s="9" t="str">
        <f>IFERROR(__xludf.DUMMYFUNCTION("SPLIT("""","","")"),"#VALUE!")</f>
        <v>#VALUE!</v>
      </c>
    </row>
    <row r="752">
      <c r="C752" s="9" t="str">
        <f>IFERROR(__xludf.DUMMYFUNCTION("SPLIT("""","","")"),"#VALUE!")</f>
        <v>#VALUE!</v>
      </c>
    </row>
    <row r="753">
      <c r="C753" s="9" t="str">
        <f>IFERROR(__xludf.DUMMYFUNCTION("SPLIT("""","","")"),"#VALUE!")</f>
        <v>#VALUE!</v>
      </c>
    </row>
    <row r="754">
      <c r="C754" s="9" t="str">
        <f>IFERROR(__xludf.DUMMYFUNCTION("SPLIT("""","","")"),"#VALUE!")</f>
        <v>#VALUE!</v>
      </c>
    </row>
    <row r="755">
      <c r="C755" s="9" t="str">
        <f>IFERROR(__xludf.DUMMYFUNCTION("SPLIT("""","","")"),"#VALUE!")</f>
        <v>#VALUE!</v>
      </c>
    </row>
    <row r="756">
      <c r="C756" s="9" t="str">
        <f>IFERROR(__xludf.DUMMYFUNCTION("SPLIT("""","","")"),"#VALUE!")</f>
        <v>#VALUE!</v>
      </c>
    </row>
    <row r="757">
      <c r="C757" s="9" t="str">
        <f>IFERROR(__xludf.DUMMYFUNCTION("SPLIT("""","","")"),"#VALUE!")</f>
        <v>#VALUE!</v>
      </c>
    </row>
    <row r="758">
      <c r="C758" s="9" t="str">
        <f>IFERROR(__xludf.DUMMYFUNCTION("SPLIT("""","","")"),"#VALUE!")</f>
        <v>#VALUE!</v>
      </c>
    </row>
    <row r="759">
      <c r="C759" s="9" t="str">
        <f>IFERROR(__xludf.DUMMYFUNCTION("SPLIT("""","","")"),"#VALUE!")</f>
        <v>#VALUE!</v>
      </c>
    </row>
    <row r="760">
      <c r="C760" s="9" t="str">
        <f>IFERROR(__xludf.DUMMYFUNCTION("SPLIT("""","","")"),"#VALUE!")</f>
        <v>#VALUE!</v>
      </c>
    </row>
    <row r="761">
      <c r="C761" s="9" t="str">
        <f>IFERROR(__xludf.DUMMYFUNCTION("SPLIT("""","","")"),"#VALUE!")</f>
        <v>#VALUE!</v>
      </c>
    </row>
    <row r="762">
      <c r="C762" s="9" t="str">
        <f>IFERROR(__xludf.DUMMYFUNCTION("SPLIT("""","","")"),"#VALUE!")</f>
        <v>#VALUE!</v>
      </c>
    </row>
    <row r="763">
      <c r="C763" s="9" t="str">
        <f>IFERROR(__xludf.DUMMYFUNCTION("SPLIT("""","","")"),"#VALUE!")</f>
        <v>#VALUE!</v>
      </c>
    </row>
    <row r="764">
      <c r="C764" s="9" t="str">
        <f>IFERROR(__xludf.DUMMYFUNCTION("SPLIT("""","","")"),"#VALUE!")</f>
        <v>#VALUE!</v>
      </c>
    </row>
    <row r="765">
      <c r="C765" s="9" t="str">
        <f>IFERROR(__xludf.DUMMYFUNCTION("SPLIT("""","","")"),"#VALUE!")</f>
        <v>#VALUE!</v>
      </c>
    </row>
    <row r="766">
      <c r="C766" s="9" t="str">
        <f>IFERROR(__xludf.DUMMYFUNCTION("SPLIT("""","","")"),"#VALUE!")</f>
        <v>#VALUE!</v>
      </c>
    </row>
    <row r="767">
      <c r="C767" s="9" t="str">
        <f>IFERROR(__xludf.DUMMYFUNCTION("SPLIT("""","","")"),"#VALUE!")</f>
        <v>#VALUE!</v>
      </c>
    </row>
    <row r="768">
      <c r="C768" s="9" t="str">
        <f>IFERROR(__xludf.DUMMYFUNCTION("SPLIT("""","","")"),"#VALUE!")</f>
        <v>#VALUE!</v>
      </c>
    </row>
    <row r="769">
      <c r="C769" s="9" t="str">
        <f>IFERROR(__xludf.DUMMYFUNCTION("SPLIT("""","","")"),"#VALUE!")</f>
        <v>#VALUE!</v>
      </c>
    </row>
    <row r="770">
      <c r="C770" s="9" t="str">
        <f>IFERROR(__xludf.DUMMYFUNCTION("SPLIT("""","","")"),"#VALUE!")</f>
        <v>#VALUE!</v>
      </c>
    </row>
    <row r="771">
      <c r="C771" s="9" t="str">
        <f>IFERROR(__xludf.DUMMYFUNCTION("SPLIT("""","","")"),"#VALUE!")</f>
        <v>#VALUE!</v>
      </c>
    </row>
    <row r="772">
      <c r="C772" s="9" t="str">
        <f>IFERROR(__xludf.DUMMYFUNCTION("SPLIT("""","","")"),"#VALUE!")</f>
        <v>#VALUE!</v>
      </c>
    </row>
    <row r="773">
      <c r="C773" s="9" t="str">
        <f>IFERROR(__xludf.DUMMYFUNCTION("SPLIT("""","","")"),"#VALUE!")</f>
        <v>#VALUE!</v>
      </c>
    </row>
    <row r="774">
      <c r="C774" s="9" t="str">
        <f>IFERROR(__xludf.DUMMYFUNCTION("SPLIT("""","","")"),"#VALUE!")</f>
        <v>#VALUE!</v>
      </c>
    </row>
    <row r="775">
      <c r="C775" s="9" t="str">
        <f>IFERROR(__xludf.DUMMYFUNCTION("SPLIT("""","","")"),"#VALUE!")</f>
        <v>#VALUE!</v>
      </c>
    </row>
    <row r="776">
      <c r="C776" s="9" t="str">
        <f>IFERROR(__xludf.DUMMYFUNCTION("SPLIT("""","","")"),"#VALUE!")</f>
        <v>#VALUE!</v>
      </c>
    </row>
    <row r="777">
      <c r="C777" s="9" t="str">
        <f>IFERROR(__xludf.DUMMYFUNCTION("SPLIT("""","","")"),"#VALUE!")</f>
        <v>#VALUE!</v>
      </c>
    </row>
    <row r="778">
      <c r="C778" s="9" t="str">
        <f>IFERROR(__xludf.DUMMYFUNCTION("SPLIT("""","","")"),"#VALUE!")</f>
        <v>#VALUE!</v>
      </c>
    </row>
    <row r="779">
      <c r="C779" s="9" t="str">
        <f>IFERROR(__xludf.DUMMYFUNCTION("SPLIT("""","","")"),"#VALUE!")</f>
        <v>#VALUE!</v>
      </c>
    </row>
    <row r="780">
      <c r="C780" s="9" t="str">
        <f>IFERROR(__xludf.DUMMYFUNCTION("SPLIT("""","","")"),"#VALUE!")</f>
        <v>#VALUE!</v>
      </c>
    </row>
    <row r="781">
      <c r="C781" s="9" t="str">
        <f>IFERROR(__xludf.DUMMYFUNCTION("SPLIT("""","","")"),"#VALUE!")</f>
        <v>#VALUE!</v>
      </c>
    </row>
    <row r="782">
      <c r="C782" s="9" t="str">
        <f>IFERROR(__xludf.DUMMYFUNCTION("SPLIT("""","","")"),"#VALUE!")</f>
        <v>#VALUE!</v>
      </c>
    </row>
    <row r="783">
      <c r="C783" s="9" t="str">
        <f>IFERROR(__xludf.DUMMYFUNCTION("SPLIT("""","","")"),"#VALUE!")</f>
        <v>#VALUE!</v>
      </c>
    </row>
    <row r="784">
      <c r="C784" s="9" t="str">
        <f>IFERROR(__xludf.DUMMYFUNCTION("SPLIT("""","","")"),"#VALUE!")</f>
        <v>#VALUE!</v>
      </c>
    </row>
    <row r="785">
      <c r="C785" s="9" t="str">
        <f>IFERROR(__xludf.DUMMYFUNCTION("SPLIT("""","","")"),"#VALUE!")</f>
        <v>#VALUE!</v>
      </c>
    </row>
    <row r="786">
      <c r="C786" s="9" t="str">
        <f>IFERROR(__xludf.DUMMYFUNCTION("SPLIT("""","","")"),"#VALUE!")</f>
        <v>#VALUE!</v>
      </c>
    </row>
    <row r="787">
      <c r="C787" s="9" t="str">
        <f>IFERROR(__xludf.DUMMYFUNCTION("SPLIT("""","","")"),"#VALUE!")</f>
        <v>#VALUE!</v>
      </c>
    </row>
    <row r="788">
      <c r="C788" s="9" t="str">
        <f>IFERROR(__xludf.DUMMYFUNCTION("SPLIT("""","","")"),"#VALUE!")</f>
        <v>#VALUE!</v>
      </c>
    </row>
    <row r="789">
      <c r="C789" s="9" t="str">
        <f>IFERROR(__xludf.DUMMYFUNCTION("SPLIT("""","","")"),"#VALUE!")</f>
        <v>#VALUE!</v>
      </c>
    </row>
    <row r="790">
      <c r="C790" s="9" t="str">
        <f>IFERROR(__xludf.DUMMYFUNCTION("SPLIT("""","","")"),"#VALUE!")</f>
        <v>#VALUE!</v>
      </c>
    </row>
    <row r="791">
      <c r="C791" s="9" t="str">
        <f>IFERROR(__xludf.DUMMYFUNCTION("SPLIT("""","","")"),"#VALUE!")</f>
        <v>#VALUE!</v>
      </c>
    </row>
    <row r="792">
      <c r="C792" s="9" t="str">
        <f>IFERROR(__xludf.DUMMYFUNCTION("SPLIT("""","","")"),"#VALUE!")</f>
        <v>#VALUE!</v>
      </c>
    </row>
    <row r="793">
      <c r="C793" s="9" t="str">
        <f>IFERROR(__xludf.DUMMYFUNCTION("SPLIT("""","","")"),"#VALUE!")</f>
        <v>#VALUE!</v>
      </c>
    </row>
    <row r="794">
      <c r="C794" s="9" t="str">
        <f>IFERROR(__xludf.DUMMYFUNCTION("SPLIT("""","","")"),"#VALUE!")</f>
        <v>#VALUE!</v>
      </c>
    </row>
    <row r="795">
      <c r="C795" s="9" t="str">
        <f>IFERROR(__xludf.DUMMYFUNCTION("SPLIT("""","","")"),"#VALUE!")</f>
        <v>#VALUE!</v>
      </c>
    </row>
    <row r="796">
      <c r="C796" s="9" t="str">
        <f>IFERROR(__xludf.DUMMYFUNCTION("SPLIT("""","","")"),"#VALUE!")</f>
        <v>#VALUE!</v>
      </c>
    </row>
    <row r="797">
      <c r="C797" s="9" t="str">
        <f>IFERROR(__xludf.DUMMYFUNCTION("SPLIT("""","","")"),"#VALUE!")</f>
        <v>#VALUE!</v>
      </c>
    </row>
    <row r="798">
      <c r="C798" s="9" t="str">
        <f>IFERROR(__xludf.DUMMYFUNCTION("SPLIT("""","","")"),"#VALUE!")</f>
        <v>#VALUE!</v>
      </c>
    </row>
    <row r="799">
      <c r="C799" s="9" t="str">
        <f>IFERROR(__xludf.DUMMYFUNCTION("SPLIT("""","","")"),"#VALUE!")</f>
        <v>#VALUE!</v>
      </c>
    </row>
    <row r="800">
      <c r="C800" s="9" t="str">
        <f>IFERROR(__xludf.DUMMYFUNCTION("SPLIT("""","","")"),"#VALUE!")</f>
        <v>#VALUE!</v>
      </c>
    </row>
    <row r="801">
      <c r="C801" s="9" t="str">
        <f>IFERROR(__xludf.DUMMYFUNCTION("SPLIT("""","","")"),"#VALUE!")</f>
        <v>#VALUE!</v>
      </c>
    </row>
    <row r="802">
      <c r="C802" s="9" t="str">
        <f>IFERROR(__xludf.DUMMYFUNCTION("SPLIT("""","","")"),"#VALUE!")</f>
        <v>#VALUE!</v>
      </c>
    </row>
    <row r="803">
      <c r="C803" s="9" t="str">
        <f>IFERROR(__xludf.DUMMYFUNCTION("SPLIT("""","","")"),"#VALUE!")</f>
        <v>#VALUE!</v>
      </c>
    </row>
    <row r="804">
      <c r="C804" s="9" t="str">
        <f>IFERROR(__xludf.DUMMYFUNCTION("SPLIT("""","","")"),"#VALUE!")</f>
        <v>#VALUE!</v>
      </c>
    </row>
    <row r="805">
      <c r="C805" s="9" t="str">
        <f>IFERROR(__xludf.DUMMYFUNCTION("SPLIT("""","","")"),"#VALUE!")</f>
        <v>#VALUE!</v>
      </c>
    </row>
    <row r="806">
      <c r="C806" s="9" t="str">
        <f>IFERROR(__xludf.DUMMYFUNCTION("SPLIT("""","","")"),"#VALUE!")</f>
        <v>#VALUE!</v>
      </c>
    </row>
    <row r="807">
      <c r="C807" s="9" t="str">
        <f>IFERROR(__xludf.DUMMYFUNCTION("SPLIT("""","","")"),"#VALUE!")</f>
        <v>#VALUE!</v>
      </c>
    </row>
    <row r="808">
      <c r="C808" s="9" t="str">
        <f>IFERROR(__xludf.DUMMYFUNCTION("SPLIT("""","","")"),"#VALUE!")</f>
        <v>#VALUE!</v>
      </c>
    </row>
    <row r="809">
      <c r="C809" s="9" t="str">
        <f>IFERROR(__xludf.DUMMYFUNCTION("SPLIT("""","","")"),"#VALUE!")</f>
        <v>#VALUE!</v>
      </c>
    </row>
    <row r="810">
      <c r="C810" s="9" t="str">
        <f>IFERROR(__xludf.DUMMYFUNCTION("SPLIT("""","","")"),"#VALUE!")</f>
        <v>#VALUE!</v>
      </c>
    </row>
    <row r="811">
      <c r="C811" s="9" t="str">
        <f>IFERROR(__xludf.DUMMYFUNCTION("SPLIT("""","","")"),"#VALUE!")</f>
        <v>#VALUE!</v>
      </c>
    </row>
    <row r="812">
      <c r="C812" s="9" t="str">
        <f>IFERROR(__xludf.DUMMYFUNCTION("SPLIT("""","","")"),"#VALUE!")</f>
        <v>#VALUE!</v>
      </c>
    </row>
    <row r="813">
      <c r="C813" s="9" t="str">
        <f>IFERROR(__xludf.DUMMYFUNCTION("SPLIT("""","","")"),"#VALUE!")</f>
        <v>#VALUE!</v>
      </c>
    </row>
    <row r="814">
      <c r="C814" s="9" t="str">
        <f>IFERROR(__xludf.DUMMYFUNCTION("SPLIT("""","","")"),"#VALUE!")</f>
        <v>#VALUE!</v>
      </c>
    </row>
    <row r="815">
      <c r="C815" s="9" t="str">
        <f>IFERROR(__xludf.DUMMYFUNCTION("SPLIT("""","","")"),"#VALUE!")</f>
        <v>#VALUE!</v>
      </c>
    </row>
    <row r="816">
      <c r="C816" s="9" t="str">
        <f>IFERROR(__xludf.DUMMYFUNCTION("SPLIT("""","","")"),"#VALUE!")</f>
        <v>#VALUE!</v>
      </c>
    </row>
    <row r="817">
      <c r="C817" s="9" t="str">
        <f>IFERROR(__xludf.DUMMYFUNCTION("SPLIT("""","","")"),"#VALUE!")</f>
        <v>#VALUE!</v>
      </c>
    </row>
    <row r="818">
      <c r="C818" s="9" t="str">
        <f>IFERROR(__xludf.DUMMYFUNCTION("SPLIT("""","","")"),"#VALUE!")</f>
        <v>#VALUE!</v>
      </c>
    </row>
    <row r="819">
      <c r="C819" s="9" t="str">
        <f>IFERROR(__xludf.DUMMYFUNCTION("SPLIT("""","","")"),"#VALUE!")</f>
        <v>#VALUE!</v>
      </c>
    </row>
    <row r="820">
      <c r="C820" s="9" t="str">
        <f>IFERROR(__xludf.DUMMYFUNCTION("SPLIT("""","","")"),"#VALUE!")</f>
        <v>#VALUE!</v>
      </c>
    </row>
    <row r="821">
      <c r="C821" s="9" t="str">
        <f>IFERROR(__xludf.DUMMYFUNCTION("SPLIT("""","","")"),"#VALUE!")</f>
        <v>#VALUE!</v>
      </c>
    </row>
    <row r="822">
      <c r="C822" s="9" t="str">
        <f>IFERROR(__xludf.DUMMYFUNCTION("SPLIT("""","","")"),"#VALUE!")</f>
        <v>#VALUE!</v>
      </c>
    </row>
    <row r="823">
      <c r="C823" s="9" t="str">
        <f>IFERROR(__xludf.DUMMYFUNCTION("SPLIT("""","","")"),"#VALUE!")</f>
        <v>#VALUE!</v>
      </c>
    </row>
    <row r="824">
      <c r="C824" s="9" t="str">
        <f>IFERROR(__xludf.DUMMYFUNCTION("SPLIT("""","","")"),"#VALUE!")</f>
        <v>#VALUE!</v>
      </c>
    </row>
    <row r="825">
      <c r="C825" s="9" t="str">
        <f>IFERROR(__xludf.DUMMYFUNCTION("SPLIT("""","","")"),"#VALUE!")</f>
        <v>#VALUE!</v>
      </c>
    </row>
    <row r="826">
      <c r="C826" s="9" t="str">
        <f>IFERROR(__xludf.DUMMYFUNCTION("SPLIT("""","","")"),"#VALUE!")</f>
        <v>#VALUE!</v>
      </c>
    </row>
    <row r="827">
      <c r="C827" s="9" t="str">
        <f>IFERROR(__xludf.DUMMYFUNCTION("SPLIT("""","","")"),"#VALUE!")</f>
        <v>#VALUE!</v>
      </c>
    </row>
    <row r="828">
      <c r="C828" s="9" t="str">
        <f>IFERROR(__xludf.DUMMYFUNCTION("SPLIT("""","","")"),"#VALUE!")</f>
        <v>#VALUE!</v>
      </c>
    </row>
    <row r="829">
      <c r="C829" s="9" t="str">
        <f>IFERROR(__xludf.DUMMYFUNCTION("SPLIT("""","","")"),"#VALUE!")</f>
        <v>#VALUE!</v>
      </c>
    </row>
    <row r="830">
      <c r="C830" s="9" t="str">
        <f>IFERROR(__xludf.DUMMYFUNCTION("SPLIT("""","","")"),"#VALUE!")</f>
        <v>#VALUE!</v>
      </c>
    </row>
    <row r="831">
      <c r="C831" s="9" t="str">
        <f>IFERROR(__xludf.DUMMYFUNCTION("SPLIT("""","","")"),"#VALUE!")</f>
        <v>#VALUE!</v>
      </c>
    </row>
    <row r="832">
      <c r="C832" s="9" t="str">
        <f>IFERROR(__xludf.DUMMYFUNCTION("SPLIT("""","","")"),"#VALUE!")</f>
        <v>#VALUE!</v>
      </c>
    </row>
    <row r="833">
      <c r="C833" s="9" t="str">
        <f>IFERROR(__xludf.DUMMYFUNCTION("SPLIT("""","","")"),"#VALUE!")</f>
        <v>#VALUE!</v>
      </c>
    </row>
    <row r="834">
      <c r="C834" s="9" t="str">
        <f>IFERROR(__xludf.DUMMYFUNCTION("SPLIT("""","","")"),"#VALUE!")</f>
        <v>#VALUE!</v>
      </c>
    </row>
    <row r="835">
      <c r="C835" s="9" t="str">
        <f>IFERROR(__xludf.DUMMYFUNCTION("SPLIT("""","","")"),"#VALUE!")</f>
        <v>#VALUE!</v>
      </c>
    </row>
    <row r="836">
      <c r="C836" s="9" t="str">
        <f>IFERROR(__xludf.DUMMYFUNCTION("SPLIT("""","","")"),"#VALUE!")</f>
        <v>#VALUE!</v>
      </c>
    </row>
    <row r="837">
      <c r="C837" s="9" t="str">
        <f>IFERROR(__xludf.DUMMYFUNCTION("SPLIT("""","","")"),"#VALUE!")</f>
        <v>#VALUE!</v>
      </c>
    </row>
    <row r="838">
      <c r="C838" s="9" t="str">
        <f>IFERROR(__xludf.DUMMYFUNCTION("SPLIT("""","","")"),"#VALUE!")</f>
        <v>#VALUE!</v>
      </c>
    </row>
    <row r="839">
      <c r="C839" s="9" t="str">
        <f>IFERROR(__xludf.DUMMYFUNCTION("SPLIT("""","","")"),"#VALUE!")</f>
        <v>#VALUE!</v>
      </c>
    </row>
    <row r="840">
      <c r="C840" s="9" t="str">
        <f>IFERROR(__xludf.DUMMYFUNCTION("SPLIT("""","","")"),"#VALUE!")</f>
        <v>#VALUE!</v>
      </c>
    </row>
    <row r="841">
      <c r="C841" s="9" t="str">
        <f>IFERROR(__xludf.DUMMYFUNCTION("SPLIT("""","","")"),"#VALUE!")</f>
        <v>#VALUE!</v>
      </c>
    </row>
    <row r="842">
      <c r="C842" s="9" t="str">
        <f>IFERROR(__xludf.DUMMYFUNCTION("SPLIT("""","","")"),"#VALUE!")</f>
        <v>#VALUE!</v>
      </c>
    </row>
    <row r="843">
      <c r="C843" s="9" t="str">
        <f>IFERROR(__xludf.DUMMYFUNCTION("SPLIT("""","","")"),"#VALUE!")</f>
        <v>#VALUE!</v>
      </c>
    </row>
    <row r="844">
      <c r="C844" s="9" t="str">
        <f>IFERROR(__xludf.DUMMYFUNCTION("SPLIT("""","","")"),"#VALUE!")</f>
        <v>#VALUE!</v>
      </c>
    </row>
    <row r="845">
      <c r="C845" s="9" t="str">
        <f>IFERROR(__xludf.DUMMYFUNCTION("SPLIT("""","","")"),"#VALUE!")</f>
        <v>#VALUE!</v>
      </c>
    </row>
    <row r="846">
      <c r="C846" s="9" t="str">
        <f>IFERROR(__xludf.DUMMYFUNCTION("SPLIT("""","","")"),"#VALUE!")</f>
        <v>#VALUE!</v>
      </c>
    </row>
    <row r="847">
      <c r="C847" s="9" t="str">
        <f>IFERROR(__xludf.DUMMYFUNCTION("SPLIT("""","","")"),"#VALUE!")</f>
        <v>#VALUE!</v>
      </c>
    </row>
    <row r="848">
      <c r="C848" s="9" t="str">
        <f>IFERROR(__xludf.DUMMYFUNCTION("SPLIT("""","","")"),"#VALUE!")</f>
        <v>#VALUE!</v>
      </c>
    </row>
    <row r="849">
      <c r="C849" s="9" t="str">
        <f>IFERROR(__xludf.DUMMYFUNCTION("SPLIT("""","","")"),"#VALUE!")</f>
        <v>#VALUE!</v>
      </c>
    </row>
    <row r="850">
      <c r="C850" s="9" t="str">
        <f>IFERROR(__xludf.DUMMYFUNCTION("SPLIT("""","","")"),"#VALUE!")</f>
        <v>#VALUE!</v>
      </c>
    </row>
    <row r="851">
      <c r="C851" s="9" t="str">
        <f>IFERROR(__xludf.DUMMYFUNCTION("SPLIT("""","","")"),"#VALUE!")</f>
        <v>#VALUE!</v>
      </c>
    </row>
    <row r="852">
      <c r="C852" s="9" t="str">
        <f>IFERROR(__xludf.DUMMYFUNCTION("SPLIT("""","","")"),"#VALUE!")</f>
        <v>#VALUE!</v>
      </c>
    </row>
    <row r="853">
      <c r="C853" s="9" t="str">
        <f>IFERROR(__xludf.DUMMYFUNCTION("SPLIT("""","","")"),"#VALUE!")</f>
        <v>#VALUE!</v>
      </c>
    </row>
    <row r="854">
      <c r="C854" s="9" t="str">
        <f>IFERROR(__xludf.DUMMYFUNCTION("SPLIT("""","","")"),"#VALUE!")</f>
        <v>#VALUE!</v>
      </c>
    </row>
    <row r="855">
      <c r="C855" s="9" t="str">
        <f>IFERROR(__xludf.DUMMYFUNCTION("SPLIT("""","","")"),"#VALUE!")</f>
        <v>#VALUE!</v>
      </c>
    </row>
    <row r="856">
      <c r="C856" s="9" t="str">
        <f>IFERROR(__xludf.DUMMYFUNCTION("SPLIT("""","","")"),"#VALUE!")</f>
        <v>#VALUE!</v>
      </c>
    </row>
    <row r="857">
      <c r="C857" s="9" t="str">
        <f>IFERROR(__xludf.DUMMYFUNCTION("SPLIT("""","","")"),"#VALUE!")</f>
        <v>#VALUE!</v>
      </c>
    </row>
    <row r="858">
      <c r="C858" s="9" t="str">
        <f>IFERROR(__xludf.DUMMYFUNCTION("SPLIT("""","","")"),"#VALUE!")</f>
        <v>#VALUE!</v>
      </c>
    </row>
    <row r="859">
      <c r="C859" s="9" t="str">
        <f>IFERROR(__xludf.DUMMYFUNCTION("SPLIT("""","","")"),"#VALUE!")</f>
        <v>#VALUE!</v>
      </c>
    </row>
    <row r="860">
      <c r="C860" s="9" t="str">
        <f>IFERROR(__xludf.DUMMYFUNCTION("SPLIT("""","","")"),"#VALUE!")</f>
        <v>#VALUE!</v>
      </c>
    </row>
    <row r="861">
      <c r="C861" s="9" t="str">
        <f>IFERROR(__xludf.DUMMYFUNCTION("SPLIT("""","","")"),"#VALUE!")</f>
        <v>#VALUE!</v>
      </c>
    </row>
    <row r="862">
      <c r="C862" s="9" t="str">
        <f>IFERROR(__xludf.DUMMYFUNCTION("SPLIT("""","","")"),"#VALUE!")</f>
        <v>#VALUE!</v>
      </c>
    </row>
    <row r="863">
      <c r="C863" s="9" t="str">
        <f>IFERROR(__xludf.DUMMYFUNCTION("SPLIT("""","","")"),"#VALUE!")</f>
        <v>#VALUE!</v>
      </c>
    </row>
    <row r="864">
      <c r="C864" s="9" t="str">
        <f>IFERROR(__xludf.DUMMYFUNCTION("SPLIT("""","","")"),"#VALUE!")</f>
        <v>#VALUE!</v>
      </c>
    </row>
    <row r="865">
      <c r="C865" s="9" t="str">
        <f>IFERROR(__xludf.DUMMYFUNCTION("SPLIT("""","","")"),"#VALUE!")</f>
        <v>#VALUE!</v>
      </c>
    </row>
    <row r="866">
      <c r="C866" s="9" t="str">
        <f>IFERROR(__xludf.DUMMYFUNCTION("SPLIT("""","","")"),"#VALUE!")</f>
        <v>#VALUE!</v>
      </c>
    </row>
    <row r="867">
      <c r="C867" s="9" t="str">
        <f>IFERROR(__xludf.DUMMYFUNCTION("SPLIT("""","","")"),"#VALUE!")</f>
        <v>#VALUE!</v>
      </c>
    </row>
    <row r="868">
      <c r="C868" s="9" t="str">
        <f>IFERROR(__xludf.DUMMYFUNCTION("SPLIT("""","","")"),"#VALUE!")</f>
        <v>#VALUE!</v>
      </c>
    </row>
    <row r="869">
      <c r="C869" s="9" t="str">
        <f>IFERROR(__xludf.DUMMYFUNCTION("SPLIT("""","","")"),"#VALUE!")</f>
        <v>#VALUE!</v>
      </c>
    </row>
    <row r="870">
      <c r="C870" s="9" t="str">
        <f>IFERROR(__xludf.DUMMYFUNCTION("SPLIT("""","","")"),"#VALUE!")</f>
        <v>#VALUE!</v>
      </c>
    </row>
    <row r="871">
      <c r="C871" s="9" t="str">
        <f>IFERROR(__xludf.DUMMYFUNCTION("SPLIT("""","","")"),"#VALUE!")</f>
        <v>#VALUE!</v>
      </c>
    </row>
    <row r="872">
      <c r="C872" s="9" t="str">
        <f>IFERROR(__xludf.DUMMYFUNCTION("SPLIT("""","","")"),"#VALUE!")</f>
        <v>#VALUE!</v>
      </c>
    </row>
    <row r="873">
      <c r="C873" s="9" t="str">
        <f>IFERROR(__xludf.DUMMYFUNCTION("SPLIT("""","","")"),"#VALUE!")</f>
        <v>#VALUE!</v>
      </c>
    </row>
    <row r="874">
      <c r="C874" s="9" t="str">
        <f>IFERROR(__xludf.DUMMYFUNCTION("SPLIT("""","","")"),"#VALUE!")</f>
        <v>#VALUE!</v>
      </c>
    </row>
    <row r="875">
      <c r="C875" s="9" t="str">
        <f>IFERROR(__xludf.DUMMYFUNCTION("SPLIT("""","","")"),"#VALUE!")</f>
        <v>#VALUE!</v>
      </c>
    </row>
    <row r="876">
      <c r="C876" s="9" t="str">
        <f>IFERROR(__xludf.DUMMYFUNCTION("SPLIT("""","","")"),"#VALUE!")</f>
        <v>#VALUE!</v>
      </c>
    </row>
    <row r="877">
      <c r="C877" s="9" t="str">
        <f>IFERROR(__xludf.DUMMYFUNCTION("SPLIT("""","","")"),"#VALUE!")</f>
        <v>#VALUE!</v>
      </c>
    </row>
    <row r="878">
      <c r="C878" s="9" t="str">
        <f>IFERROR(__xludf.DUMMYFUNCTION("SPLIT("""","","")"),"#VALUE!")</f>
        <v>#VALUE!</v>
      </c>
    </row>
    <row r="879">
      <c r="C879" s="9" t="str">
        <f>IFERROR(__xludf.DUMMYFUNCTION("SPLIT("""","","")"),"#VALUE!")</f>
        <v>#VALUE!</v>
      </c>
    </row>
    <row r="880">
      <c r="C880" s="9" t="str">
        <f>IFERROR(__xludf.DUMMYFUNCTION("SPLIT("""","","")"),"#VALUE!")</f>
        <v>#VALUE!</v>
      </c>
    </row>
    <row r="881">
      <c r="C881" s="9" t="str">
        <f>IFERROR(__xludf.DUMMYFUNCTION("SPLIT("""","","")"),"#VALUE!")</f>
        <v>#VALUE!</v>
      </c>
    </row>
    <row r="882">
      <c r="C882" s="9" t="str">
        <f>IFERROR(__xludf.DUMMYFUNCTION("SPLIT("""","","")"),"#VALUE!")</f>
        <v>#VALUE!</v>
      </c>
    </row>
    <row r="883">
      <c r="C883" s="9" t="str">
        <f>IFERROR(__xludf.DUMMYFUNCTION("SPLIT("""","","")"),"#VALUE!")</f>
        <v>#VALUE!</v>
      </c>
    </row>
    <row r="884">
      <c r="C884" s="9" t="str">
        <f>IFERROR(__xludf.DUMMYFUNCTION("SPLIT("""","","")"),"#VALUE!")</f>
        <v>#VALUE!</v>
      </c>
    </row>
    <row r="885">
      <c r="C885" s="9" t="str">
        <f>IFERROR(__xludf.DUMMYFUNCTION("SPLIT("""","","")"),"#VALUE!")</f>
        <v>#VALUE!</v>
      </c>
    </row>
    <row r="886">
      <c r="C886" s="9" t="str">
        <f>IFERROR(__xludf.DUMMYFUNCTION("SPLIT("""","","")"),"#VALUE!")</f>
        <v>#VALUE!</v>
      </c>
    </row>
    <row r="887">
      <c r="C887" s="9" t="str">
        <f>IFERROR(__xludf.DUMMYFUNCTION("SPLIT("""","","")"),"#VALUE!")</f>
        <v>#VALUE!</v>
      </c>
    </row>
    <row r="888">
      <c r="C888" s="9" t="str">
        <f>IFERROR(__xludf.DUMMYFUNCTION("SPLIT("""","","")"),"#VALUE!")</f>
        <v>#VALUE!</v>
      </c>
    </row>
    <row r="889">
      <c r="C889" s="9" t="str">
        <f>IFERROR(__xludf.DUMMYFUNCTION("SPLIT("""","","")"),"#VALUE!")</f>
        <v>#VALUE!</v>
      </c>
    </row>
    <row r="890">
      <c r="C890" s="9" t="str">
        <f>IFERROR(__xludf.DUMMYFUNCTION("SPLIT("""","","")"),"#VALUE!")</f>
        <v>#VALUE!</v>
      </c>
    </row>
    <row r="891">
      <c r="C891" s="9" t="str">
        <f>IFERROR(__xludf.DUMMYFUNCTION("SPLIT("""","","")"),"#VALUE!")</f>
        <v>#VALUE!</v>
      </c>
    </row>
    <row r="892">
      <c r="C892" s="9" t="str">
        <f>IFERROR(__xludf.DUMMYFUNCTION("SPLIT("""","","")"),"#VALUE!")</f>
        <v>#VALUE!</v>
      </c>
    </row>
    <row r="893">
      <c r="C893" s="9" t="str">
        <f>IFERROR(__xludf.DUMMYFUNCTION("SPLIT("""","","")"),"#VALUE!")</f>
        <v>#VALUE!</v>
      </c>
    </row>
    <row r="894">
      <c r="C894" s="9" t="str">
        <f>IFERROR(__xludf.DUMMYFUNCTION("SPLIT("""","","")"),"#VALUE!")</f>
        <v>#VALUE!</v>
      </c>
    </row>
    <row r="895">
      <c r="C895" s="9" t="str">
        <f>IFERROR(__xludf.DUMMYFUNCTION("SPLIT("""","","")"),"#VALUE!")</f>
        <v>#VALUE!</v>
      </c>
    </row>
    <row r="896">
      <c r="C896" s="9" t="str">
        <f>IFERROR(__xludf.DUMMYFUNCTION("SPLIT("""","","")"),"#VALUE!")</f>
        <v>#VALUE!</v>
      </c>
    </row>
    <row r="897">
      <c r="C897" s="9" t="str">
        <f>IFERROR(__xludf.DUMMYFUNCTION("SPLIT("""","","")"),"#VALUE!")</f>
        <v>#VALUE!</v>
      </c>
    </row>
    <row r="898">
      <c r="C898" s="9" t="str">
        <f>IFERROR(__xludf.DUMMYFUNCTION("SPLIT("""","","")"),"#VALUE!")</f>
        <v>#VALUE!</v>
      </c>
    </row>
    <row r="899">
      <c r="C899" s="9" t="str">
        <f>IFERROR(__xludf.DUMMYFUNCTION("SPLIT("""","","")"),"#VALUE!")</f>
        <v>#VALUE!</v>
      </c>
    </row>
    <row r="900">
      <c r="C900" s="9" t="str">
        <f>IFERROR(__xludf.DUMMYFUNCTION("SPLIT("""","","")"),"#VALUE!")</f>
        <v>#VALUE!</v>
      </c>
    </row>
    <row r="901">
      <c r="C901" s="9" t="str">
        <f>IFERROR(__xludf.DUMMYFUNCTION("SPLIT("""","","")"),"#VALUE!")</f>
        <v>#VALUE!</v>
      </c>
    </row>
    <row r="902">
      <c r="C902" s="9" t="str">
        <f>IFERROR(__xludf.DUMMYFUNCTION("SPLIT("""","","")"),"#VALUE!")</f>
        <v>#VALUE!</v>
      </c>
    </row>
    <row r="903">
      <c r="C903" s="9" t="str">
        <f>IFERROR(__xludf.DUMMYFUNCTION("SPLIT("""","","")"),"#VALUE!")</f>
        <v>#VALUE!</v>
      </c>
    </row>
    <row r="904">
      <c r="C904" s="9" t="str">
        <f>IFERROR(__xludf.DUMMYFUNCTION("SPLIT("""","","")"),"#VALUE!")</f>
        <v>#VALUE!</v>
      </c>
    </row>
    <row r="905">
      <c r="C905" s="9" t="str">
        <f>IFERROR(__xludf.DUMMYFUNCTION("SPLIT("""","","")"),"#VALUE!")</f>
        <v>#VALUE!</v>
      </c>
    </row>
    <row r="906">
      <c r="C906" s="9" t="str">
        <f>IFERROR(__xludf.DUMMYFUNCTION("SPLIT("""","","")"),"#VALUE!")</f>
        <v>#VALUE!</v>
      </c>
    </row>
    <row r="907">
      <c r="C907" s="9" t="str">
        <f>IFERROR(__xludf.DUMMYFUNCTION("SPLIT("""","","")"),"#VALUE!")</f>
        <v>#VALUE!</v>
      </c>
    </row>
    <row r="908">
      <c r="C908" s="9" t="str">
        <f>IFERROR(__xludf.DUMMYFUNCTION("SPLIT("""","","")"),"#VALUE!")</f>
        <v>#VALUE!</v>
      </c>
    </row>
    <row r="909">
      <c r="C909" s="9" t="str">
        <f>IFERROR(__xludf.DUMMYFUNCTION("SPLIT("""","","")"),"#VALUE!")</f>
        <v>#VALUE!</v>
      </c>
    </row>
    <row r="910">
      <c r="C910" s="9" t="str">
        <f>IFERROR(__xludf.DUMMYFUNCTION("SPLIT("""","","")"),"#VALUE!")</f>
        <v>#VALUE!</v>
      </c>
    </row>
    <row r="911">
      <c r="C911" s="9" t="str">
        <f>IFERROR(__xludf.DUMMYFUNCTION("SPLIT("""","","")"),"#VALUE!")</f>
        <v>#VALUE!</v>
      </c>
    </row>
    <row r="912">
      <c r="C912" s="9" t="str">
        <f>IFERROR(__xludf.DUMMYFUNCTION("SPLIT("""","","")"),"#VALUE!")</f>
        <v>#VALUE!</v>
      </c>
    </row>
    <row r="913">
      <c r="C913" s="9" t="str">
        <f>IFERROR(__xludf.DUMMYFUNCTION("SPLIT("""","","")"),"#VALUE!")</f>
        <v>#VALUE!</v>
      </c>
    </row>
    <row r="914">
      <c r="C914" s="9" t="str">
        <f>IFERROR(__xludf.DUMMYFUNCTION("SPLIT("""","","")"),"#VALUE!")</f>
        <v>#VALUE!</v>
      </c>
    </row>
    <row r="915">
      <c r="C915" s="9" t="str">
        <f>IFERROR(__xludf.DUMMYFUNCTION("SPLIT("""","","")"),"#VALUE!")</f>
        <v>#VALUE!</v>
      </c>
    </row>
    <row r="916">
      <c r="C916" s="9" t="str">
        <f>IFERROR(__xludf.DUMMYFUNCTION("SPLIT("""","","")"),"#VALUE!")</f>
        <v>#VALUE!</v>
      </c>
    </row>
    <row r="917">
      <c r="C917" s="9" t="str">
        <f>IFERROR(__xludf.DUMMYFUNCTION("SPLIT("""","","")"),"#VALUE!")</f>
        <v>#VALUE!</v>
      </c>
    </row>
    <row r="918">
      <c r="C918" s="9" t="str">
        <f>IFERROR(__xludf.DUMMYFUNCTION("SPLIT("""","","")"),"#VALUE!")</f>
        <v>#VALUE!</v>
      </c>
    </row>
    <row r="919">
      <c r="C919" s="9" t="str">
        <f>IFERROR(__xludf.DUMMYFUNCTION("SPLIT("""","","")"),"#VALUE!")</f>
        <v>#VALUE!</v>
      </c>
    </row>
    <row r="920">
      <c r="C920" s="9" t="str">
        <f>IFERROR(__xludf.DUMMYFUNCTION("SPLIT("""","","")"),"#VALUE!")</f>
        <v>#VALUE!</v>
      </c>
    </row>
    <row r="921">
      <c r="C921" s="9" t="str">
        <f>IFERROR(__xludf.DUMMYFUNCTION("SPLIT("""","","")"),"#VALUE!")</f>
        <v>#VALUE!</v>
      </c>
    </row>
    <row r="922">
      <c r="C922" s="9" t="str">
        <f>IFERROR(__xludf.DUMMYFUNCTION("SPLIT("""","","")"),"#VALUE!")</f>
        <v>#VALUE!</v>
      </c>
    </row>
    <row r="923">
      <c r="C923" s="9" t="str">
        <f>IFERROR(__xludf.DUMMYFUNCTION("SPLIT("""","","")"),"#VALUE!")</f>
        <v>#VALUE!</v>
      </c>
    </row>
    <row r="924">
      <c r="C924" s="9" t="str">
        <f>IFERROR(__xludf.DUMMYFUNCTION("SPLIT("""","","")"),"#VALUE!")</f>
        <v>#VALUE!</v>
      </c>
    </row>
    <row r="925">
      <c r="C925" s="9" t="str">
        <f>IFERROR(__xludf.DUMMYFUNCTION("SPLIT("""","","")"),"#VALUE!")</f>
        <v>#VALUE!</v>
      </c>
    </row>
    <row r="926">
      <c r="C926" s="9" t="str">
        <f>IFERROR(__xludf.DUMMYFUNCTION("SPLIT("""","","")"),"#VALUE!")</f>
        <v>#VALUE!</v>
      </c>
    </row>
    <row r="927">
      <c r="C927" s="9" t="str">
        <f>IFERROR(__xludf.DUMMYFUNCTION("SPLIT("""","","")"),"#VALUE!")</f>
        <v>#VALUE!</v>
      </c>
    </row>
    <row r="928">
      <c r="C928" s="9" t="str">
        <f>IFERROR(__xludf.DUMMYFUNCTION("SPLIT("""","","")"),"#VALUE!")</f>
        <v>#VALUE!</v>
      </c>
    </row>
    <row r="929">
      <c r="C929" s="9" t="str">
        <f>IFERROR(__xludf.DUMMYFUNCTION("SPLIT("""","","")"),"#VALUE!")</f>
        <v>#VALUE!</v>
      </c>
    </row>
    <row r="930">
      <c r="C930" s="9" t="str">
        <f>IFERROR(__xludf.DUMMYFUNCTION("SPLIT("""","","")"),"#VALUE!")</f>
        <v>#VALUE!</v>
      </c>
    </row>
    <row r="931">
      <c r="C931" s="9" t="str">
        <f>IFERROR(__xludf.DUMMYFUNCTION("SPLIT("""","","")"),"#VALUE!")</f>
        <v>#VALUE!</v>
      </c>
    </row>
    <row r="932">
      <c r="C932" s="9" t="str">
        <f>IFERROR(__xludf.DUMMYFUNCTION("SPLIT("""","","")"),"#VALUE!")</f>
        <v>#VALUE!</v>
      </c>
    </row>
    <row r="933">
      <c r="C933" s="9" t="str">
        <f>IFERROR(__xludf.DUMMYFUNCTION("SPLIT("""","","")"),"#VALUE!")</f>
        <v>#VALUE!</v>
      </c>
    </row>
    <row r="934">
      <c r="C934" s="9" t="str">
        <f>IFERROR(__xludf.DUMMYFUNCTION("SPLIT("""","","")"),"#VALUE!")</f>
        <v>#VALUE!</v>
      </c>
    </row>
    <row r="935">
      <c r="C935" s="9" t="str">
        <f>IFERROR(__xludf.DUMMYFUNCTION("SPLIT("""","","")"),"#VALUE!")</f>
        <v>#VALUE!</v>
      </c>
    </row>
    <row r="936">
      <c r="C936" s="9" t="str">
        <f>IFERROR(__xludf.DUMMYFUNCTION("SPLIT("""","","")"),"#VALUE!")</f>
        <v>#VALUE!</v>
      </c>
    </row>
    <row r="937">
      <c r="C937" s="9" t="str">
        <f>IFERROR(__xludf.DUMMYFUNCTION("SPLIT("""","","")"),"#VALUE!")</f>
        <v>#VALUE!</v>
      </c>
    </row>
    <row r="938">
      <c r="C938" s="9" t="str">
        <f>IFERROR(__xludf.DUMMYFUNCTION("SPLIT("""","","")"),"#VALUE!")</f>
        <v>#VALUE!</v>
      </c>
    </row>
    <row r="939">
      <c r="C939" s="9" t="str">
        <f>IFERROR(__xludf.DUMMYFUNCTION("SPLIT("""","","")"),"#VALUE!")</f>
        <v>#VALUE!</v>
      </c>
    </row>
    <row r="940">
      <c r="C940" s="9" t="str">
        <f>IFERROR(__xludf.DUMMYFUNCTION("SPLIT("""","","")"),"#VALUE!")</f>
        <v>#VALUE!</v>
      </c>
    </row>
    <row r="941">
      <c r="C941" s="9" t="str">
        <f>IFERROR(__xludf.DUMMYFUNCTION("SPLIT("""","","")"),"#VALUE!")</f>
        <v>#VALUE!</v>
      </c>
    </row>
    <row r="942">
      <c r="C942" s="9" t="str">
        <f>IFERROR(__xludf.DUMMYFUNCTION("SPLIT("""","","")"),"#VALUE!")</f>
        <v>#VALUE!</v>
      </c>
    </row>
    <row r="943">
      <c r="C943" s="9" t="str">
        <f>IFERROR(__xludf.DUMMYFUNCTION("SPLIT("""","","")"),"#VALUE!")</f>
        <v>#VALUE!</v>
      </c>
    </row>
    <row r="944">
      <c r="C944" s="9" t="str">
        <f>IFERROR(__xludf.DUMMYFUNCTION("SPLIT("""","","")"),"#VALUE!")</f>
        <v>#VALUE!</v>
      </c>
    </row>
    <row r="945">
      <c r="C945" s="9" t="str">
        <f>IFERROR(__xludf.DUMMYFUNCTION("SPLIT("""","","")"),"#VALUE!")</f>
        <v>#VALUE!</v>
      </c>
    </row>
    <row r="946">
      <c r="C946" s="9" t="str">
        <f>IFERROR(__xludf.DUMMYFUNCTION("SPLIT("""","","")"),"#VALUE!")</f>
        <v>#VALUE!</v>
      </c>
    </row>
    <row r="947">
      <c r="C947" s="9" t="str">
        <f>IFERROR(__xludf.DUMMYFUNCTION("SPLIT("""","","")"),"#VALUE!")</f>
        <v>#VALUE!</v>
      </c>
    </row>
    <row r="948">
      <c r="C948" s="9" t="str">
        <f>IFERROR(__xludf.DUMMYFUNCTION("SPLIT("""","","")"),"#VALUE!")</f>
        <v>#VALUE!</v>
      </c>
    </row>
    <row r="949">
      <c r="C949" s="9" t="str">
        <f>IFERROR(__xludf.DUMMYFUNCTION("SPLIT("""","","")"),"#VALUE!")</f>
        <v>#VALUE!</v>
      </c>
    </row>
    <row r="950">
      <c r="C950" s="9" t="str">
        <f>IFERROR(__xludf.DUMMYFUNCTION("SPLIT("""","","")"),"#VALUE!")</f>
        <v>#VALUE!</v>
      </c>
    </row>
    <row r="951">
      <c r="C951" s="9" t="str">
        <f>IFERROR(__xludf.DUMMYFUNCTION("SPLIT("""","","")"),"#VALUE!")</f>
        <v>#VALUE!</v>
      </c>
    </row>
    <row r="952">
      <c r="C952" s="9" t="str">
        <f>IFERROR(__xludf.DUMMYFUNCTION("SPLIT("""","","")"),"#VALUE!")</f>
        <v>#VALUE!</v>
      </c>
    </row>
    <row r="953">
      <c r="C953" s="9" t="str">
        <f>IFERROR(__xludf.DUMMYFUNCTION("SPLIT("""","","")"),"#VALUE!")</f>
        <v>#VALUE!</v>
      </c>
    </row>
    <row r="954">
      <c r="C954" s="9" t="str">
        <f>IFERROR(__xludf.DUMMYFUNCTION("SPLIT("""","","")"),"#VALUE!")</f>
        <v>#VALUE!</v>
      </c>
    </row>
    <row r="955">
      <c r="C955" s="9" t="str">
        <f>IFERROR(__xludf.DUMMYFUNCTION("SPLIT("""","","")"),"#VALUE!")</f>
        <v>#VALUE!</v>
      </c>
    </row>
    <row r="956">
      <c r="C956" s="9" t="str">
        <f>IFERROR(__xludf.DUMMYFUNCTION("SPLIT("""","","")"),"#VALUE!")</f>
        <v>#VALUE!</v>
      </c>
    </row>
    <row r="957">
      <c r="C957" s="9" t="str">
        <f>IFERROR(__xludf.DUMMYFUNCTION("SPLIT("""","","")"),"#VALUE!")</f>
        <v>#VALUE!</v>
      </c>
    </row>
    <row r="958">
      <c r="C958" s="9" t="str">
        <f>IFERROR(__xludf.DUMMYFUNCTION("SPLIT("""","","")"),"#VALUE!")</f>
        <v>#VALUE!</v>
      </c>
    </row>
    <row r="959">
      <c r="C959" s="9" t="str">
        <f>IFERROR(__xludf.DUMMYFUNCTION("SPLIT("""","","")"),"#VALUE!")</f>
        <v>#VALUE!</v>
      </c>
    </row>
    <row r="960">
      <c r="C960" s="9" t="str">
        <f>IFERROR(__xludf.DUMMYFUNCTION("SPLIT("""","","")"),"#VALUE!")</f>
        <v>#VALUE!</v>
      </c>
    </row>
    <row r="961">
      <c r="C961" s="9" t="str">
        <f>IFERROR(__xludf.DUMMYFUNCTION("SPLIT("""","","")"),"#VALUE!")</f>
        <v>#VALUE!</v>
      </c>
    </row>
    <row r="962">
      <c r="C962" s="9" t="str">
        <f>IFERROR(__xludf.DUMMYFUNCTION("SPLIT("""","","")"),"#VALUE!")</f>
        <v>#VALUE!</v>
      </c>
    </row>
    <row r="963">
      <c r="C963" s="9" t="str">
        <f>IFERROR(__xludf.DUMMYFUNCTION("SPLIT("""","","")"),"#VALUE!")</f>
        <v>#VALUE!</v>
      </c>
    </row>
    <row r="964">
      <c r="C964" s="9" t="str">
        <f>IFERROR(__xludf.DUMMYFUNCTION("SPLIT("""","","")"),"#VALUE!")</f>
        <v>#VALUE!</v>
      </c>
    </row>
    <row r="965">
      <c r="C965" s="9" t="str">
        <f>IFERROR(__xludf.DUMMYFUNCTION("SPLIT("""","","")"),"#VALUE!")</f>
        <v>#VALUE!</v>
      </c>
    </row>
    <row r="966">
      <c r="C966" s="9" t="str">
        <f>IFERROR(__xludf.DUMMYFUNCTION("SPLIT("""","","")"),"#VALUE!")</f>
        <v>#VALUE!</v>
      </c>
    </row>
    <row r="967">
      <c r="C967" s="9" t="str">
        <f>IFERROR(__xludf.DUMMYFUNCTION("SPLIT("""","","")"),"#VALUE!")</f>
        <v>#VALUE!</v>
      </c>
    </row>
    <row r="968">
      <c r="C968" s="9" t="str">
        <f>IFERROR(__xludf.DUMMYFUNCTION("SPLIT("""","","")"),"#VALUE!")</f>
        <v>#VALUE!</v>
      </c>
    </row>
    <row r="969">
      <c r="C969" s="9" t="str">
        <f>IFERROR(__xludf.DUMMYFUNCTION("SPLIT("""","","")"),"#VALUE!")</f>
        <v>#VALUE!</v>
      </c>
    </row>
    <row r="970">
      <c r="C970" s="9" t="str">
        <f>IFERROR(__xludf.DUMMYFUNCTION("SPLIT("""","","")"),"#VALUE!")</f>
        <v>#VALUE!</v>
      </c>
    </row>
    <row r="971">
      <c r="C971" s="9" t="str">
        <f>IFERROR(__xludf.DUMMYFUNCTION("SPLIT("""","","")"),"#VALUE!")</f>
        <v>#VALUE!</v>
      </c>
    </row>
    <row r="972">
      <c r="C972" s="9" t="str">
        <f>IFERROR(__xludf.DUMMYFUNCTION("SPLIT("""","","")"),"#VALUE!")</f>
        <v>#VALUE!</v>
      </c>
    </row>
    <row r="973">
      <c r="C973" s="9" t="str">
        <f>IFERROR(__xludf.DUMMYFUNCTION("SPLIT("""","","")"),"#VALUE!")</f>
        <v>#VALUE!</v>
      </c>
    </row>
    <row r="974">
      <c r="C974" s="9" t="str">
        <f>IFERROR(__xludf.DUMMYFUNCTION("SPLIT("""","","")"),"#VALUE!")</f>
        <v>#VALUE!</v>
      </c>
    </row>
    <row r="975">
      <c r="C975" s="9" t="str">
        <f>IFERROR(__xludf.DUMMYFUNCTION("SPLIT("""","","")"),"#VALUE!")</f>
        <v>#VALUE!</v>
      </c>
    </row>
    <row r="976">
      <c r="C976" s="9" t="str">
        <f>IFERROR(__xludf.DUMMYFUNCTION("SPLIT("""","","")"),"#VALUE!")</f>
        <v>#VALUE!</v>
      </c>
    </row>
    <row r="977">
      <c r="C977" s="9" t="str">
        <f>IFERROR(__xludf.DUMMYFUNCTION("SPLIT("""","","")"),"#VALUE!")</f>
        <v>#VALUE!</v>
      </c>
    </row>
    <row r="978">
      <c r="C978" s="9" t="str">
        <f>IFERROR(__xludf.DUMMYFUNCTION("SPLIT("""","","")"),"#VALUE!")</f>
        <v>#VALUE!</v>
      </c>
    </row>
    <row r="979">
      <c r="C979" s="9" t="str">
        <f>IFERROR(__xludf.DUMMYFUNCTION("SPLIT("""","","")"),"#VALUE!")</f>
        <v>#VALUE!</v>
      </c>
    </row>
    <row r="980">
      <c r="C980" s="9" t="str">
        <f>IFERROR(__xludf.DUMMYFUNCTION("SPLIT("""","","")"),"#VALUE!")</f>
        <v>#VALUE!</v>
      </c>
    </row>
    <row r="981">
      <c r="C981" s="9" t="str">
        <f>IFERROR(__xludf.DUMMYFUNCTION("SPLIT("""","","")"),"#VALUE!")</f>
        <v>#VALUE!</v>
      </c>
    </row>
    <row r="982">
      <c r="C982" s="9" t="str">
        <f>IFERROR(__xludf.DUMMYFUNCTION("SPLIT("""","","")"),"#VALUE!")</f>
        <v>#VALUE!</v>
      </c>
    </row>
    <row r="983">
      <c r="C983" s="9" t="str">
        <f>IFERROR(__xludf.DUMMYFUNCTION("SPLIT("""","","")"),"#VALUE!")</f>
        <v>#VALUE!</v>
      </c>
    </row>
    <row r="984">
      <c r="C984" s="9" t="str">
        <f>IFERROR(__xludf.DUMMYFUNCTION("SPLIT("""","","")"),"#VALUE!")</f>
        <v>#VALUE!</v>
      </c>
    </row>
    <row r="985">
      <c r="C985" s="9" t="str">
        <f>IFERROR(__xludf.DUMMYFUNCTION("SPLIT("""","","")"),"#VALUE!")</f>
        <v>#VALUE!</v>
      </c>
    </row>
    <row r="986">
      <c r="C986" s="9" t="str">
        <f>IFERROR(__xludf.DUMMYFUNCTION("SPLIT("""","","")"),"#VALUE!")</f>
        <v>#VALUE!</v>
      </c>
    </row>
    <row r="987">
      <c r="C987" s="9" t="str">
        <f>IFERROR(__xludf.DUMMYFUNCTION("SPLIT("""","","")"),"#VALUE!")</f>
        <v>#VALUE!</v>
      </c>
    </row>
    <row r="988">
      <c r="C988" s="9" t="str">
        <f>IFERROR(__xludf.DUMMYFUNCTION("SPLIT("""","","")"),"#VALUE!")</f>
        <v>#VALUE!</v>
      </c>
    </row>
    <row r="989">
      <c r="C989" s="9" t="str">
        <f>IFERROR(__xludf.DUMMYFUNCTION("SPLIT("""","","")"),"#VALUE!")</f>
        <v>#VALUE!</v>
      </c>
    </row>
    <row r="990">
      <c r="C990" s="9" t="str">
        <f>IFERROR(__xludf.DUMMYFUNCTION("SPLIT("""","","")"),"#VALUE!")</f>
        <v>#VALUE!</v>
      </c>
    </row>
    <row r="991">
      <c r="C991" s="9" t="str">
        <f>IFERROR(__xludf.DUMMYFUNCTION("SPLIT("""","","")"),"#VALUE!")</f>
        <v>#VALUE!</v>
      </c>
    </row>
    <row r="992">
      <c r="C992" s="9" t="str">
        <f>IFERROR(__xludf.DUMMYFUNCTION("SPLIT("""","","")"),"#VALUE!")</f>
        <v>#VALUE!</v>
      </c>
    </row>
    <row r="993">
      <c r="C993" s="9" t="str">
        <f>IFERROR(__xludf.DUMMYFUNCTION("SPLIT("""","","")"),"#VALUE!")</f>
        <v>#VALUE!</v>
      </c>
    </row>
  </sheetData>
  <drawing r:id="rId1"/>
</worksheet>
</file>