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xl957\OneDrive - Cornell University\Desktop\E\1111_论文_Publication paper\20231018_Blockchain-based carbon registry\Manuscript\Submit\"/>
    </mc:Choice>
  </mc:AlternateContent>
  <xr:revisionPtr revIDLastSave="0" documentId="13_ncr:1_{194157E9-3298-447F-B187-17D859B7BCE6}" xr6:coauthVersionLast="47" xr6:coauthVersionMax="47" xr10:uidLastSave="{00000000-0000-0000-0000-000000000000}"/>
  <bookViews>
    <workbookView xWindow="28680" yWindow="-2055" windowWidth="29040" windowHeight="15720" activeTab="1" xr2:uid="{00000000-000D-0000-FFFF-FFFF00000000}"/>
  </bookViews>
  <sheets>
    <sheet name="Carbon credibility criteria" sheetId="3" r:id="rId1"/>
    <sheet name="Actual carbon emissions" sheetId="2" r:id="rId2"/>
    <sheet name="Scenario 1" sheetId="4" r:id="rId3"/>
    <sheet name="Scenario 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" i="5" l="1"/>
  <c r="AA7" i="5"/>
  <c r="Z7" i="5"/>
  <c r="Y7" i="5"/>
  <c r="P7" i="5"/>
  <c r="O7" i="5"/>
  <c r="N7" i="5"/>
  <c r="M7" i="5"/>
  <c r="I7" i="5"/>
  <c r="H7" i="5"/>
  <c r="G7" i="5"/>
  <c r="F7" i="5"/>
  <c r="E7" i="5"/>
  <c r="D7" i="5"/>
  <c r="C7" i="5"/>
  <c r="B7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B5" i="5"/>
  <c r="AB8" i="5" s="1"/>
  <c r="AB9" i="5" s="1"/>
  <c r="AA5" i="5"/>
  <c r="Z5" i="5"/>
  <c r="Y5" i="5"/>
  <c r="X5" i="5"/>
  <c r="W5" i="5"/>
  <c r="V5" i="5"/>
  <c r="U5" i="5"/>
  <c r="P5" i="5"/>
  <c r="P8" i="5" s="1"/>
  <c r="P9" i="5" s="1"/>
  <c r="O5" i="5"/>
  <c r="O8" i="5" s="1"/>
  <c r="O9" i="5" s="1"/>
  <c r="N5" i="5"/>
  <c r="N8" i="5" s="1"/>
  <c r="N9" i="5" s="1"/>
  <c r="M5" i="5"/>
  <c r="M8" i="5" s="1"/>
  <c r="M9" i="5" s="1"/>
  <c r="L5" i="5"/>
  <c r="K5" i="5"/>
  <c r="J5" i="5"/>
  <c r="I5" i="5"/>
  <c r="I8" i="5" s="1"/>
  <c r="I9" i="5" s="1"/>
  <c r="D5" i="5"/>
  <c r="D8" i="5" s="1"/>
  <c r="D9" i="5" s="1"/>
  <c r="C5" i="5"/>
  <c r="C8" i="5" s="1"/>
  <c r="C9" i="5" s="1"/>
  <c r="B5" i="5"/>
  <c r="B8" i="5" s="1"/>
  <c r="B9" i="5" s="1"/>
  <c r="AB3" i="5"/>
  <c r="AA3" i="5"/>
  <c r="Z3" i="5"/>
  <c r="Y3" i="5"/>
  <c r="P3" i="5"/>
  <c r="O3" i="5"/>
  <c r="N3" i="5"/>
  <c r="M3" i="5"/>
  <c r="D3" i="5"/>
  <c r="C3" i="5"/>
  <c r="B3" i="5"/>
  <c r="AC2" i="5"/>
  <c r="AB2" i="5"/>
  <c r="AA2" i="5"/>
  <c r="Z2" i="5"/>
  <c r="Y2" i="5"/>
  <c r="X2" i="5"/>
  <c r="X7" i="5" s="1"/>
  <c r="W2" i="5"/>
  <c r="W7" i="5" s="1"/>
  <c r="V2" i="5"/>
  <c r="V7" i="5" s="1"/>
  <c r="U2" i="5"/>
  <c r="U7" i="5" s="1"/>
  <c r="T2" i="5"/>
  <c r="T5" i="5" s="1"/>
  <c r="S2" i="5"/>
  <c r="R2" i="5"/>
  <c r="Q2" i="5"/>
  <c r="P2" i="5"/>
  <c r="O2" i="5"/>
  <c r="N2" i="5"/>
  <c r="M2" i="5"/>
  <c r="L2" i="5"/>
  <c r="L7" i="5" s="1"/>
  <c r="K2" i="5"/>
  <c r="K7" i="5" s="1"/>
  <c r="J2" i="5"/>
  <c r="J7" i="5" s="1"/>
  <c r="I2" i="5"/>
  <c r="I3" i="5" s="1"/>
  <c r="H2" i="5"/>
  <c r="H5" i="5" s="1"/>
  <c r="G2" i="5"/>
  <c r="F2" i="5"/>
  <c r="E2" i="5"/>
  <c r="D2" i="5"/>
  <c r="C2" i="5"/>
  <c r="B2" i="5"/>
  <c r="AC8" i="4"/>
  <c r="AC5" i="4" s="1"/>
  <c r="AC7" i="4" s="1"/>
  <c r="AB8" i="4"/>
  <c r="AB5" i="4" s="1"/>
  <c r="AB7" i="4" s="1"/>
  <c r="AA8" i="4"/>
  <c r="AA5" i="4" s="1"/>
  <c r="AA7" i="4" s="1"/>
  <c r="Z8" i="4"/>
  <c r="Z5" i="4" s="1"/>
  <c r="Z7" i="4" s="1"/>
  <c r="Y8" i="4"/>
  <c r="Y5" i="4" s="1"/>
  <c r="Y7" i="4" s="1"/>
  <c r="X8" i="4"/>
  <c r="X5" i="4" s="1"/>
  <c r="X7" i="4" s="1"/>
  <c r="W8" i="4"/>
  <c r="W5" i="4" s="1"/>
  <c r="W7" i="4" s="1"/>
  <c r="V8" i="4"/>
  <c r="V5" i="4" s="1"/>
  <c r="V7" i="4" s="1"/>
  <c r="U8" i="4"/>
  <c r="U5" i="4" s="1"/>
  <c r="U7" i="4" s="1"/>
  <c r="T8" i="4"/>
  <c r="T5" i="4" s="1"/>
  <c r="T7" i="4" s="1"/>
  <c r="S8" i="4"/>
  <c r="R8" i="4"/>
  <c r="R5" i="4" s="1"/>
  <c r="R7" i="4" s="1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S7" i="4"/>
  <c r="Q7" i="4"/>
  <c r="P7" i="4"/>
  <c r="O7" i="4"/>
  <c r="N7" i="4"/>
  <c r="M7" i="4"/>
  <c r="L7" i="4"/>
  <c r="G7" i="4"/>
  <c r="F7" i="4"/>
  <c r="E7" i="4"/>
  <c r="D7" i="4"/>
  <c r="C7" i="4"/>
  <c r="B7" i="4"/>
  <c r="AC6" i="4"/>
  <c r="AC9" i="4" s="1"/>
  <c r="AC10" i="4" s="1"/>
  <c r="AB6" i="4"/>
  <c r="AB9" i="4" s="1"/>
  <c r="AB10" i="4" s="1"/>
  <c r="AA6" i="4"/>
  <c r="AA9" i="4" s="1"/>
  <c r="AA10" i="4" s="1"/>
  <c r="Z6" i="4"/>
  <c r="Z9" i="4" s="1"/>
  <c r="Z10" i="4" s="1"/>
  <c r="Y6" i="4"/>
  <c r="Y9" i="4" s="1"/>
  <c r="Y10" i="4" s="1"/>
  <c r="X6" i="4"/>
  <c r="X9" i="4" s="1"/>
  <c r="X10" i="4" s="1"/>
  <c r="W6" i="4"/>
  <c r="W9" i="4" s="1"/>
  <c r="W10" i="4" s="1"/>
  <c r="V6" i="4"/>
  <c r="V9" i="4" s="1"/>
  <c r="U6" i="4"/>
  <c r="U9" i="4" s="1"/>
  <c r="T6" i="4"/>
  <c r="T9" i="4" s="1"/>
  <c r="S6" i="4"/>
  <c r="S9" i="4" s="1"/>
  <c r="S10" i="4" s="1"/>
  <c r="R6" i="4"/>
  <c r="R9" i="4" s="1"/>
  <c r="Q6" i="4"/>
  <c r="Q9" i="4" s="1"/>
  <c r="Q10" i="4" s="1"/>
  <c r="P6" i="4"/>
  <c r="P9" i="4" s="1"/>
  <c r="P10" i="4" s="1"/>
  <c r="O6" i="4"/>
  <c r="O9" i="4" s="1"/>
  <c r="O10" i="4" s="1"/>
  <c r="N6" i="4"/>
  <c r="N9" i="4" s="1"/>
  <c r="N10" i="4" s="1"/>
  <c r="M6" i="4"/>
  <c r="M9" i="4" s="1"/>
  <c r="M10" i="4" s="1"/>
  <c r="L6" i="4"/>
  <c r="L9" i="4" s="1"/>
  <c r="L10" i="4" s="1"/>
  <c r="K6" i="4"/>
  <c r="K9" i="4" s="1"/>
  <c r="K10" i="4" s="1"/>
  <c r="J6" i="4"/>
  <c r="J9" i="4" s="1"/>
  <c r="I6" i="4"/>
  <c r="I9" i="4" s="1"/>
  <c r="H6" i="4"/>
  <c r="H9" i="4" s="1"/>
  <c r="G6" i="4"/>
  <c r="G9" i="4" s="1"/>
  <c r="G10" i="4" s="1"/>
  <c r="F6" i="4"/>
  <c r="F9" i="4" s="1"/>
  <c r="F10" i="4" s="1"/>
  <c r="E6" i="4"/>
  <c r="E9" i="4" s="1"/>
  <c r="E10" i="4" s="1"/>
  <c r="D6" i="4"/>
  <c r="D9" i="4" s="1"/>
  <c r="D10" i="4" s="1"/>
  <c r="C6" i="4"/>
  <c r="C9" i="4" s="1"/>
  <c r="C10" i="4" s="1"/>
  <c r="B6" i="4"/>
  <c r="B9" i="4" s="1"/>
  <c r="B10" i="4" s="1"/>
  <c r="S5" i="4"/>
  <c r="Q5" i="4"/>
  <c r="P5" i="4"/>
  <c r="O5" i="4"/>
  <c r="N5" i="4"/>
  <c r="M5" i="4"/>
  <c r="L5" i="4"/>
  <c r="K5" i="4"/>
  <c r="K7" i="4" s="1"/>
  <c r="J5" i="4"/>
  <c r="J7" i="4" s="1"/>
  <c r="I5" i="4"/>
  <c r="I7" i="4" s="1"/>
  <c r="H5" i="4"/>
  <c r="H7" i="4" s="1"/>
  <c r="G5" i="4"/>
  <c r="F5" i="4"/>
  <c r="E5" i="4"/>
  <c r="D5" i="4"/>
  <c r="C5" i="4"/>
  <c r="B5" i="4"/>
  <c r="S8" i="2"/>
  <c r="S5" i="2" s="1"/>
  <c r="S7" i="2" s="1"/>
  <c r="R8" i="2"/>
  <c r="R5" i="2" s="1"/>
  <c r="R7" i="2" s="1"/>
  <c r="Q8" i="2"/>
  <c r="Q5" i="2" s="1"/>
  <c r="Q7" i="2" s="1"/>
  <c r="P8" i="2"/>
  <c r="P5" i="2" s="1"/>
  <c r="P7" i="2" s="1"/>
  <c r="O8" i="2"/>
  <c r="O5" i="2" s="1"/>
  <c r="O7" i="2" s="1"/>
  <c r="N8" i="2"/>
  <c r="M8" i="2"/>
  <c r="M5" i="2" s="1"/>
  <c r="M7" i="2" s="1"/>
  <c r="L8" i="2"/>
  <c r="L5" i="2" s="1"/>
  <c r="L7" i="2" s="1"/>
  <c r="K8" i="2"/>
  <c r="K5" i="2" s="1"/>
  <c r="K7" i="2" s="1"/>
  <c r="J8" i="2"/>
  <c r="J5" i="2" s="1"/>
  <c r="J7" i="2" s="1"/>
  <c r="I8" i="2"/>
  <c r="I5" i="2" s="1"/>
  <c r="I7" i="2" s="1"/>
  <c r="H8" i="2"/>
  <c r="H5" i="2" s="1"/>
  <c r="H7" i="2" s="1"/>
  <c r="G8" i="2"/>
  <c r="F8" i="2"/>
  <c r="F5" i="2" s="1"/>
  <c r="F7" i="2" s="1"/>
  <c r="E8" i="2"/>
  <c r="E5" i="2" s="1"/>
  <c r="E7" i="2" s="1"/>
  <c r="D8" i="2"/>
  <c r="D5" i="2" s="1"/>
  <c r="D7" i="2" s="1"/>
  <c r="C8" i="2"/>
  <c r="C5" i="2" s="1"/>
  <c r="C7" i="2" s="1"/>
  <c r="S6" i="2"/>
  <c r="S9" i="2" s="1"/>
  <c r="R6" i="2"/>
  <c r="R9" i="2" s="1"/>
  <c r="Q6" i="2"/>
  <c r="Q9" i="2" s="1"/>
  <c r="P6" i="2"/>
  <c r="P9" i="2" s="1"/>
  <c r="O6" i="2"/>
  <c r="O9" i="2" s="1"/>
  <c r="N6" i="2"/>
  <c r="N9" i="2" s="1"/>
  <c r="M6" i="2"/>
  <c r="M9" i="2" s="1"/>
  <c r="L6" i="2"/>
  <c r="L9" i="2" s="1"/>
  <c r="K6" i="2"/>
  <c r="K9" i="2" s="1"/>
  <c r="J6" i="2"/>
  <c r="J9" i="2" s="1"/>
  <c r="I6" i="2"/>
  <c r="I9" i="2" s="1"/>
  <c r="H6" i="2"/>
  <c r="H9" i="2" s="1"/>
  <c r="G6" i="2"/>
  <c r="G9" i="2" s="1"/>
  <c r="F6" i="2"/>
  <c r="F9" i="2" s="1"/>
  <c r="E6" i="2"/>
  <c r="E9" i="2" s="1"/>
  <c r="D6" i="2"/>
  <c r="D9" i="2" s="1"/>
  <c r="C6" i="2"/>
  <c r="C9" i="2" s="1"/>
  <c r="N5" i="2"/>
  <c r="N7" i="2" s="1"/>
  <c r="G5" i="2"/>
  <c r="G7" i="2" s="1"/>
  <c r="U8" i="5" l="1"/>
  <c r="U9" i="5" s="1"/>
  <c r="V8" i="5"/>
  <c r="V9" i="5" s="1"/>
  <c r="J8" i="5"/>
  <c r="J9" i="5" s="1"/>
  <c r="E5" i="5"/>
  <c r="E3" i="5"/>
  <c r="Q5" i="5"/>
  <c r="Q7" i="5"/>
  <c r="Q3" i="5"/>
  <c r="AC5" i="5"/>
  <c r="AC7" i="5"/>
  <c r="AC3" i="5"/>
  <c r="F5" i="5"/>
  <c r="F3" i="5"/>
  <c r="R5" i="5"/>
  <c r="R7" i="5"/>
  <c r="R3" i="5"/>
  <c r="W8" i="5"/>
  <c r="W9" i="5" s="1"/>
  <c r="G5" i="5"/>
  <c r="G3" i="5"/>
  <c r="S5" i="5"/>
  <c r="S7" i="5"/>
  <c r="S3" i="5"/>
  <c r="H8" i="5"/>
  <c r="H9" i="5" s="1"/>
  <c r="T8" i="5"/>
  <c r="T9" i="5" s="1"/>
  <c r="Y8" i="5"/>
  <c r="Y9" i="5" s="1"/>
  <c r="Z8" i="5"/>
  <c r="Z9" i="5" s="1"/>
  <c r="K8" i="5"/>
  <c r="K9" i="5" s="1"/>
  <c r="AA8" i="5"/>
  <c r="AA9" i="5" s="1"/>
  <c r="H3" i="5"/>
  <c r="T3" i="5"/>
  <c r="T7" i="5"/>
  <c r="U3" i="5"/>
  <c r="J3" i="5"/>
  <c r="V3" i="5"/>
  <c r="K3" i="5"/>
  <c r="W3" i="5"/>
  <c r="L3" i="5"/>
  <c r="L8" i="5" s="1"/>
  <c r="L9" i="5" s="1"/>
  <c r="X3" i="5"/>
  <c r="X8" i="5" s="1"/>
  <c r="X9" i="5" s="1"/>
  <c r="R10" i="4"/>
  <c r="H10" i="4"/>
  <c r="T10" i="4"/>
  <c r="I10" i="4"/>
  <c r="U10" i="4"/>
  <c r="J10" i="4"/>
  <c r="V10" i="4"/>
  <c r="M10" i="2"/>
  <c r="O10" i="2"/>
  <c r="S10" i="2"/>
  <c r="J10" i="2"/>
  <c r="L10" i="2"/>
  <c r="C10" i="2"/>
  <c r="K10" i="2"/>
  <c r="N10" i="2"/>
  <c r="D10" i="2"/>
  <c r="P10" i="2"/>
  <c r="E10" i="2"/>
  <c r="Q10" i="2"/>
  <c r="F10" i="2"/>
  <c r="R10" i="2"/>
  <c r="G10" i="2"/>
  <c r="H10" i="2"/>
  <c r="I10" i="2"/>
  <c r="E8" i="5" l="1"/>
  <c r="E9" i="5" s="1"/>
  <c r="R8" i="5"/>
  <c r="R9" i="5" s="1"/>
  <c r="F8" i="5"/>
  <c r="F9" i="5" s="1"/>
  <c r="AC8" i="5"/>
  <c r="AC9" i="5" s="1"/>
  <c r="S8" i="5"/>
  <c r="S9" i="5" s="1"/>
  <c r="G8" i="5"/>
  <c r="G9" i="5" s="1"/>
  <c r="Q8" i="5"/>
  <c r="Q9" i="5" s="1"/>
</calcChain>
</file>

<file path=xl/sharedStrings.xml><?xml version="1.0" encoding="utf-8"?>
<sst xmlns="http://schemas.openxmlformats.org/spreadsheetml/2006/main" count="41" uniqueCount="24">
  <si>
    <t>Year</t>
  </si>
  <si>
    <t>CO2 reduction rate</t>
  </si>
  <si>
    <t>annual reduction rate</t>
  </si>
  <si>
    <t>Actual Carbon emission/ton</t>
  </si>
  <si>
    <t>Token for certification</t>
  </si>
  <si>
    <t>Accumulated token</t>
  </si>
  <si>
    <t>Base tokens</t>
  </si>
  <si>
    <t>Target carbon reduction rate</t>
  </si>
  <si>
    <t>Baseline carbon emissions</t>
  </si>
  <si>
    <t>Rewarding token (all 1 except CO2 reduction rate)</t>
  </si>
  <si>
    <t>Objective</t>
  </si>
  <si>
    <t>Carbon Reduction Rate</t>
  </si>
  <si>
    <t>Timeliness</t>
  </si>
  <si>
    <t>Fulfillment Rates of Planned Activities</t>
  </si>
  <si>
    <t>Completeness of Annual Carbon Goal</t>
  </si>
  <si>
    <t>Transparency Level</t>
  </si>
  <si>
    <t>Subjective</t>
  </si>
  <si>
    <t>Sustainable Innovation and Practices</t>
  </si>
  <si>
    <t>Alignment with Global Standards and Goals</t>
  </si>
  <si>
    <t>Community Impact</t>
  </si>
  <si>
    <t>Consistency and Reliability of Reporting</t>
  </si>
  <si>
    <t>Long-term Sustainability and Impact</t>
  </si>
  <si>
    <t>Business as usual</t>
  </si>
  <si>
    <t>Following U.S. national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</si>
</sst>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A4286-DC5C-4682-90C2-403490C40036}">
  <dimension ref="A2:D11"/>
  <sheetViews>
    <sheetView workbookViewId="0">
      <selection activeCell="D1" sqref="D1"/>
    </sheetView>
  </sheetViews>
  <sheetFormatPr defaultRowHeight="14.5" x14ac:dyDescent="0.35"/>
  <cols>
    <col min="1" max="1" width="18.81640625" customWidth="1"/>
    <col min="2" max="2" width="36.1796875" customWidth="1"/>
    <col min="3" max="3" width="10.90625" customWidth="1"/>
    <col min="4" max="4" width="12.7265625" customWidth="1"/>
  </cols>
  <sheetData>
    <row r="2" spans="1:4" ht="20" customHeight="1" x14ac:dyDescent="0.35">
      <c r="A2" s="7" t="s">
        <v>10</v>
      </c>
      <c r="B2" s="2" t="s">
        <v>11</v>
      </c>
      <c r="C2" s="2">
        <v>0.39100000000000001</v>
      </c>
      <c r="D2" s="2">
        <v>0.5</v>
      </c>
    </row>
    <row r="3" spans="1:4" ht="21.5" customHeight="1" x14ac:dyDescent="0.35">
      <c r="A3" s="7"/>
      <c r="B3" s="2" t="s">
        <v>12</v>
      </c>
      <c r="C3" s="2">
        <v>0.16400000000000001</v>
      </c>
      <c r="D3" s="2">
        <v>1</v>
      </c>
    </row>
    <row r="4" spans="1:4" ht="24.5" customHeight="1" x14ac:dyDescent="0.35">
      <c r="A4" s="7"/>
      <c r="B4" s="2" t="s">
        <v>13</v>
      </c>
      <c r="C4" s="2">
        <v>0.214</v>
      </c>
      <c r="D4" s="2">
        <v>1</v>
      </c>
    </row>
    <row r="5" spans="1:4" ht="25" customHeight="1" x14ac:dyDescent="0.35">
      <c r="A5" s="7"/>
      <c r="B5" s="2" t="s">
        <v>14</v>
      </c>
      <c r="C5" s="2">
        <v>0.127</v>
      </c>
      <c r="D5" s="2">
        <v>1</v>
      </c>
    </row>
    <row r="6" spans="1:4" ht="20" customHeight="1" x14ac:dyDescent="0.35">
      <c r="A6" s="7"/>
      <c r="B6" s="2" t="s">
        <v>15</v>
      </c>
      <c r="C6" s="2">
        <v>0.104</v>
      </c>
      <c r="D6" s="2">
        <v>1</v>
      </c>
    </row>
    <row r="7" spans="1:4" ht="24.5" customHeight="1" x14ac:dyDescent="0.35">
      <c r="A7" s="7" t="s">
        <v>16</v>
      </c>
      <c r="B7" s="2" t="s">
        <v>17</v>
      </c>
      <c r="C7" s="2">
        <v>0.245</v>
      </c>
      <c r="D7" s="2">
        <v>1</v>
      </c>
    </row>
    <row r="8" spans="1:4" ht="31.5" customHeight="1" x14ac:dyDescent="0.35">
      <c r="A8" s="7"/>
      <c r="B8" s="2" t="s">
        <v>18</v>
      </c>
      <c r="C8" s="2">
        <v>0.13700000000000001</v>
      </c>
      <c r="D8" s="2">
        <v>1</v>
      </c>
    </row>
    <row r="9" spans="1:4" ht="24.5" customHeight="1" x14ac:dyDescent="0.35">
      <c r="A9" s="7"/>
      <c r="B9" s="2" t="s">
        <v>19</v>
      </c>
      <c r="C9" s="2">
        <v>0.13400000000000001</v>
      </c>
      <c r="D9" s="2">
        <v>1</v>
      </c>
    </row>
    <row r="10" spans="1:4" ht="29" customHeight="1" x14ac:dyDescent="0.35">
      <c r="A10" s="7"/>
      <c r="B10" s="2" t="s">
        <v>20</v>
      </c>
      <c r="C10" s="2">
        <v>0.159</v>
      </c>
      <c r="D10" s="2">
        <v>1</v>
      </c>
    </row>
    <row r="11" spans="1:4" ht="28" customHeight="1" x14ac:dyDescent="0.35">
      <c r="A11" s="7"/>
      <c r="B11" s="2" t="s">
        <v>21</v>
      </c>
      <c r="C11" s="2">
        <v>0.32500000000000001</v>
      </c>
      <c r="D11" s="2">
        <v>1</v>
      </c>
    </row>
  </sheetData>
  <mergeCells count="2">
    <mergeCell ref="A2:A6"/>
    <mergeCell ref="A7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8FB02-2AA5-4661-A52C-F37824CC7CF3}">
  <dimension ref="A1:AU21"/>
  <sheetViews>
    <sheetView tabSelected="1" zoomScaleNormal="100" workbookViewId="0">
      <selection activeCell="F16" sqref="F16"/>
    </sheetView>
  </sheetViews>
  <sheetFormatPr defaultRowHeight="14.5" x14ac:dyDescent="0.35"/>
  <cols>
    <col min="1" max="1" width="37.54296875" style="8" customWidth="1"/>
    <col min="2" max="2" width="30.7265625" style="10" customWidth="1"/>
    <col min="3" max="3" width="11.81640625" style="10" customWidth="1"/>
    <col min="4" max="4" width="10.81640625" style="10" bestFit="1" customWidth="1"/>
    <col min="5" max="9" width="8.7265625" style="10"/>
    <col min="10" max="10" width="10.81640625" style="10" bestFit="1" customWidth="1"/>
    <col min="11" max="14" width="8.7265625" style="10"/>
    <col min="15" max="15" width="19.90625" style="10" customWidth="1"/>
    <col min="16" max="16" width="19.36328125" style="10" customWidth="1"/>
    <col min="17" max="17" width="8.7265625" style="10"/>
    <col min="18" max="18" width="15.54296875" style="10" customWidth="1"/>
    <col min="19" max="19" width="24.54296875" style="10" customWidth="1"/>
    <col min="20" max="27" width="11.36328125" style="10" bestFit="1" customWidth="1"/>
    <col min="28" max="28" width="10.36328125" style="10" bestFit="1" customWidth="1"/>
    <col min="29" max="29" width="11.36328125" style="10" bestFit="1" customWidth="1"/>
    <col min="30" max="30" width="11.36328125" style="10" customWidth="1"/>
    <col min="31" max="31" width="12.81640625" style="10" customWidth="1"/>
    <col min="32" max="46" width="11.36328125" style="10" bestFit="1" customWidth="1"/>
    <col min="47" max="47" width="13.81640625" style="10" customWidth="1"/>
    <col min="48" max="16384" width="8.7265625" style="10"/>
  </cols>
  <sheetData>
    <row r="1" spans="1:47" x14ac:dyDescent="0.35">
      <c r="A1" s="8" t="s">
        <v>2</v>
      </c>
      <c r="B1" s="9">
        <v>1.23E-2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</row>
    <row r="2" spans="1:47" x14ac:dyDescent="0.35">
      <c r="A2" s="8" t="s">
        <v>0</v>
      </c>
      <c r="B2" s="10">
        <v>2005</v>
      </c>
      <c r="C2" s="10">
        <v>2006</v>
      </c>
      <c r="D2" s="10">
        <v>2007</v>
      </c>
      <c r="E2" s="10">
        <v>2008</v>
      </c>
      <c r="F2" s="10">
        <v>2009</v>
      </c>
      <c r="G2" s="10">
        <v>2010</v>
      </c>
      <c r="H2" s="10">
        <v>2011</v>
      </c>
      <c r="I2" s="10">
        <v>2012</v>
      </c>
      <c r="J2" s="10">
        <v>2013</v>
      </c>
      <c r="K2" s="10">
        <v>2014</v>
      </c>
      <c r="L2" s="10">
        <v>2015</v>
      </c>
      <c r="M2" s="10">
        <v>2016</v>
      </c>
      <c r="N2" s="10">
        <v>2017</v>
      </c>
      <c r="O2" s="10">
        <v>2018</v>
      </c>
      <c r="P2" s="10">
        <v>2019</v>
      </c>
      <c r="Q2" s="10">
        <v>2020</v>
      </c>
      <c r="R2" s="10">
        <v>2021</v>
      </c>
      <c r="S2" s="10">
        <v>2022</v>
      </c>
    </row>
    <row r="3" spans="1:47" x14ac:dyDescent="0.35">
      <c r="A3" s="8" t="s">
        <v>3</v>
      </c>
      <c r="B3" s="10">
        <v>16575205</v>
      </c>
      <c r="C3" s="10">
        <v>16344891</v>
      </c>
      <c r="D3" s="10">
        <v>16408966</v>
      </c>
      <c r="E3" s="10">
        <v>15700278</v>
      </c>
      <c r="F3" s="10">
        <v>15295214</v>
      </c>
      <c r="G3" s="10">
        <v>15908887</v>
      </c>
      <c r="H3" s="10">
        <v>15352458</v>
      </c>
      <c r="I3" s="10">
        <v>15129247</v>
      </c>
      <c r="J3" s="10">
        <v>15123228</v>
      </c>
      <c r="K3" s="10">
        <v>15035057</v>
      </c>
      <c r="L3" s="10">
        <v>15368708</v>
      </c>
      <c r="M3" s="10">
        <v>15680240</v>
      </c>
      <c r="N3" s="10">
        <v>15613847</v>
      </c>
      <c r="O3" s="10">
        <v>16134121</v>
      </c>
      <c r="P3" s="10">
        <v>16267423</v>
      </c>
      <c r="Q3" s="10">
        <v>12824127</v>
      </c>
      <c r="R3" s="10">
        <v>15267727</v>
      </c>
      <c r="S3" s="10">
        <v>16012123</v>
      </c>
    </row>
    <row r="4" spans="1:47" x14ac:dyDescent="0.35">
      <c r="A4" s="8" t="s">
        <v>1</v>
      </c>
      <c r="C4" s="10">
        <v>1.3894999999999999E-2</v>
      </c>
      <c r="D4" s="10">
        <v>1.0029E-2</v>
      </c>
      <c r="E4" s="10">
        <v>5.2784999999999999E-2</v>
      </c>
      <c r="F4" s="10">
        <v>7.7223E-2</v>
      </c>
      <c r="G4" s="10">
        <v>4.02E-2</v>
      </c>
      <c r="H4" s="10">
        <v>7.3770000000000002E-2</v>
      </c>
      <c r="I4" s="10">
        <v>8.7235999999999994E-2</v>
      </c>
      <c r="J4" s="10">
        <v>8.7598999999999996E-2</v>
      </c>
      <c r="K4" s="10">
        <v>9.2919000000000002E-2</v>
      </c>
      <c r="L4" s="10">
        <v>7.2789000000000006E-2</v>
      </c>
      <c r="M4" s="10">
        <v>5.3994E-2</v>
      </c>
      <c r="N4" s="10">
        <v>5.8000000000000003E-2</v>
      </c>
      <c r="O4" s="10">
        <v>2.6610999999999999E-2</v>
      </c>
      <c r="P4" s="10">
        <v>1.8568999999999999E-2</v>
      </c>
      <c r="Q4" s="10">
        <v>0.22630700000000001</v>
      </c>
      <c r="R4" s="10">
        <v>7.8881999999999994E-2</v>
      </c>
      <c r="S4" s="10">
        <v>3.3971000000000001E-2</v>
      </c>
    </row>
    <row r="5" spans="1:47" x14ac:dyDescent="0.35">
      <c r="A5" s="8" t="s">
        <v>8</v>
      </c>
      <c r="B5" s="10">
        <v>16575205</v>
      </c>
      <c r="C5" s="10">
        <f>C8*16575205</f>
        <v>16371329.978500001</v>
      </c>
      <c r="D5" s="10">
        <f>D8*16575205</f>
        <v>16169962.619764451</v>
      </c>
      <c r="E5" s="10">
        <f t="shared" ref="E5:S5" si="0">E8*16575205</f>
        <v>15971072.07954135</v>
      </c>
      <c r="F5" s="10">
        <f t="shared" si="0"/>
        <v>15774627.89296299</v>
      </c>
      <c r="G5" s="10">
        <f t="shared" si="0"/>
        <v>15580599.969879547</v>
      </c>
      <c r="H5" s="10">
        <f t="shared" si="0"/>
        <v>15388958.59025003</v>
      </c>
      <c r="I5" s="10">
        <f t="shared" si="0"/>
        <v>15199674.399589954</v>
      </c>
      <c r="J5" s="10">
        <f t="shared" si="0"/>
        <v>15012718.404474998</v>
      </c>
      <c r="K5" s="10">
        <f t="shared" si="0"/>
        <v>14828061.968099957</v>
      </c>
      <c r="L5" s="10">
        <f t="shared" si="0"/>
        <v>14645676.805892328</v>
      </c>
      <c r="M5" s="10">
        <f t="shared" si="0"/>
        <v>14465534.981179852</v>
      </c>
      <c r="N5" s="10">
        <f t="shared" si="0"/>
        <v>14287608.90091134</v>
      </c>
      <c r="O5" s="10">
        <f t="shared" si="0"/>
        <v>14111871.311430134</v>
      </c>
      <c r="P5" s="10">
        <f t="shared" si="0"/>
        <v>13938295.294299543</v>
      </c>
      <c r="Q5" s="10">
        <f t="shared" si="0"/>
        <v>13766854.26217966</v>
      </c>
      <c r="R5" s="10">
        <f t="shared" si="0"/>
        <v>13073676.368545001</v>
      </c>
      <c r="S5" s="10">
        <f t="shared" si="0"/>
        <v>12423914.653028313</v>
      </c>
    </row>
    <row r="6" spans="1:47" x14ac:dyDescent="0.35">
      <c r="A6" s="8" t="s">
        <v>6</v>
      </c>
      <c r="C6" s="10">
        <f t="shared" ref="C6:S6" si="1">16575205-C3</f>
        <v>230314</v>
      </c>
      <c r="D6" s="10">
        <f t="shared" si="1"/>
        <v>166239</v>
      </c>
      <c r="E6" s="10">
        <f t="shared" si="1"/>
        <v>874927</v>
      </c>
      <c r="F6" s="10">
        <f t="shared" si="1"/>
        <v>1279991</v>
      </c>
      <c r="G6" s="10">
        <f t="shared" si="1"/>
        <v>666318</v>
      </c>
      <c r="H6" s="10">
        <f t="shared" si="1"/>
        <v>1222747</v>
      </c>
      <c r="I6" s="10">
        <f t="shared" si="1"/>
        <v>1445958</v>
      </c>
      <c r="J6" s="10">
        <f t="shared" si="1"/>
        <v>1451977</v>
      </c>
      <c r="K6" s="10">
        <f t="shared" si="1"/>
        <v>1540148</v>
      </c>
      <c r="L6" s="10">
        <f t="shared" si="1"/>
        <v>1206497</v>
      </c>
      <c r="M6" s="10">
        <f t="shared" si="1"/>
        <v>894965</v>
      </c>
      <c r="N6" s="10">
        <f t="shared" si="1"/>
        <v>961358</v>
      </c>
      <c r="O6" s="10">
        <f t="shared" si="1"/>
        <v>441084</v>
      </c>
      <c r="P6" s="10">
        <f t="shared" si="1"/>
        <v>307782</v>
      </c>
      <c r="Q6" s="10">
        <f t="shared" si="1"/>
        <v>3751078</v>
      </c>
      <c r="R6" s="10">
        <f t="shared" si="1"/>
        <v>1307478</v>
      </c>
      <c r="S6" s="10">
        <f t="shared" si="1"/>
        <v>563082</v>
      </c>
    </row>
    <row r="7" spans="1:47" x14ac:dyDescent="0.35">
      <c r="A7" s="8" t="s">
        <v>4</v>
      </c>
      <c r="C7" s="10">
        <f t="shared" ref="C7:S7" si="2">16575205-C5</f>
        <v>203875.02149999887</v>
      </c>
      <c r="D7" s="10">
        <f t="shared" si="2"/>
        <v>405242.38023554906</v>
      </c>
      <c r="E7" s="10">
        <f t="shared" si="2"/>
        <v>604132.92045865022</v>
      </c>
      <c r="F7" s="10">
        <f t="shared" si="2"/>
        <v>800577.10703700967</v>
      </c>
      <c r="G7" s="10">
        <f t="shared" si="2"/>
        <v>994605.03012045287</v>
      </c>
      <c r="H7" s="10">
        <f t="shared" si="2"/>
        <v>1186246.4097499698</v>
      </c>
      <c r="I7" s="10">
        <f t="shared" si="2"/>
        <v>1375530.6004100461</v>
      </c>
      <c r="J7" s="10">
        <f t="shared" si="2"/>
        <v>1562486.5955250021</v>
      </c>
      <c r="K7" s="10">
        <f t="shared" si="2"/>
        <v>1747143.0319000427</v>
      </c>
      <c r="L7" s="10">
        <f t="shared" si="2"/>
        <v>1929528.1941076722</v>
      </c>
      <c r="M7" s="10">
        <f t="shared" si="2"/>
        <v>2109670.018820148</v>
      </c>
      <c r="N7" s="10">
        <f t="shared" si="2"/>
        <v>2287596.0990886595</v>
      </c>
      <c r="O7" s="10">
        <f t="shared" si="2"/>
        <v>2463333.6885698661</v>
      </c>
      <c r="P7" s="10">
        <f t="shared" si="2"/>
        <v>2636909.7057004571</v>
      </c>
      <c r="Q7" s="10">
        <f t="shared" si="2"/>
        <v>2808350.7378203403</v>
      </c>
      <c r="R7" s="10">
        <f t="shared" si="2"/>
        <v>3501528.6314549986</v>
      </c>
      <c r="S7" s="10">
        <f t="shared" si="2"/>
        <v>4151290.3469716869</v>
      </c>
    </row>
    <row r="8" spans="1:47" x14ac:dyDescent="0.35">
      <c r="A8" s="8" t="s">
        <v>7</v>
      </c>
      <c r="C8" s="10">
        <f>(1-0.0123)^1</f>
        <v>0.98770000000000002</v>
      </c>
      <c r="D8" s="10">
        <f>(1-0.0123)^2</f>
        <v>0.97555129000000007</v>
      </c>
      <c r="E8" s="10">
        <f>(1-0.0123)^3</f>
        <v>0.9635520091330001</v>
      </c>
      <c r="F8" s="10">
        <f>(1-0.0123)^4</f>
        <v>0.95170031942066424</v>
      </c>
      <c r="G8" s="10">
        <f>(1-0.0123)^5</f>
        <v>0.93999440549179014</v>
      </c>
      <c r="H8" s="10">
        <f>(1-0.0123)^6</f>
        <v>0.92843247430424114</v>
      </c>
      <c r="I8" s="10">
        <f>(1-0.0123)^7</f>
        <v>0.91701275487029899</v>
      </c>
      <c r="J8" s="10">
        <f>(1-0.0123)^8</f>
        <v>0.90573349798539438</v>
      </c>
      <c r="K8" s="10">
        <f>(1-0.0123)^9</f>
        <v>0.89459297596017406</v>
      </c>
      <c r="L8" s="10">
        <f>(1-0.0123)^10</f>
        <v>0.88358948235586399</v>
      </c>
      <c r="M8" s="10">
        <f>(1-0.0123)^11</f>
        <v>0.8727213317228868</v>
      </c>
      <c r="N8" s="10">
        <f>(1-0.0123)^12</f>
        <v>0.86198685934269537</v>
      </c>
      <c r="O8" s="10">
        <f>(1-0.0123)^13</f>
        <v>0.85138442097278033</v>
      </c>
      <c r="P8" s="10">
        <f>(1-0.0123)^14</f>
        <v>0.84091239259481509</v>
      </c>
      <c r="Q8" s="10">
        <f>(1-0.0123)^15</f>
        <v>0.83056917016589893</v>
      </c>
      <c r="R8" s="10">
        <f>0.83*(1-0.0497)</f>
        <v>0.78874900000000003</v>
      </c>
      <c r="S8" s="10">
        <f>0.83*(1-0.0497)^2</f>
        <v>0.74954817470000001</v>
      </c>
    </row>
    <row r="9" spans="1:47" ht="29" x14ac:dyDescent="0.35">
      <c r="A9" s="8" t="s">
        <v>9</v>
      </c>
      <c r="C9" s="10">
        <f t="shared" ref="C9:S9" si="3">C6*0.5*(0.391*C4+0.164*1+0.214*1+0.127*1+0.104*1+0.245*1+0.137*1+0.134*1+0.159*1+0.325*1)</f>
        <v>185913.25464736499</v>
      </c>
      <c r="D9" s="10">
        <f t="shared" si="3"/>
        <v>134065.2152370105</v>
      </c>
      <c r="E9" s="10">
        <f t="shared" si="3"/>
        <v>712907.55224137253</v>
      </c>
      <c r="F9" s="10">
        <f t="shared" si="3"/>
        <v>1049076.9071461314</v>
      </c>
      <c r="G9" s="10">
        <f t="shared" si="3"/>
        <v>541289.49079379998</v>
      </c>
      <c r="H9" s="10">
        <f t="shared" si="3"/>
        <v>1001334.4615301449</v>
      </c>
      <c r="I9" s="10">
        <f t="shared" si="3"/>
        <v>1187933.5012532042</v>
      </c>
      <c r="J9" s="10">
        <f t="shared" si="3"/>
        <v>1192981.4803450964</v>
      </c>
      <c r="K9" s="10">
        <f t="shared" si="3"/>
        <v>1267026.8778483458</v>
      </c>
      <c r="L9" s="10">
        <f t="shared" si="3"/>
        <v>987795.58983100147</v>
      </c>
      <c r="M9" s="10">
        <f t="shared" si="3"/>
        <v>729446.43821105489</v>
      </c>
      <c r="N9" s="10">
        <f t="shared" si="3"/>
        <v>784313.34936200001</v>
      </c>
      <c r="O9" s="10">
        <f t="shared" si="3"/>
        <v>357146.79567634198</v>
      </c>
      <c r="P9" s="10">
        <f t="shared" si="3"/>
        <v>248727.94137378901</v>
      </c>
      <c r="Q9" s="10">
        <f t="shared" si="3"/>
        <v>3183701.2643489428</v>
      </c>
      <c r="R9" s="10">
        <f t="shared" si="3"/>
        <v>1072029.232761018</v>
      </c>
      <c r="S9" s="10">
        <f t="shared" si="3"/>
        <v>456739.08266060095</v>
      </c>
    </row>
    <row r="10" spans="1:47" x14ac:dyDescent="0.35">
      <c r="A10" s="8" t="s">
        <v>5</v>
      </c>
      <c r="C10" s="10">
        <f t="shared" ref="C10:S10" si="4">C9-C7</f>
        <v>-17961.766852633882</v>
      </c>
      <c r="D10" s="10">
        <f t="shared" si="4"/>
        <v>-271177.16499853856</v>
      </c>
      <c r="E10" s="10">
        <f t="shared" si="4"/>
        <v>108774.63178272231</v>
      </c>
      <c r="F10" s="10">
        <f t="shared" si="4"/>
        <v>248499.80010912172</v>
      </c>
      <c r="G10" s="10">
        <f t="shared" si="4"/>
        <v>-453315.53932665288</v>
      </c>
      <c r="H10" s="10">
        <f t="shared" si="4"/>
        <v>-184911.94821982493</v>
      </c>
      <c r="I10" s="10">
        <f t="shared" si="4"/>
        <v>-187597.09915684187</v>
      </c>
      <c r="J10" s="10">
        <f t="shared" si="4"/>
        <v>-369505.11517990567</v>
      </c>
      <c r="K10" s="10">
        <f t="shared" si="4"/>
        <v>-480116.15405169688</v>
      </c>
      <c r="L10" s="10">
        <f t="shared" si="4"/>
        <v>-941732.60427667073</v>
      </c>
      <c r="M10" s="10">
        <f t="shared" si="4"/>
        <v>-1380223.580609093</v>
      </c>
      <c r="N10" s="10">
        <f t="shared" si="4"/>
        <v>-1503282.7497266596</v>
      </c>
      <c r="O10" s="10">
        <f t="shared" si="4"/>
        <v>-2106186.8928935239</v>
      </c>
      <c r="P10" s="10">
        <f t="shared" si="4"/>
        <v>-2388181.7643266679</v>
      </c>
      <c r="Q10" s="10">
        <f t="shared" si="4"/>
        <v>375350.52652860247</v>
      </c>
      <c r="R10" s="10">
        <f t="shared" si="4"/>
        <v>-2429499.3986939806</v>
      </c>
      <c r="S10" s="10">
        <f t="shared" si="4"/>
        <v>-3694551.2643110859</v>
      </c>
    </row>
    <row r="13" spans="1:47" ht="29.25" customHeight="1" x14ac:dyDescent="0.35"/>
    <row r="14" spans="1:47" ht="41" customHeight="1" x14ac:dyDescent="0.35">
      <c r="S14" s="8"/>
    </row>
    <row r="15" spans="1:47" ht="30" customHeight="1" x14ac:dyDescent="0.35">
      <c r="S15" s="8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</row>
    <row r="16" spans="1:47" ht="26.5" customHeight="1" x14ac:dyDescent="0.35">
      <c r="S16" s="8"/>
    </row>
    <row r="17" spans="19:19" x14ac:dyDescent="0.35">
      <c r="S17" s="8"/>
    </row>
    <row r="18" spans="19:19" ht="24" customHeight="1" x14ac:dyDescent="0.35">
      <c r="S18" s="8"/>
    </row>
    <row r="19" spans="19:19" ht="28.5" customHeight="1" x14ac:dyDescent="0.35">
      <c r="S19" s="8"/>
    </row>
    <row r="20" spans="19:19" ht="35.5" customHeight="1" x14ac:dyDescent="0.35">
      <c r="S20" s="8"/>
    </row>
    <row r="21" spans="19:19" ht="21" customHeight="1" x14ac:dyDescent="0.35">
      <c r="S21" s="8"/>
    </row>
  </sheetData>
  <mergeCells count="3">
    <mergeCell ref="AB1:AU1"/>
    <mergeCell ref="B1:S1"/>
    <mergeCell ref="T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E0DA-FBB4-4448-862F-4BB2D0975772}">
  <dimension ref="A1:AC10"/>
  <sheetViews>
    <sheetView workbookViewId="0">
      <selection sqref="A1:C1"/>
    </sheetView>
  </sheetViews>
  <sheetFormatPr defaultRowHeight="14.5" x14ac:dyDescent="0.35"/>
  <cols>
    <col min="1" max="1" width="20.08984375" customWidth="1"/>
  </cols>
  <sheetData>
    <row r="1" spans="1:29" x14ac:dyDescent="0.35">
      <c r="A1" s="6" t="s">
        <v>22</v>
      </c>
    </row>
    <row r="2" spans="1:29" x14ac:dyDescent="0.35">
      <c r="A2" s="1" t="s">
        <v>0</v>
      </c>
      <c r="B2" s="2">
        <v>2023</v>
      </c>
      <c r="C2" s="2">
        <v>2024</v>
      </c>
      <c r="D2" s="2">
        <v>2025</v>
      </c>
      <c r="E2" s="2">
        <v>2026</v>
      </c>
      <c r="F2" s="2">
        <v>2027</v>
      </c>
      <c r="G2" s="2">
        <v>2028</v>
      </c>
      <c r="H2" s="2">
        <v>2029</v>
      </c>
      <c r="I2" s="2">
        <v>2030</v>
      </c>
      <c r="J2" s="2">
        <v>2031</v>
      </c>
      <c r="K2" s="2">
        <v>2032</v>
      </c>
      <c r="L2" s="2">
        <v>2033</v>
      </c>
      <c r="M2" s="2">
        <v>2034</v>
      </c>
      <c r="N2" s="2">
        <v>2035</v>
      </c>
      <c r="O2" s="2">
        <v>2036</v>
      </c>
      <c r="P2" s="2">
        <v>2037</v>
      </c>
      <c r="Q2" s="2">
        <v>2038</v>
      </c>
      <c r="R2" s="2">
        <v>2039</v>
      </c>
      <c r="S2" s="2">
        <v>2040</v>
      </c>
      <c r="T2" s="2">
        <v>2041</v>
      </c>
      <c r="U2" s="2">
        <v>2042</v>
      </c>
      <c r="V2" s="2">
        <v>2043</v>
      </c>
      <c r="W2" s="2">
        <v>2044</v>
      </c>
      <c r="X2" s="2">
        <v>2045</v>
      </c>
      <c r="Y2" s="2">
        <v>2046</v>
      </c>
      <c r="Z2" s="2">
        <v>2047</v>
      </c>
      <c r="AA2" s="2">
        <v>2048</v>
      </c>
      <c r="AB2" s="2">
        <v>2049</v>
      </c>
      <c r="AC2" s="2">
        <v>2050</v>
      </c>
    </row>
    <row r="3" spans="1:29" ht="34" customHeight="1" x14ac:dyDescent="0.35">
      <c r="A3" s="1" t="s">
        <v>3</v>
      </c>
      <c r="B3" s="2">
        <v>15557874.833333334</v>
      </c>
      <c r="C3" s="2">
        <v>15557874.833333334</v>
      </c>
      <c r="D3" s="2">
        <v>15557874.833333334</v>
      </c>
      <c r="E3" s="2">
        <v>15557874.833333334</v>
      </c>
      <c r="F3" s="2">
        <v>15557874.833333334</v>
      </c>
      <c r="G3" s="2">
        <v>15557874.833333334</v>
      </c>
      <c r="H3" s="2">
        <v>15557874.833333334</v>
      </c>
      <c r="I3" s="2">
        <v>15557874.833333334</v>
      </c>
      <c r="J3" s="2">
        <v>15557874.833333334</v>
      </c>
      <c r="K3" s="2">
        <v>15557874.833333334</v>
      </c>
      <c r="L3" s="2">
        <v>15557874.833333334</v>
      </c>
      <c r="M3" s="2">
        <v>15557874.833333334</v>
      </c>
      <c r="N3" s="2">
        <v>15557874.833333334</v>
      </c>
      <c r="O3" s="2">
        <v>15557874.833333334</v>
      </c>
      <c r="P3" s="2">
        <v>15557874.833333334</v>
      </c>
      <c r="Q3" s="2">
        <v>15557874.833333334</v>
      </c>
      <c r="R3" s="2">
        <v>15557874.833333334</v>
      </c>
      <c r="S3" s="2">
        <v>15557874.833333334</v>
      </c>
      <c r="T3" s="2">
        <v>15557874.833333334</v>
      </c>
      <c r="U3" s="2">
        <v>15557874.833333334</v>
      </c>
      <c r="V3" s="2">
        <v>15557874.833333334</v>
      </c>
      <c r="W3" s="2">
        <v>15557874.833333334</v>
      </c>
      <c r="X3" s="2">
        <v>15557874.833333334</v>
      </c>
      <c r="Y3" s="2">
        <v>15557874.833333334</v>
      </c>
      <c r="Z3" s="2">
        <v>15557874.833333334</v>
      </c>
      <c r="AA3" s="2">
        <v>15557874.833333334</v>
      </c>
      <c r="AB3" s="2">
        <v>15557874.833333334</v>
      </c>
      <c r="AC3" s="2">
        <v>15557874.833333334</v>
      </c>
    </row>
    <row r="4" spans="1:29" ht="27" customHeight="1" x14ac:dyDescent="0.35">
      <c r="A4" s="1" t="s">
        <v>1</v>
      </c>
      <c r="B4" s="2">
        <v>6.5000000000000002E-2</v>
      </c>
      <c r="C4" s="2">
        <v>6.5000000000000002E-2</v>
      </c>
      <c r="D4" s="2">
        <v>6.5000000000000002E-2</v>
      </c>
      <c r="E4" s="2">
        <v>6.5000000000000002E-2</v>
      </c>
      <c r="F4" s="2">
        <v>6.5000000000000002E-2</v>
      </c>
      <c r="G4" s="2">
        <v>6.5000000000000002E-2</v>
      </c>
      <c r="H4" s="2">
        <v>6.5000000000000002E-2</v>
      </c>
      <c r="I4" s="2">
        <v>6.5000000000000002E-2</v>
      </c>
      <c r="J4" s="2">
        <v>6.5000000000000002E-2</v>
      </c>
      <c r="K4" s="2">
        <v>6.5000000000000002E-2</v>
      </c>
      <c r="L4" s="2">
        <v>6.5000000000000002E-2</v>
      </c>
      <c r="M4" s="2">
        <v>6.5000000000000002E-2</v>
      </c>
      <c r="N4" s="2">
        <v>6.5000000000000002E-2</v>
      </c>
      <c r="O4" s="2">
        <v>6.5000000000000002E-2</v>
      </c>
      <c r="P4" s="2">
        <v>6.5000000000000002E-2</v>
      </c>
      <c r="Q4" s="2">
        <v>6.5000000000000002E-2</v>
      </c>
      <c r="R4" s="2">
        <v>6.5000000000000002E-2</v>
      </c>
      <c r="S4" s="2">
        <v>6.5000000000000002E-2</v>
      </c>
      <c r="T4" s="2">
        <v>6.5000000000000002E-2</v>
      </c>
      <c r="U4" s="2">
        <v>6.5000000000000002E-2</v>
      </c>
      <c r="V4" s="2">
        <v>6.5000000000000002E-2</v>
      </c>
      <c r="W4" s="2">
        <v>6.5000000000000002E-2</v>
      </c>
      <c r="X4" s="2">
        <v>6.5000000000000002E-2</v>
      </c>
      <c r="Y4" s="2">
        <v>6.5000000000000002E-2</v>
      </c>
      <c r="Z4" s="2">
        <v>6.5000000000000002E-2</v>
      </c>
      <c r="AA4" s="2">
        <v>6.5000000000000002E-2</v>
      </c>
      <c r="AB4" s="2">
        <v>6.5000000000000002E-2</v>
      </c>
      <c r="AC4" s="2">
        <v>6.5000000000000002E-2</v>
      </c>
    </row>
    <row r="5" spans="1:29" ht="31.5" customHeight="1" x14ac:dyDescent="0.35">
      <c r="A5" s="1" t="s">
        <v>8</v>
      </c>
      <c r="B5" s="2">
        <f t="shared" ref="B5:AC5" si="0">B8*16575205</f>
        <v>11806446.094772806</v>
      </c>
      <c r="C5" s="2">
        <f t="shared" si="0"/>
        <v>11219665.723862598</v>
      </c>
      <c r="D5" s="2">
        <f t="shared" si="0"/>
        <v>10662048.337386629</v>
      </c>
      <c r="E5" s="2">
        <f t="shared" si="0"/>
        <v>10132144.535018511</v>
      </c>
      <c r="F5" s="2">
        <f t="shared" si="0"/>
        <v>9628576.9516280927</v>
      </c>
      <c r="G5" s="2">
        <f t="shared" si="0"/>
        <v>9150036.6771321781</v>
      </c>
      <c r="H5" s="2">
        <f t="shared" si="0"/>
        <v>8695279.8542787097</v>
      </c>
      <c r="I5" s="2">
        <f t="shared" si="0"/>
        <v>8263124.4455210576</v>
      </c>
      <c r="J5" s="2">
        <f t="shared" si="0"/>
        <v>7194467.73025</v>
      </c>
      <c r="K5" s="2">
        <f t="shared" si="0"/>
        <v>6245517.4366300246</v>
      </c>
      <c r="L5" s="2">
        <f t="shared" si="0"/>
        <v>5421733.6867385237</v>
      </c>
      <c r="M5" s="2">
        <f t="shared" si="0"/>
        <v>4706607.0134577127</v>
      </c>
      <c r="N5" s="2">
        <f t="shared" si="0"/>
        <v>4085805.5483826399</v>
      </c>
      <c r="O5" s="2">
        <f t="shared" si="0"/>
        <v>3546887.7965509696</v>
      </c>
      <c r="P5" s="2">
        <f t="shared" si="0"/>
        <v>3079053.2961858967</v>
      </c>
      <c r="Q5" s="2">
        <f t="shared" si="0"/>
        <v>2672926.1664189766</v>
      </c>
      <c r="R5" s="2">
        <f t="shared" si="0"/>
        <v>2320367.2050683135</v>
      </c>
      <c r="S5" s="2">
        <f t="shared" si="0"/>
        <v>2014310.7707198029</v>
      </c>
      <c r="T5" s="2">
        <f t="shared" si="0"/>
        <v>1748623.1800618607</v>
      </c>
      <c r="U5" s="2">
        <f t="shared" si="0"/>
        <v>1517979.7826117014</v>
      </c>
      <c r="V5" s="2">
        <f t="shared" si="0"/>
        <v>1317758.2492852178</v>
      </c>
      <c r="W5" s="2">
        <f t="shared" si="0"/>
        <v>1143945.9362044975</v>
      </c>
      <c r="X5" s="2">
        <f t="shared" si="0"/>
        <v>993059.46721912432</v>
      </c>
      <c r="Y5" s="2">
        <f t="shared" si="0"/>
        <v>862074.92349292187</v>
      </c>
      <c r="Z5" s="2">
        <f t="shared" si="0"/>
        <v>748367.24108420545</v>
      </c>
      <c r="AA5" s="2">
        <f t="shared" si="0"/>
        <v>649657.60198519868</v>
      </c>
      <c r="AB5" s="2">
        <f t="shared" si="0"/>
        <v>563967.7642833509</v>
      </c>
      <c r="AC5" s="2">
        <f t="shared" si="0"/>
        <v>489580.41617437697</v>
      </c>
    </row>
    <row r="6" spans="1:29" ht="25" customHeight="1" x14ac:dyDescent="0.35">
      <c r="A6" s="1" t="s">
        <v>6</v>
      </c>
      <c r="B6" s="2">
        <f t="shared" ref="B6:AC6" si="1">16575205-B3</f>
        <v>1017330.166666666</v>
      </c>
      <c r="C6" s="2">
        <f t="shared" si="1"/>
        <v>1017330.166666666</v>
      </c>
      <c r="D6" s="2">
        <f t="shared" si="1"/>
        <v>1017330.166666666</v>
      </c>
      <c r="E6" s="2">
        <f t="shared" si="1"/>
        <v>1017330.166666666</v>
      </c>
      <c r="F6" s="2">
        <f t="shared" si="1"/>
        <v>1017330.166666666</v>
      </c>
      <c r="G6" s="2">
        <f t="shared" si="1"/>
        <v>1017330.166666666</v>
      </c>
      <c r="H6" s="2">
        <f t="shared" si="1"/>
        <v>1017330.166666666</v>
      </c>
      <c r="I6" s="2">
        <f t="shared" si="1"/>
        <v>1017330.166666666</v>
      </c>
      <c r="J6" s="2">
        <f t="shared" si="1"/>
        <v>1017330.166666666</v>
      </c>
      <c r="K6" s="2">
        <f t="shared" si="1"/>
        <v>1017330.166666666</v>
      </c>
      <c r="L6" s="2">
        <f t="shared" si="1"/>
        <v>1017330.166666666</v>
      </c>
      <c r="M6" s="2">
        <f t="shared" si="1"/>
        <v>1017330.166666666</v>
      </c>
      <c r="N6" s="2">
        <f t="shared" si="1"/>
        <v>1017330.166666666</v>
      </c>
      <c r="O6" s="2">
        <f t="shared" si="1"/>
        <v>1017330.166666666</v>
      </c>
      <c r="P6" s="2">
        <f t="shared" si="1"/>
        <v>1017330.166666666</v>
      </c>
      <c r="Q6" s="2">
        <f t="shared" si="1"/>
        <v>1017330.166666666</v>
      </c>
      <c r="R6" s="2">
        <f t="shared" si="1"/>
        <v>1017330.166666666</v>
      </c>
      <c r="S6" s="2">
        <f t="shared" si="1"/>
        <v>1017330.166666666</v>
      </c>
      <c r="T6" s="2">
        <f t="shared" si="1"/>
        <v>1017330.166666666</v>
      </c>
      <c r="U6" s="2">
        <f t="shared" si="1"/>
        <v>1017330.166666666</v>
      </c>
      <c r="V6" s="2">
        <f t="shared" si="1"/>
        <v>1017330.166666666</v>
      </c>
      <c r="W6" s="2">
        <f t="shared" si="1"/>
        <v>1017330.166666666</v>
      </c>
      <c r="X6" s="2">
        <f t="shared" si="1"/>
        <v>1017330.166666666</v>
      </c>
      <c r="Y6" s="2">
        <f t="shared" si="1"/>
        <v>1017330.166666666</v>
      </c>
      <c r="Z6" s="2">
        <f t="shared" si="1"/>
        <v>1017330.166666666</v>
      </c>
      <c r="AA6" s="2">
        <f t="shared" si="1"/>
        <v>1017330.166666666</v>
      </c>
      <c r="AB6" s="2">
        <f t="shared" si="1"/>
        <v>1017330.166666666</v>
      </c>
      <c r="AC6" s="2">
        <f t="shared" si="1"/>
        <v>1017330.166666666</v>
      </c>
    </row>
    <row r="7" spans="1:29" ht="29.5" customHeight="1" x14ac:dyDescent="0.35">
      <c r="A7" s="1" t="s">
        <v>4</v>
      </c>
      <c r="B7" s="2">
        <f t="shared" ref="B7:AC7" si="2">16575205-B5</f>
        <v>4768758.9052271936</v>
      </c>
      <c r="C7" s="2">
        <f t="shared" si="2"/>
        <v>5355539.2761374023</v>
      </c>
      <c r="D7" s="2">
        <f t="shared" si="2"/>
        <v>5913156.6626133714</v>
      </c>
      <c r="E7" s="2">
        <f t="shared" si="2"/>
        <v>6443060.4649814889</v>
      </c>
      <c r="F7" s="2">
        <f t="shared" si="2"/>
        <v>6946628.0483719073</v>
      </c>
      <c r="G7" s="2">
        <f t="shared" si="2"/>
        <v>7425168.3228678219</v>
      </c>
      <c r="H7" s="2">
        <f t="shared" si="2"/>
        <v>7879925.1457212903</v>
      </c>
      <c r="I7" s="2">
        <f t="shared" si="2"/>
        <v>8312080.5544789424</v>
      </c>
      <c r="J7" s="2">
        <f t="shared" si="2"/>
        <v>9380737.269749999</v>
      </c>
      <c r="K7" s="2">
        <f t="shared" si="2"/>
        <v>10329687.563369974</v>
      </c>
      <c r="L7" s="2">
        <f t="shared" si="2"/>
        <v>11153471.313261475</v>
      </c>
      <c r="M7" s="2">
        <f t="shared" si="2"/>
        <v>11868597.986542288</v>
      </c>
      <c r="N7" s="2">
        <f t="shared" si="2"/>
        <v>12489399.45161736</v>
      </c>
      <c r="O7" s="2">
        <f t="shared" si="2"/>
        <v>13028317.203449029</v>
      </c>
      <c r="P7" s="2">
        <f t="shared" si="2"/>
        <v>13496151.703814104</v>
      </c>
      <c r="Q7" s="2">
        <f t="shared" si="2"/>
        <v>13902278.833581023</v>
      </c>
      <c r="R7" s="2">
        <f t="shared" si="2"/>
        <v>14254837.794931687</v>
      </c>
      <c r="S7" s="2">
        <f t="shared" si="2"/>
        <v>14560894.229280196</v>
      </c>
      <c r="T7" s="2">
        <f t="shared" si="2"/>
        <v>14826581.81993814</v>
      </c>
      <c r="U7" s="2">
        <f t="shared" si="2"/>
        <v>15057225.217388298</v>
      </c>
      <c r="V7" s="2">
        <f t="shared" si="2"/>
        <v>15257446.750714783</v>
      </c>
      <c r="W7" s="2">
        <f t="shared" si="2"/>
        <v>15431259.063795503</v>
      </c>
      <c r="X7" s="2">
        <f t="shared" si="2"/>
        <v>15582145.532780876</v>
      </c>
      <c r="Y7" s="2">
        <f t="shared" si="2"/>
        <v>15713130.076507078</v>
      </c>
      <c r="Z7" s="2">
        <f t="shared" si="2"/>
        <v>15826837.758915795</v>
      </c>
      <c r="AA7" s="2">
        <f t="shared" si="2"/>
        <v>15925547.398014801</v>
      </c>
      <c r="AB7" s="2">
        <f t="shared" si="2"/>
        <v>16011237.235716648</v>
      </c>
      <c r="AC7" s="2">
        <f t="shared" si="2"/>
        <v>16085624.583825624</v>
      </c>
    </row>
    <row r="8" spans="1:29" ht="34.5" customHeight="1" x14ac:dyDescent="0.35">
      <c r="A8" s="1" t="s">
        <v>7</v>
      </c>
      <c r="B8" s="2">
        <f>0.83*(1-0.0497)^3</f>
        <v>0.71229563041740995</v>
      </c>
      <c r="C8" s="2">
        <f>0.83*(1-0.0497)^4</f>
        <v>0.67689453758566476</v>
      </c>
      <c r="D8" s="2">
        <f>0.83*(1-0.0497)^5</f>
        <v>0.64325287906765727</v>
      </c>
      <c r="E8" s="2">
        <f>0.83*(1-0.0497)^6</f>
        <v>0.61128321097799465</v>
      </c>
      <c r="F8" s="2">
        <f>0.83*(1-0.0497)^7</f>
        <v>0.58090243539238839</v>
      </c>
      <c r="G8" s="2">
        <f>0.83*(1-0.0497)^8</f>
        <v>0.55203158435338673</v>
      </c>
      <c r="H8" s="2">
        <f>0.83*(1-0.0497)^9</f>
        <v>0.52459561461102344</v>
      </c>
      <c r="I8" s="2">
        <f>0.83*(1-0.0497)^10</f>
        <v>0.4985232125648556</v>
      </c>
      <c r="J8" s="2">
        <f>0.5*(1-0.1319)^1</f>
        <v>0.43404999999999999</v>
      </c>
      <c r="K8" s="2">
        <f>0.5*(1-0.1319)^2</f>
        <v>0.37679880499999996</v>
      </c>
      <c r="L8" s="2">
        <f>0.5*(1-0.1319)^3</f>
        <v>0.32709904262049994</v>
      </c>
      <c r="M8" s="2">
        <f>0.5*(1-0.1319)^4</f>
        <v>0.28395467889885601</v>
      </c>
      <c r="N8" s="2">
        <f>0.5*(1-0.1319)^5</f>
        <v>0.24650105675209688</v>
      </c>
      <c r="O8" s="2">
        <f>0.5*(1-0.1319)^6</f>
        <v>0.2139875673664953</v>
      </c>
      <c r="P8" s="2">
        <f>0.5*(1-0.1319)^7</f>
        <v>0.18576260723085455</v>
      </c>
      <c r="Q8" s="2">
        <f>0.5*(1-0.1319)^8</f>
        <v>0.16126051933710484</v>
      </c>
      <c r="R8" s="2">
        <f>0.5*(1-0.1319)^9</f>
        <v>0.13999025683654071</v>
      </c>
      <c r="S8" s="2">
        <f>0.5*(1-0.1319)^10</f>
        <v>0.12152554195980098</v>
      </c>
      <c r="T8" s="2">
        <f>0.5*(1-0.1319)^11</f>
        <v>0.10549632297530322</v>
      </c>
      <c r="U8" s="2">
        <f>0.5*(1-0.1319)^12</f>
        <v>9.1581357974860722E-2</v>
      </c>
      <c r="V8" s="2">
        <f>0.5*(1-0.1319)^13</f>
        <v>7.9501776857976589E-2</v>
      </c>
      <c r="W8" s="2">
        <f>0.5*(1-0.1319)^14</f>
        <v>6.9015492490409475E-2</v>
      </c>
      <c r="X8" s="2">
        <f>0.5*(1-0.1319)^15</f>
        <v>5.9912349030924461E-2</v>
      </c>
      <c r="Y8" s="2">
        <f>0.5*(1-0.1319)^16</f>
        <v>5.2009910193745526E-2</v>
      </c>
      <c r="Z8" s="2">
        <f>0.5*(1-0.1319)^17</f>
        <v>4.5149803039190493E-2</v>
      </c>
      <c r="AA8" s="2">
        <f>0.5*(1-0.1319)^18</f>
        <v>3.9194544018321259E-2</v>
      </c>
      <c r="AB8" s="2">
        <f>0.5*(1-0.1319)^19</f>
        <v>3.4024783662304686E-2</v>
      </c>
      <c r="AC8" s="2">
        <f>0.5*(1-0.1319)^20</f>
        <v>2.9536914697246699E-2</v>
      </c>
    </row>
    <row r="9" spans="1:29" ht="46.5" customHeight="1" x14ac:dyDescent="0.35">
      <c r="A9" s="1" t="s">
        <v>9</v>
      </c>
      <c r="B9" s="2">
        <f t="shared" ref="B9:AC9" si="3">B6*0.5*(0.391*B4+0.164*1+0.214*1+0.127*1+0.104*1+0.245*1+0.137*1+0.134*1+0.159*1+0.325*1)</f>
        <v>831369.84217624937</v>
      </c>
      <c r="C9" s="2">
        <f t="shared" si="3"/>
        <v>831369.84217624937</v>
      </c>
      <c r="D9" s="2">
        <f t="shared" si="3"/>
        <v>831369.84217624937</v>
      </c>
      <c r="E9" s="2">
        <f t="shared" si="3"/>
        <v>831369.84217624937</v>
      </c>
      <c r="F9" s="2">
        <f t="shared" si="3"/>
        <v>831369.84217624937</v>
      </c>
      <c r="G9" s="2">
        <f t="shared" si="3"/>
        <v>831369.84217624937</v>
      </c>
      <c r="H9" s="2">
        <f t="shared" si="3"/>
        <v>831369.84217624937</v>
      </c>
      <c r="I9" s="2">
        <f t="shared" si="3"/>
        <v>831369.84217624937</v>
      </c>
      <c r="J9" s="2">
        <f t="shared" si="3"/>
        <v>831369.84217624937</v>
      </c>
      <c r="K9" s="2">
        <f t="shared" si="3"/>
        <v>831369.84217624937</v>
      </c>
      <c r="L9" s="2">
        <f t="shared" si="3"/>
        <v>831369.84217624937</v>
      </c>
      <c r="M9" s="2">
        <f t="shared" si="3"/>
        <v>831369.84217624937</v>
      </c>
      <c r="N9" s="2">
        <f t="shared" si="3"/>
        <v>831369.84217624937</v>
      </c>
      <c r="O9" s="2">
        <f t="shared" si="3"/>
        <v>831369.84217624937</v>
      </c>
      <c r="P9" s="2">
        <f t="shared" si="3"/>
        <v>831369.84217624937</v>
      </c>
      <c r="Q9" s="2">
        <f t="shared" si="3"/>
        <v>831369.84217624937</v>
      </c>
      <c r="R9" s="2">
        <f t="shared" si="3"/>
        <v>831369.84217624937</v>
      </c>
      <c r="S9" s="2">
        <f t="shared" si="3"/>
        <v>831369.84217624937</v>
      </c>
      <c r="T9" s="2">
        <f t="shared" si="3"/>
        <v>831369.84217624937</v>
      </c>
      <c r="U9" s="2">
        <f t="shared" si="3"/>
        <v>831369.84217624937</v>
      </c>
      <c r="V9" s="2">
        <f t="shared" si="3"/>
        <v>831369.84217624937</v>
      </c>
      <c r="W9" s="2">
        <f t="shared" si="3"/>
        <v>831369.84217624937</v>
      </c>
      <c r="X9" s="2">
        <f t="shared" si="3"/>
        <v>831369.84217624937</v>
      </c>
      <c r="Y9" s="2">
        <f t="shared" si="3"/>
        <v>831369.84217624937</v>
      </c>
      <c r="Z9" s="2">
        <f t="shared" si="3"/>
        <v>831369.84217624937</v>
      </c>
      <c r="AA9" s="2">
        <f t="shared" si="3"/>
        <v>831369.84217624937</v>
      </c>
      <c r="AB9" s="2">
        <f t="shared" si="3"/>
        <v>831369.84217624937</v>
      </c>
      <c r="AC9" s="2">
        <f t="shared" si="3"/>
        <v>831369.84217624937</v>
      </c>
    </row>
    <row r="10" spans="1:29" ht="29" customHeight="1" x14ac:dyDescent="0.35">
      <c r="A10" s="1" t="s">
        <v>5</v>
      </c>
      <c r="B10" s="2">
        <f t="shared" ref="B10:AC10" si="4">B9-B7</f>
        <v>-3937389.0630509444</v>
      </c>
      <c r="C10" s="2">
        <f t="shared" si="4"/>
        <v>-4524169.433961153</v>
      </c>
      <c r="D10" s="2">
        <f t="shared" si="4"/>
        <v>-5081786.8204371221</v>
      </c>
      <c r="E10" s="2">
        <f t="shared" si="4"/>
        <v>-5611690.6228052396</v>
      </c>
      <c r="F10" s="2">
        <f t="shared" si="4"/>
        <v>-6115258.2061956581</v>
      </c>
      <c r="G10" s="2">
        <f t="shared" si="4"/>
        <v>-6593798.4806915727</v>
      </c>
      <c r="H10" s="2">
        <f t="shared" si="4"/>
        <v>-7048555.303545041</v>
      </c>
      <c r="I10" s="2">
        <f t="shared" si="4"/>
        <v>-7480710.7123026932</v>
      </c>
      <c r="J10" s="2">
        <f t="shared" si="4"/>
        <v>-8549367.4275737498</v>
      </c>
      <c r="K10" s="2">
        <f t="shared" si="4"/>
        <v>-9498317.7211937252</v>
      </c>
      <c r="L10" s="2">
        <f t="shared" si="4"/>
        <v>-10322101.471085226</v>
      </c>
      <c r="M10" s="2">
        <f t="shared" si="4"/>
        <v>-11037228.144366039</v>
      </c>
      <c r="N10" s="2">
        <f t="shared" si="4"/>
        <v>-11658029.609441111</v>
      </c>
      <c r="O10" s="2">
        <f t="shared" si="4"/>
        <v>-12196947.36127278</v>
      </c>
      <c r="P10" s="2">
        <f t="shared" si="4"/>
        <v>-12664781.861637855</v>
      </c>
      <c r="Q10" s="2">
        <f t="shared" si="4"/>
        <v>-13070908.991404774</v>
      </c>
      <c r="R10" s="2">
        <f t="shared" si="4"/>
        <v>-13423467.952755438</v>
      </c>
      <c r="S10" s="2">
        <f t="shared" si="4"/>
        <v>-13729524.387103947</v>
      </c>
      <c r="T10" s="2">
        <f t="shared" si="4"/>
        <v>-13995211.977761891</v>
      </c>
      <c r="U10" s="2">
        <f t="shared" si="4"/>
        <v>-14225855.375212049</v>
      </c>
      <c r="V10" s="2">
        <f t="shared" si="4"/>
        <v>-14426076.908538533</v>
      </c>
      <c r="W10" s="2">
        <f t="shared" si="4"/>
        <v>-14599889.221619254</v>
      </c>
      <c r="X10" s="2">
        <f t="shared" si="4"/>
        <v>-14750775.690604627</v>
      </c>
      <c r="Y10" s="2">
        <f t="shared" si="4"/>
        <v>-14881760.234330829</v>
      </c>
      <c r="Z10" s="2">
        <f t="shared" si="4"/>
        <v>-14995467.916739546</v>
      </c>
      <c r="AA10" s="2">
        <f t="shared" si="4"/>
        <v>-15094177.555838551</v>
      </c>
      <c r="AB10" s="2">
        <f t="shared" si="4"/>
        <v>-15179867.393540399</v>
      </c>
      <c r="AC10" s="2">
        <f t="shared" si="4"/>
        <v>-15254254.741649374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D62A-F26C-4247-AB32-245CEC4E7BD5}">
  <dimension ref="A1:AC9"/>
  <sheetViews>
    <sheetView workbookViewId="0">
      <selection activeCell="C16" sqref="C16"/>
    </sheetView>
  </sheetViews>
  <sheetFormatPr defaultRowHeight="14.5" x14ac:dyDescent="0.35"/>
  <cols>
    <col min="1" max="1" width="26.36328125" customWidth="1"/>
  </cols>
  <sheetData>
    <row r="1" spans="1:29" x14ac:dyDescent="0.35">
      <c r="A1" s="6" t="s">
        <v>23</v>
      </c>
    </row>
    <row r="2" spans="1:29" ht="39" customHeight="1" x14ac:dyDescent="0.35">
      <c r="A2" s="5" t="s">
        <v>3</v>
      </c>
      <c r="B2" s="3">
        <f>16012123*(1-0.0497)^1</f>
        <v>15216320.4869</v>
      </c>
      <c r="C2" s="3">
        <f>16012123*(1-0.0497)^2</f>
        <v>14460069.358701071</v>
      </c>
      <c r="D2" s="3">
        <f>16012123*(1-0.0497)^3</f>
        <v>13741403.911573628</v>
      </c>
      <c r="E2" s="3">
        <f>16012123*(1-0.0497)^4</f>
        <v>13058456.13716842</v>
      </c>
      <c r="F2" s="3">
        <f>16012123*(1-0.0497)^5</f>
        <v>12409450.867151149</v>
      </c>
      <c r="G2" s="3">
        <f>16012123*(1-0.0497)^6</f>
        <v>11792701.159053737</v>
      </c>
      <c r="H2" s="3">
        <f>16012123*(1-0.0497)^7</f>
        <v>11206603.911448767</v>
      </c>
      <c r="I2" s="3">
        <f>16012123*(1-0.0497)^8</f>
        <v>10649635.697049765</v>
      </c>
      <c r="J2" s="3">
        <f>10676561.28*(1-0.1319)^1</f>
        <v>9268322.8471679986</v>
      </c>
      <c r="K2" s="3">
        <f>10676561.28*(1-0.1319)^2</f>
        <v>8045831.063626539</v>
      </c>
      <c r="L2" s="3">
        <f>10676561.28*(1-0.1319)^3</f>
        <v>6984585.9463341981</v>
      </c>
      <c r="M2" s="3">
        <f>10676561.28*(1-0.1319)^4</f>
        <v>6063319.0600127177</v>
      </c>
      <c r="N2" s="3">
        <f>10676561.28*(1-0.1319)^5</f>
        <v>5263567.2759970399</v>
      </c>
      <c r="O2" s="3">
        <f>10676561.28*(1-0.1319)^6</f>
        <v>4569302.7522930298</v>
      </c>
      <c r="P2" s="3">
        <f>10676561.28*(1-0.1319)^7</f>
        <v>3966611.7192655792</v>
      </c>
      <c r="Q2" s="3">
        <f>10676561.28*(1-0.1319)^8</f>
        <v>3443415.6334944493</v>
      </c>
      <c r="R2" s="3">
        <f>10676561.28*(1-0.1319)^9</f>
        <v>2989229.1114365314</v>
      </c>
      <c r="S2" s="3">
        <f>10676561.28*(1-0.1319)^10</f>
        <v>2594949.7916380526</v>
      </c>
      <c r="T2" s="3">
        <f>10676561.28*(1-0.1319)^11</f>
        <v>2252675.9141209931</v>
      </c>
      <c r="U2" s="3">
        <f>10676561.28*(1-0.1319)^12</f>
        <v>1955547.9610484343</v>
      </c>
      <c r="V2" s="3">
        <f>10676561.28*(1-0.1319)^13</f>
        <v>1697611.1849861457</v>
      </c>
      <c r="W2" s="3">
        <f>10676561.28*(1-0.1319)^14</f>
        <v>1473696.2696864731</v>
      </c>
      <c r="X2" s="3">
        <f>10676561.28*(1-0.1319)^15</f>
        <v>1279315.7317148272</v>
      </c>
      <c r="Y2" s="3">
        <f>10676561.28*(1-0.1319)^16</f>
        <v>1110573.9867016415</v>
      </c>
      <c r="Z2" s="3">
        <f>10676561.28*(1-0.1319)^17</f>
        <v>964089.27785569499</v>
      </c>
      <c r="AA2" s="3">
        <f>10676561.28*(1-0.1319)^18</f>
        <v>836925.90210652864</v>
      </c>
      <c r="AB2" s="3">
        <f>10676561.28*(1-0.1319)^19</f>
        <v>726535.37561867759</v>
      </c>
      <c r="AC2" s="3">
        <f>10676561.28*(1-0.1319)^20</f>
        <v>630705.35957457405</v>
      </c>
    </row>
    <row r="3" spans="1:29" ht="33.5" customHeight="1" x14ac:dyDescent="0.35">
      <c r="A3" s="5" t="s">
        <v>1</v>
      </c>
      <c r="B3" s="4">
        <f>(16575205-B2)/16575205</f>
        <v>8.1982968723463764E-2</v>
      </c>
      <c r="C3" s="4">
        <f t="shared" ref="C3:AC3" si="0">(16575205-C2)/16575205</f>
        <v>0.12760841517790755</v>
      </c>
      <c r="D3" s="4">
        <f t="shared" si="0"/>
        <v>0.17096627694356553</v>
      </c>
      <c r="E3" s="4">
        <f t="shared" si="0"/>
        <v>0.2121692529794702</v>
      </c>
      <c r="F3" s="4">
        <f t="shared" si="0"/>
        <v>0.25132444110639063</v>
      </c>
      <c r="G3" s="4">
        <f t="shared" si="0"/>
        <v>0.28853361638340297</v>
      </c>
      <c r="H3" s="4">
        <f t="shared" si="0"/>
        <v>0.32389349564914777</v>
      </c>
      <c r="I3" s="4">
        <f t="shared" si="0"/>
        <v>0.35749598891538509</v>
      </c>
      <c r="J3" s="4">
        <f t="shared" si="0"/>
        <v>0.44083208339396113</v>
      </c>
      <c r="K3" s="4">
        <f t="shared" si="0"/>
        <v>0.51458633159429767</v>
      </c>
      <c r="L3" s="4">
        <f t="shared" si="0"/>
        <v>0.57861239445700985</v>
      </c>
      <c r="M3" s="4">
        <f t="shared" si="0"/>
        <v>0.63419341962813025</v>
      </c>
      <c r="N3" s="4">
        <f t="shared" si="0"/>
        <v>0.68244330757917993</v>
      </c>
      <c r="O3" s="4">
        <f t="shared" si="0"/>
        <v>0.72432903530948611</v>
      </c>
      <c r="P3" s="4">
        <f t="shared" si="0"/>
        <v>0.76069003555216486</v>
      </c>
      <c r="Q3" s="4">
        <f t="shared" si="0"/>
        <v>0.79225501986283431</v>
      </c>
      <c r="R3" s="4">
        <f t="shared" si="0"/>
        <v>0.81965658274292652</v>
      </c>
      <c r="S3" s="4">
        <f t="shared" si="0"/>
        <v>0.84344387947913457</v>
      </c>
      <c r="T3" s="4">
        <f t="shared" si="0"/>
        <v>0.86409363177583665</v>
      </c>
      <c r="U3" s="4">
        <f t="shared" si="0"/>
        <v>0.88201968174460388</v>
      </c>
      <c r="V3" s="4">
        <f t="shared" si="0"/>
        <v>0.89758128572249052</v>
      </c>
      <c r="W3" s="4">
        <f t="shared" si="0"/>
        <v>0.91109031413569408</v>
      </c>
      <c r="X3" s="4">
        <f t="shared" si="0"/>
        <v>0.92281750170119603</v>
      </c>
      <c r="Y3" s="4">
        <f t="shared" si="0"/>
        <v>0.93299787322680827</v>
      </c>
      <c r="Z3" s="4">
        <f t="shared" si="0"/>
        <v>0.94183545374819233</v>
      </c>
      <c r="AA3" s="4">
        <f t="shared" si="0"/>
        <v>0.94950735739880565</v>
      </c>
      <c r="AB3" s="4">
        <f t="shared" si="0"/>
        <v>0.95616733695790324</v>
      </c>
      <c r="AC3" s="4">
        <f t="shared" si="0"/>
        <v>0.9619488652131557</v>
      </c>
    </row>
    <row r="4" spans="1:29" ht="32.5" customHeight="1" x14ac:dyDescent="0.35">
      <c r="A4" s="5" t="s">
        <v>8</v>
      </c>
      <c r="B4" s="3">
        <v>11817631.148224602</v>
      </c>
      <c r="C4" s="3">
        <v>11233840.169502307</v>
      </c>
      <c r="D4" s="3">
        <v>10678888.465128893</v>
      </c>
      <c r="E4" s="3">
        <v>10151351.374951527</v>
      </c>
      <c r="F4" s="3">
        <v>9649874.61702892</v>
      </c>
      <c r="G4" s="3">
        <v>9173170.8109476939</v>
      </c>
      <c r="H4" s="3">
        <v>8720016.1728868764</v>
      </c>
      <c r="I4" s="3">
        <v>8289247.3739462653</v>
      </c>
      <c r="J4" s="3">
        <v>7200269.0520000001</v>
      </c>
      <c r="K4" s="3">
        <v>6255593.7523776004</v>
      </c>
      <c r="L4" s="3">
        <v>5434859.8520656591</v>
      </c>
      <c r="M4" s="3">
        <v>4721806.2394746449</v>
      </c>
      <c r="N4" s="3">
        <v>4102305.2608555714</v>
      </c>
      <c r="O4" s="3">
        <v>3564082.8106313208</v>
      </c>
      <c r="P4" s="3">
        <v>3096475.1458764914</v>
      </c>
      <c r="Q4" s="3">
        <v>2690217.6067374959</v>
      </c>
      <c r="R4" s="3">
        <v>2337261.0567335365</v>
      </c>
      <c r="S4" s="3">
        <v>2030612.4060900968</v>
      </c>
      <c r="T4" s="3">
        <v>1764196.0584110757</v>
      </c>
      <c r="U4" s="3">
        <v>1532733.5355475429</v>
      </c>
      <c r="V4" s="3">
        <v>1331638.8956837051</v>
      </c>
      <c r="W4" s="3">
        <v>1156927.8725700032</v>
      </c>
      <c r="X4" s="3">
        <v>1005138.9356888187</v>
      </c>
      <c r="Y4" s="3">
        <v>873264.70732644573</v>
      </c>
      <c r="Z4" s="3">
        <v>758692.37772521598</v>
      </c>
      <c r="AA4" s="3">
        <v>659151.93776766781</v>
      </c>
      <c r="AB4" s="3">
        <v>572671.20353254979</v>
      </c>
      <c r="AC4" s="3">
        <v>497536.74162907928</v>
      </c>
    </row>
    <row r="5" spans="1:29" ht="29" x14ac:dyDescent="0.35">
      <c r="A5" s="5" t="s">
        <v>6</v>
      </c>
      <c r="B5" s="3">
        <f t="shared" ref="B5:AC5" si="1">16575205-B2</f>
        <v>1358884.5131000001</v>
      </c>
      <c r="C5" s="3">
        <f t="shared" si="1"/>
        <v>2115135.6412989292</v>
      </c>
      <c r="D5" s="3">
        <f t="shared" si="1"/>
        <v>2833801.088426372</v>
      </c>
      <c r="E5" s="3">
        <f t="shared" si="1"/>
        <v>3516748.8628315795</v>
      </c>
      <c r="F5" s="3">
        <f t="shared" si="1"/>
        <v>4165754.1328488514</v>
      </c>
      <c r="G5" s="3">
        <f t="shared" si="1"/>
        <v>4782503.8409462627</v>
      </c>
      <c r="H5" s="3">
        <f t="shared" si="1"/>
        <v>5368601.0885512326</v>
      </c>
      <c r="I5" s="3">
        <f t="shared" si="1"/>
        <v>5925569.3029502351</v>
      </c>
      <c r="J5" s="3">
        <f t="shared" si="1"/>
        <v>7306882.1528320014</v>
      </c>
      <c r="K5" s="3">
        <f t="shared" si="1"/>
        <v>8529373.936373461</v>
      </c>
      <c r="L5" s="3">
        <f t="shared" si="1"/>
        <v>9590619.0536658019</v>
      </c>
      <c r="M5" s="3">
        <f t="shared" si="1"/>
        <v>10511885.939987283</v>
      </c>
      <c r="N5" s="3">
        <f t="shared" si="1"/>
        <v>11311637.724002961</v>
      </c>
      <c r="O5" s="3">
        <f t="shared" si="1"/>
        <v>12005902.24770697</v>
      </c>
      <c r="P5" s="3">
        <f t="shared" si="1"/>
        <v>12608593.28073442</v>
      </c>
      <c r="Q5" s="3">
        <f t="shared" si="1"/>
        <v>13131789.36650555</v>
      </c>
      <c r="R5" s="3">
        <f t="shared" si="1"/>
        <v>13585975.888563469</v>
      </c>
      <c r="S5" s="3">
        <f t="shared" si="1"/>
        <v>13980255.208361948</v>
      </c>
      <c r="T5" s="3">
        <f t="shared" si="1"/>
        <v>14322529.085879007</v>
      </c>
      <c r="U5" s="3">
        <f t="shared" si="1"/>
        <v>14619657.038951566</v>
      </c>
      <c r="V5" s="3">
        <f t="shared" si="1"/>
        <v>14877593.815013854</v>
      </c>
      <c r="W5" s="3">
        <f t="shared" si="1"/>
        <v>15101508.730313526</v>
      </c>
      <c r="X5" s="3">
        <f t="shared" si="1"/>
        <v>15295889.268285172</v>
      </c>
      <c r="Y5" s="3">
        <f t="shared" si="1"/>
        <v>15464631.013298359</v>
      </c>
      <c r="Z5" s="3">
        <f t="shared" si="1"/>
        <v>15611115.722144306</v>
      </c>
      <c r="AA5" s="3">
        <f t="shared" si="1"/>
        <v>15738279.097893471</v>
      </c>
      <c r="AB5" s="3">
        <f t="shared" si="1"/>
        <v>15848669.624381322</v>
      </c>
      <c r="AC5" s="3">
        <f t="shared" si="1"/>
        <v>15944499.640425425</v>
      </c>
    </row>
    <row r="6" spans="1:29" ht="32.5" customHeight="1" x14ac:dyDescent="0.35">
      <c r="A6" s="5" t="s">
        <v>4</v>
      </c>
      <c r="B6" s="3">
        <f>16575205-B4</f>
        <v>4757573.8517753985</v>
      </c>
      <c r="C6" s="3">
        <f t="shared" ref="C6:AC6" si="2">16575205-C4</f>
        <v>5341364.8304976933</v>
      </c>
      <c r="D6" s="3">
        <f t="shared" si="2"/>
        <v>5896316.534871107</v>
      </c>
      <c r="E6" s="3">
        <f t="shared" si="2"/>
        <v>6423853.6250484735</v>
      </c>
      <c r="F6" s="3">
        <f t="shared" si="2"/>
        <v>6925330.38297108</v>
      </c>
      <c r="G6" s="3">
        <f t="shared" si="2"/>
        <v>7402034.1890523061</v>
      </c>
      <c r="H6" s="3">
        <f t="shared" si="2"/>
        <v>7855188.8271131236</v>
      </c>
      <c r="I6" s="3">
        <f t="shared" si="2"/>
        <v>8285957.6260537347</v>
      </c>
      <c r="J6" s="3">
        <f t="shared" si="2"/>
        <v>9374935.9479999989</v>
      </c>
      <c r="K6" s="3">
        <f t="shared" si="2"/>
        <v>10319611.247622401</v>
      </c>
      <c r="L6" s="3">
        <f t="shared" si="2"/>
        <v>11140345.14793434</v>
      </c>
      <c r="M6" s="3">
        <f t="shared" si="2"/>
        <v>11853398.760525355</v>
      </c>
      <c r="N6" s="3">
        <f t="shared" si="2"/>
        <v>12472899.73914443</v>
      </c>
      <c r="O6" s="3">
        <f t="shared" si="2"/>
        <v>13011122.18936868</v>
      </c>
      <c r="P6" s="3">
        <f t="shared" si="2"/>
        <v>13478729.854123509</v>
      </c>
      <c r="Q6" s="3">
        <f t="shared" si="2"/>
        <v>13884987.393262504</v>
      </c>
      <c r="R6" s="3">
        <f t="shared" si="2"/>
        <v>14237943.943266463</v>
      </c>
      <c r="S6" s="3">
        <f t="shared" si="2"/>
        <v>14544592.593909902</v>
      </c>
      <c r="T6" s="3">
        <f t="shared" si="2"/>
        <v>14811008.941588923</v>
      </c>
      <c r="U6" s="3">
        <f t="shared" si="2"/>
        <v>15042471.464452457</v>
      </c>
      <c r="V6" s="3">
        <f t="shared" si="2"/>
        <v>15243566.104316294</v>
      </c>
      <c r="W6" s="3">
        <f t="shared" si="2"/>
        <v>15418277.127429998</v>
      </c>
      <c r="X6" s="3">
        <f t="shared" si="2"/>
        <v>15570066.064311182</v>
      </c>
      <c r="Y6" s="3">
        <f t="shared" si="2"/>
        <v>15701940.292673554</v>
      </c>
      <c r="Z6" s="3">
        <f t="shared" si="2"/>
        <v>15816512.622274784</v>
      </c>
      <c r="AA6" s="3">
        <f t="shared" si="2"/>
        <v>15916053.062232332</v>
      </c>
      <c r="AB6" s="3">
        <f t="shared" si="2"/>
        <v>16002533.79646745</v>
      </c>
      <c r="AC6" s="3">
        <f t="shared" si="2"/>
        <v>16077668.258370921</v>
      </c>
    </row>
    <row r="7" spans="1:29" ht="29.5" customHeight="1" x14ac:dyDescent="0.35">
      <c r="A7" s="5" t="s">
        <v>7</v>
      </c>
      <c r="B7" s="3">
        <f>(1-0.0497)^1</f>
        <v>0.95030000000000003</v>
      </c>
      <c r="C7" s="3">
        <f>(1-0.0497)^2</f>
        <v>0.90307009000000005</v>
      </c>
      <c r="D7" s="3">
        <f>(1-0.0497)^3</f>
        <v>0.85818750652700004</v>
      </c>
      <c r="E7" s="3">
        <f>(1-0.0497)^4</f>
        <v>0.81553558745260823</v>
      </c>
      <c r="F7" s="3">
        <f>(1-0.0497)^5</f>
        <v>0.77500346875621362</v>
      </c>
      <c r="G7" s="3">
        <f>(1-0.0497)^6</f>
        <v>0.73648579635902978</v>
      </c>
      <c r="H7" s="3">
        <f>(1-0.0497)^7</f>
        <v>0.69988245227998602</v>
      </c>
      <c r="I7" s="3">
        <f>(1-0.0497)^8</f>
        <v>0.66509829440167079</v>
      </c>
      <c r="J7" s="3">
        <f>J2/10676561.28</f>
        <v>0.86809999999999987</v>
      </c>
      <c r="K7" s="3">
        <f>K2/10676561.28</f>
        <v>0.75359760999999992</v>
      </c>
      <c r="L7" s="3">
        <f t="shared" ref="L7:AC7" si="3">L2/10676561.28</f>
        <v>0.65419808524099987</v>
      </c>
      <c r="M7" s="3">
        <f t="shared" si="3"/>
        <v>0.56790935779771201</v>
      </c>
      <c r="N7" s="3">
        <f t="shared" si="3"/>
        <v>0.49300211350419376</v>
      </c>
      <c r="O7" s="3">
        <f t="shared" si="3"/>
        <v>0.42797513473299054</v>
      </c>
      <c r="P7" s="3">
        <f t="shared" si="3"/>
        <v>0.37152521446170911</v>
      </c>
      <c r="Q7" s="3">
        <f t="shared" si="3"/>
        <v>0.32252103867420967</v>
      </c>
      <c r="R7" s="3">
        <f t="shared" si="3"/>
        <v>0.27998051367308141</v>
      </c>
      <c r="S7" s="3">
        <f t="shared" si="3"/>
        <v>0.24305108391960195</v>
      </c>
      <c r="T7" s="3">
        <f t="shared" si="3"/>
        <v>0.21099264595060641</v>
      </c>
      <c r="U7" s="3">
        <f t="shared" si="3"/>
        <v>0.18316271594972144</v>
      </c>
      <c r="V7" s="3">
        <f t="shared" si="3"/>
        <v>0.15900355371595318</v>
      </c>
      <c r="W7" s="3">
        <f t="shared" si="3"/>
        <v>0.13803098498081895</v>
      </c>
      <c r="X7" s="3">
        <f t="shared" si="3"/>
        <v>0.11982469806184894</v>
      </c>
      <c r="Y7" s="3">
        <f t="shared" si="3"/>
        <v>0.10401982038749105</v>
      </c>
      <c r="Z7" s="3">
        <f t="shared" si="3"/>
        <v>9.0299606078380987E-2</v>
      </c>
      <c r="AA7" s="3">
        <f t="shared" si="3"/>
        <v>7.8389088036642518E-2</v>
      </c>
      <c r="AB7" s="3">
        <f t="shared" si="3"/>
        <v>6.8049567324609372E-2</v>
      </c>
      <c r="AC7" s="3">
        <f t="shared" si="3"/>
        <v>5.9073829394493398E-2</v>
      </c>
    </row>
    <row r="8" spans="1:29" ht="43" customHeight="1" x14ac:dyDescent="0.35">
      <c r="A8" s="5" t="s">
        <v>9</v>
      </c>
      <c r="B8" s="3">
        <f>B5*0.5*(0.391*B3+0.164*1+0.214*1+0.127*1+0.104*1+0.245*1+0.137*1+0.134*1+0.159*1+0.325*1)</f>
        <v>1115002.3438567922</v>
      </c>
      <c r="C8" s="3">
        <f t="shared" ref="C8:AC8" si="4">C5*0.5*(0.391*C3+0.164*1+0.214*1+0.127*1+0.104*1+0.245*1+0.137*1+0.134*1+0.159*1+0.325*1)</f>
        <v>1754393.8538576551</v>
      </c>
      <c r="D8" s="3">
        <f t="shared" si="4"/>
        <v>2374509.6800788017</v>
      </c>
      <c r="E8" s="3">
        <f t="shared" si="4"/>
        <v>2975095.9990705354</v>
      </c>
      <c r="F8" s="3">
        <f t="shared" si="4"/>
        <v>3556029.0644903635</v>
      </c>
      <c r="G8" s="3">
        <f t="shared" si="4"/>
        <v>4117297.3566817353</v>
      </c>
      <c r="H8" s="3">
        <f t="shared" si="4"/>
        <v>4658985.7230228772</v>
      </c>
      <c r="I8" s="3">
        <f t="shared" si="4"/>
        <v>5181261.3031321308</v>
      </c>
      <c r="J8" s="3">
        <f t="shared" si="4"/>
        <v>6508113.3220912991</v>
      </c>
      <c r="K8" s="3">
        <f t="shared" si="4"/>
        <v>7719950.234154122</v>
      </c>
      <c r="L8" s="3">
        <f t="shared" si="4"/>
        <v>8800531.609920105</v>
      </c>
      <c r="M8" s="3">
        <f t="shared" si="4"/>
        <v>9760126.456914451</v>
      </c>
      <c r="N8" s="3">
        <f t="shared" si="4"/>
        <v>10609384.859880308</v>
      </c>
      <c r="O8" s="3">
        <f t="shared" si="4"/>
        <v>11358860.070731616</v>
      </c>
      <c r="P8" s="3">
        <f t="shared" si="4"/>
        <v>12018699.007828338</v>
      </c>
      <c r="Q8" s="3">
        <f t="shared" si="4"/>
        <v>12598452.987228518</v>
      </c>
      <c r="R8" s="3">
        <f t="shared" si="4"/>
        <v>13106973.260793641</v>
      </c>
      <c r="S8" s="3">
        <f t="shared" si="4"/>
        <v>13552365.429836299</v>
      </c>
      <c r="T8" s="3">
        <f t="shared" si="4"/>
        <v>13941983.856612964</v>
      </c>
      <c r="U8" s="3">
        <f t="shared" si="4"/>
        <v>14282452.423959596</v>
      </c>
      <c r="V8" s="3">
        <f t="shared" si="4"/>
        <v>14579701.857133849</v>
      </c>
      <c r="W8" s="3">
        <f t="shared" si="4"/>
        <v>14839016.667643476</v>
      </c>
      <c r="X8" s="3">
        <f t="shared" si="4"/>
        <v>15065086.866062975</v>
      </c>
      <c r="Y8" s="3">
        <f t="shared" si="4"/>
        <v>15262061.114022071</v>
      </c>
      <c r="Z8" s="3">
        <f t="shared" si="4"/>
        <v>15433599.090232791</v>
      </c>
      <c r="AA8" s="3">
        <f t="shared" si="4"/>
        <v>15582921.640421327</v>
      </c>
      <c r="AB8" s="3">
        <f t="shared" si="4"/>
        <v>15712857.847598018</v>
      </c>
      <c r="AC8" s="3">
        <f t="shared" si="4"/>
        <v>15825888.55781227</v>
      </c>
    </row>
    <row r="9" spans="1:29" ht="20" customHeight="1" x14ac:dyDescent="0.35">
      <c r="A9" s="5" t="s">
        <v>5</v>
      </c>
      <c r="B9" s="3">
        <f>B8-B6</f>
        <v>-3642571.5079186065</v>
      </c>
      <c r="C9" s="3">
        <f t="shared" ref="C9:AC9" si="5">C8-C6</f>
        <v>-3586970.9766400382</v>
      </c>
      <c r="D9" s="3">
        <f t="shared" si="5"/>
        <v>-3521806.8547923053</v>
      </c>
      <c r="E9" s="3">
        <f t="shared" si="5"/>
        <v>-3448757.6259779381</v>
      </c>
      <c r="F9" s="3">
        <f t="shared" si="5"/>
        <v>-3369301.3184807166</v>
      </c>
      <c r="G9" s="3">
        <f t="shared" si="5"/>
        <v>-3284736.8323705709</v>
      </c>
      <c r="H9" s="3">
        <f t="shared" si="5"/>
        <v>-3196203.1040902464</v>
      </c>
      <c r="I9" s="3">
        <f t="shared" si="5"/>
        <v>-3104696.3229216039</v>
      </c>
      <c r="J9" s="3">
        <f t="shared" si="5"/>
        <v>-2866822.6259086998</v>
      </c>
      <c r="K9" s="3">
        <f t="shared" si="5"/>
        <v>-2599661.0134682786</v>
      </c>
      <c r="L9" s="3">
        <f t="shared" si="5"/>
        <v>-2339813.538014235</v>
      </c>
      <c r="M9" s="3">
        <f t="shared" si="5"/>
        <v>-2093272.3036109041</v>
      </c>
      <c r="N9" s="3">
        <f t="shared" si="5"/>
        <v>-1863514.8792641219</v>
      </c>
      <c r="O9" s="3">
        <f t="shared" si="5"/>
        <v>-1652262.1186370645</v>
      </c>
      <c r="P9" s="3">
        <f t="shared" si="5"/>
        <v>-1460030.8462951705</v>
      </c>
      <c r="Q9" s="3">
        <f t="shared" si="5"/>
        <v>-1286534.4060339853</v>
      </c>
      <c r="R9" s="3">
        <f t="shared" si="5"/>
        <v>-1130970.6824728213</v>
      </c>
      <c r="S9" s="3">
        <f t="shared" si="5"/>
        <v>-992227.16407360323</v>
      </c>
      <c r="T9" s="3">
        <f t="shared" si="5"/>
        <v>-869025.08497595973</v>
      </c>
      <c r="U9" s="3">
        <f t="shared" si="5"/>
        <v>-760019.0404928606</v>
      </c>
      <c r="V9" s="3">
        <f t="shared" si="5"/>
        <v>-663864.2471824456</v>
      </c>
      <c r="W9" s="3">
        <f t="shared" si="5"/>
        <v>-579260.45978652127</v>
      </c>
      <c r="X9" s="3">
        <f t="shared" si="5"/>
        <v>-504979.19824820757</v>
      </c>
      <c r="Y9" s="3">
        <f t="shared" si="5"/>
        <v>-439879.17865148373</v>
      </c>
      <c r="Z9" s="3">
        <f t="shared" si="5"/>
        <v>-382913.53204199299</v>
      </c>
      <c r="AA9" s="3">
        <f t="shared" si="5"/>
        <v>-333131.4218110051</v>
      </c>
      <c r="AB9" s="3">
        <f t="shared" si="5"/>
        <v>-289675.94886943139</v>
      </c>
      <c r="AC9" s="3">
        <f t="shared" si="5"/>
        <v>-251779.70055865124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 credibility criteria</vt:lpstr>
      <vt:lpstr>Actual carbon emissions</vt:lpstr>
      <vt:lpstr>Scenario 1</vt:lpstr>
      <vt:lpstr>Scenario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Xinlai Liu</dc:creator>
  <cp:lastModifiedBy>Xinlai Liu</cp:lastModifiedBy>
  <dcterms:created xsi:type="dcterms:W3CDTF">2015-06-05T18:17:20Z</dcterms:created>
  <dcterms:modified xsi:type="dcterms:W3CDTF">2024-10-08T13:54:43Z</dcterms:modified>
</cp:coreProperties>
</file>