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charts/chart7.xml" ContentType="application/vnd.openxmlformats-officedocument.drawingml.chart+xml"/>
  <Override PartName="/xl/worksheets/sheet2.xml" ContentType="application/vnd.openxmlformats-officedocument.spreadsheetml.worksheet+xml"/>
  <Override PartName="/xl/charts/chart8.xml" ContentType="application/vnd.openxmlformats-officedocument.drawingml.chart+xml"/>
  <Override PartName="/docProps/app.xml" ContentType="application/vnd.openxmlformats-officedocument.extended-properties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charts/chart4.xml" ContentType="application/vnd.openxmlformats-officedocument.drawingml.char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charts/chart3.xml" ContentType="application/vnd.openxmlformats-officedocument.drawingml.chart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harts/chart6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charts/chart11.xml" ContentType="application/vnd.openxmlformats-officedocument.drawingml.chart+xml"/>
  <Default Extension="rels" ContentType="application/vnd.openxmlformats-package.relationships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charts/chart5.xml" ContentType="application/vnd.openxmlformats-officedocument.drawingml.chart+xml"/>
  <Override PartName="/xl/charts/chart12.xml" ContentType="application/vnd.openxmlformats-officedocument.drawingml.char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40" tabRatio="500" activeTab="1"/>
  </bookViews>
  <sheets>
    <sheet name="DiffusionTest" sheetId="1" r:id="rId1"/>
    <sheet name="SourceTermTest" sheetId="2" r:id="rId2"/>
    <sheet name="CoupledSources" sheetId="3" r:id="rId3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94" i="3"/>
  <c r="D94"/>
  <c r="D106"/>
  <c r="E106"/>
  <c r="F106"/>
  <c r="G106"/>
  <c r="H106"/>
  <c r="I106"/>
  <c r="J106"/>
  <c r="K106"/>
  <c r="L106"/>
  <c r="M106"/>
  <c r="N106"/>
  <c r="O106"/>
  <c r="P106"/>
  <c r="Q106"/>
  <c r="D107"/>
  <c r="E107"/>
  <c r="F107"/>
  <c r="G107"/>
  <c r="H107"/>
  <c r="I107"/>
  <c r="J107"/>
  <c r="K107"/>
  <c r="L107"/>
  <c r="M107"/>
  <c r="N107"/>
  <c r="O107"/>
  <c r="P107"/>
  <c r="Q107"/>
  <c r="D108"/>
  <c r="E108"/>
  <c r="F108"/>
  <c r="G108"/>
  <c r="H108"/>
  <c r="I108"/>
  <c r="J108"/>
  <c r="K108"/>
  <c r="L108"/>
  <c r="M108"/>
  <c r="N108"/>
  <c r="O108"/>
  <c r="P108"/>
  <c r="Q108"/>
  <c r="D109"/>
  <c r="E109"/>
  <c r="F109"/>
  <c r="G109"/>
  <c r="H109"/>
  <c r="I109"/>
  <c r="J109"/>
  <c r="K109"/>
  <c r="L109"/>
  <c r="M109"/>
  <c r="N109"/>
  <c r="O109"/>
  <c r="P109"/>
  <c r="Q109"/>
  <c r="C106"/>
  <c r="C107"/>
  <c r="C108"/>
  <c r="C109"/>
  <c r="B107"/>
  <c r="B108"/>
  <c r="B109"/>
  <c r="B106"/>
  <c r="C94"/>
  <c r="B91"/>
  <c r="M111"/>
  <c r="N111"/>
  <c r="N110"/>
  <c r="M110"/>
  <c r="N94"/>
  <c r="Q95"/>
  <c r="P97"/>
  <c r="P94"/>
  <c r="P96"/>
  <c r="N91"/>
  <c r="Q93"/>
  <c r="Q99"/>
  <c r="O94"/>
  <c r="O100"/>
  <c r="P100"/>
  <c r="Q100"/>
  <c r="O101"/>
  <c r="P101"/>
  <c r="Q101"/>
  <c r="O102"/>
  <c r="P102"/>
  <c r="Q102"/>
  <c r="O97"/>
  <c r="O103"/>
  <c r="P103"/>
  <c r="Q103"/>
  <c r="P93"/>
  <c r="P99"/>
  <c r="O93"/>
  <c r="O99"/>
  <c r="C93"/>
  <c r="C99"/>
  <c r="D93"/>
  <c r="D99"/>
  <c r="E93"/>
  <c r="E99"/>
  <c r="F91"/>
  <c r="F93"/>
  <c r="F99"/>
  <c r="G93"/>
  <c r="G99"/>
  <c r="H93"/>
  <c r="H99"/>
  <c r="I93"/>
  <c r="I99"/>
  <c r="J91"/>
  <c r="J93"/>
  <c r="J99"/>
  <c r="K93"/>
  <c r="K99"/>
  <c r="L93"/>
  <c r="L99"/>
  <c r="M93"/>
  <c r="M99"/>
  <c r="N93"/>
  <c r="N99"/>
  <c r="B93"/>
  <c r="B99"/>
  <c r="N100"/>
  <c r="N101"/>
  <c r="N102"/>
  <c r="N103"/>
  <c r="F94"/>
  <c r="I95"/>
  <c r="M95"/>
  <c r="L94"/>
  <c r="K94"/>
  <c r="M94"/>
  <c r="I94"/>
  <c r="B103"/>
  <c r="C103"/>
  <c r="D103"/>
  <c r="E103"/>
  <c r="F103"/>
  <c r="G94"/>
  <c r="G103"/>
  <c r="H103"/>
  <c r="I103"/>
  <c r="J103"/>
  <c r="K103"/>
  <c r="L103"/>
  <c r="M103"/>
  <c r="M102"/>
  <c r="L102"/>
  <c r="K102"/>
  <c r="J102"/>
  <c r="M101"/>
  <c r="L101"/>
  <c r="K101"/>
  <c r="J101"/>
  <c r="M100"/>
  <c r="L100"/>
  <c r="K100"/>
  <c r="J100"/>
  <c r="G101"/>
  <c r="H101"/>
  <c r="I101"/>
  <c r="G102"/>
  <c r="H102"/>
  <c r="I102"/>
  <c r="H100"/>
  <c r="I100"/>
  <c r="G100"/>
  <c r="F101"/>
  <c r="F102"/>
  <c r="F100"/>
  <c r="D100"/>
  <c r="E100"/>
  <c r="D101"/>
  <c r="E101"/>
  <c r="D102"/>
  <c r="E102"/>
  <c r="C102"/>
  <c r="C101"/>
  <c r="C100"/>
  <c r="B101"/>
  <c r="B102"/>
  <c r="B100"/>
  <c r="K61"/>
  <c r="L61"/>
  <c r="M61"/>
  <c r="J61"/>
  <c r="G61"/>
  <c r="H61"/>
  <c r="I61"/>
  <c r="F61"/>
  <c r="C61"/>
  <c r="D61"/>
  <c r="E61"/>
  <c r="B61"/>
  <c r="I57"/>
  <c r="L57"/>
  <c r="H57"/>
  <c r="G57"/>
  <c r="K57"/>
  <c r="E57"/>
  <c r="D57"/>
  <c r="C62"/>
  <c r="D62"/>
  <c r="E62"/>
  <c r="F62"/>
  <c r="G62"/>
  <c r="H62"/>
  <c r="I62"/>
  <c r="J62"/>
  <c r="K62"/>
  <c r="L62"/>
  <c r="M62"/>
  <c r="C63"/>
  <c r="D63"/>
  <c r="E63"/>
  <c r="F63"/>
  <c r="G63"/>
  <c r="H63"/>
  <c r="I63"/>
  <c r="J63"/>
  <c r="K63"/>
  <c r="L63"/>
  <c r="M63"/>
  <c r="C64"/>
  <c r="D64"/>
  <c r="E64"/>
  <c r="F64"/>
  <c r="G64"/>
  <c r="H64"/>
  <c r="I64"/>
  <c r="J64"/>
  <c r="K64"/>
  <c r="L64"/>
  <c r="M64"/>
  <c r="B64"/>
  <c r="B63"/>
  <c r="B62"/>
  <c r="K56"/>
  <c r="L56"/>
  <c r="M56"/>
  <c r="J56"/>
  <c r="G56"/>
  <c r="H56"/>
  <c r="I56"/>
  <c r="F56"/>
  <c r="C56"/>
  <c r="D56"/>
  <c r="E56"/>
  <c r="B56"/>
  <c r="I12"/>
  <c r="A17"/>
  <c r="I16"/>
  <c r="J16"/>
  <c r="G16"/>
  <c r="H16"/>
  <c r="E16"/>
  <c r="F16"/>
  <c r="A11"/>
  <c r="I10"/>
  <c r="J10"/>
  <c r="G10"/>
  <c r="H10"/>
  <c r="E10"/>
  <c r="F10"/>
  <c r="C10"/>
  <c r="D10"/>
  <c r="A5"/>
  <c r="G4"/>
  <c r="H4"/>
  <c r="C16"/>
  <c r="D16"/>
  <c r="I4"/>
  <c r="E4"/>
  <c r="F4"/>
  <c r="C4"/>
  <c r="D4"/>
  <c r="I11"/>
  <c r="G11"/>
  <c r="H12"/>
  <c r="I5"/>
  <c r="G17"/>
  <c r="C19"/>
  <c r="J5"/>
  <c r="L24"/>
  <c r="D6"/>
  <c r="C25"/>
  <c r="D12"/>
  <c r="D25"/>
  <c r="D18"/>
  <c r="E25"/>
  <c r="F6"/>
  <c r="F25"/>
  <c r="F12"/>
  <c r="G25"/>
  <c r="F18"/>
  <c r="H25"/>
  <c r="H6"/>
  <c r="I25"/>
  <c r="J25"/>
  <c r="H18"/>
  <c r="K25"/>
  <c r="J6"/>
  <c r="L25"/>
  <c r="J12"/>
  <c r="M25"/>
  <c r="I17"/>
  <c r="J18"/>
  <c r="N25"/>
  <c r="D7"/>
  <c r="C26"/>
  <c r="D13"/>
  <c r="D26"/>
  <c r="D19"/>
  <c r="E26"/>
  <c r="F7"/>
  <c r="F26"/>
  <c r="F13"/>
  <c r="G26"/>
  <c r="F19"/>
  <c r="H26"/>
  <c r="H7"/>
  <c r="I26"/>
  <c r="H13"/>
  <c r="J26"/>
  <c r="H19"/>
  <c r="K26"/>
  <c r="J7"/>
  <c r="L26"/>
  <c r="J13"/>
  <c r="M26"/>
  <c r="J19"/>
  <c r="N26"/>
  <c r="J17"/>
  <c r="N24"/>
  <c r="J11"/>
  <c r="M24"/>
  <c r="H17"/>
  <c r="K24"/>
  <c r="H11"/>
  <c r="J24"/>
  <c r="H5"/>
  <c r="I24"/>
  <c r="F17"/>
  <c r="H24"/>
  <c r="F11"/>
  <c r="G24"/>
  <c r="F5"/>
  <c r="F24"/>
  <c r="D17"/>
  <c r="E24"/>
  <c r="D11"/>
  <c r="D24"/>
  <c r="D5"/>
  <c r="C24"/>
  <c r="N23"/>
  <c r="M23"/>
  <c r="L23"/>
  <c r="F23"/>
  <c r="J23"/>
  <c r="I23"/>
  <c r="K23"/>
  <c r="H23"/>
  <c r="G23"/>
  <c r="E23"/>
  <c r="D23"/>
  <c r="C23"/>
  <c r="C82" i="1"/>
  <c r="D82"/>
  <c r="E82"/>
  <c r="F82"/>
  <c r="G82"/>
  <c r="H82"/>
  <c r="I82"/>
  <c r="J82"/>
  <c r="K82"/>
  <c r="L82"/>
  <c r="M82"/>
  <c r="N82"/>
  <c r="O82"/>
  <c r="P82"/>
  <c r="Q82"/>
  <c r="C83"/>
  <c r="D83"/>
  <c r="E83"/>
  <c r="F83"/>
  <c r="G83"/>
  <c r="H83"/>
  <c r="I83"/>
  <c r="J83"/>
  <c r="K83"/>
  <c r="L83"/>
  <c r="M83"/>
  <c r="N83"/>
  <c r="O83"/>
  <c r="P83"/>
  <c r="Q83"/>
  <c r="C84"/>
  <c r="D84"/>
  <c r="E84"/>
  <c r="F84"/>
  <c r="G84"/>
  <c r="H84"/>
  <c r="I84"/>
  <c r="J84"/>
  <c r="K84"/>
  <c r="L84"/>
  <c r="M84"/>
  <c r="N84"/>
  <c r="O84"/>
  <c r="P84"/>
  <c r="Q84"/>
  <c r="C85"/>
  <c r="D85"/>
  <c r="E85"/>
  <c r="F85"/>
  <c r="G85"/>
  <c r="H85"/>
  <c r="I85"/>
  <c r="J85"/>
  <c r="K85"/>
  <c r="L85"/>
  <c r="M85"/>
  <c r="N85"/>
  <c r="O85"/>
  <c r="P85"/>
  <c r="Q85"/>
  <c r="B83"/>
  <c r="B84"/>
  <c r="B85"/>
  <c r="B82"/>
  <c r="A83"/>
  <c r="A84"/>
  <c r="A85"/>
  <c r="A82"/>
  <c r="B70"/>
  <c r="J70"/>
  <c r="I73"/>
  <c r="B76"/>
  <c r="C76"/>
  <c r="D76"/>
  <c r="E76"/>
  <c r="F76"/>
  <c r="G76"/>
  <c r="H76"/>
  <c r="I76"/>
  <c r="J76"/>
  <c r="K76"/>
  <c r="L76"/>
  <c r="M76"/>
  <c r="N76"/>
  <c r="O76"/>
  <c r="P76"/>
  <c r="B77"/>
  <c r="C77"/>
  <c r="D77"/>
  <c r="E77"/>
  <c r="F77"/>
  <c r="G77"/>
  <c r="H77"/>
  <c r="I77"/>
  <c r="J77"/>
  <c r="K77"/>
  <c r="L77"/>
  <c r="M77"/>
  <c r="N77"/>
  <c r="O77"/>
  <c r="P77"/>
  <c r="B78"/>
  <c r="C78"/>
  <c r="D78"/>
  <c r="E78"/>
  <c r="F78"/>
  <c r="G78"/>
  <c r="H78"/>
  <c r="I78"/>
  <c r="J78"/>
  <c r="K78"/>
  <c r="L78"/>
  <c r="M78"/>
  <c r="N78"/>
  <c r="O78"/>
  <c r="P78"/>
  <c r="B79"/>
  <c r="C79"/>
  <c r="D79"/>
  <c r="E79"/>
  <c r="F79"/>
  <c r="G79"/>
  <c r="H79"/>
  <c r="I79"/>
  <c r="J79"/>
  <c r="K79"/>
  <c r="L79"/>
  <c r="M79"/>
  <c r="N79"/>
  <c r="O79"/>
  <c r="P79"/>
  <c r="Q77"/>
  <c r="Q78"/>
  <c r="Q79"/>
  <c r="Q76"/>
  <c r="N67"/>
  <c r="Q69"/>
  <c r="Q75"/>
  <c r="P69"/>
  <c r="P75"/>
  <c r="O69"/>
  <c r="O75"/>
  <c r="N69"/>
  <c r="N75"/>
  <c r="J67"/>
  <c r="M69"/>
  <c r="M75"/>
  <c r="L69"/>
  <c r="L75"/>
  <c r="K69"/>
  <c r="K75"/>
  <c r="J69"/>
  <c r="J75"/>
  <c r="F67"/>
  <c r="I69"/>
  <c r="I75"/>
  <c r="H69"/>
  <c r="H75"/>
  <c r="G69"/>
  <c r="G75"/>
  <c r="F69"/>
  <c r="F75"/>
  <c r="B67"/>
  <c r="E69"/>
  <c r="E75"/>
  <c r="D69"/>
  <c r="D75"/>
  <c r="C69"/>
  <c r="C75"/>
  <c r="B69"/>
  <c r="B75"/>
  <c r="E31"/>
  <c r="E25"/>
  <c r="E18"/>
  <c r="E11"/>
  <c r="E4"/>
  <c r="C49"/>
  <c r="C50"/>
  <c r="C51"/>
  <c r="C48"/>
  <c r="D51"/>
  <c r="E51"/>
  <c r="D50"/>
  <c r="E50"/>
  <c r="D49"/>
  <c r="E49"/>
  <c r="D48"/>
  <c r="E48"/>
  <c r="C46"/>
  <c r="D46"/>
  <c r="E46"/>
  <c r="C45"/>
  <c r="D45"/>
  <c r="E45"/>
  <c r="C44"/>
  <c r="D44"/>
  <c r="E44"/>
  <c r="C43"/>
  <c r="D43"/>
  <c r="E43"/>
  <c r="C35"/>
  <c r="D35"/>
  <c r="E35"/>
  <c r="C34"/>
  <c r="D34"/>
  <c r="E34"/>
  <c r="C33"/>
  <c r="D33"/>
  <c r="E33"/>
  <c r="C32"/>
  <c r="D32"/>
  <c r="E32"/>
  <c r="C29"/>
  <c r="D29"/>
  <c r="E29"/>
  <c r="C28"/>
  <c r="D28"/>
  <c r="E28"/>
  <c r="C27"/>
  <c r="D27"/>
  <c r="E27"/>
  <c r="C26"/>
  <c r="D26"/>
  <c r="E26"/>
  <c r="C23"/>
  <c r="D23"/>
  <c r="E23"/>
  <c r="C22"/>
  <c r="D22"/>
  <c r="E22"/>
  <c r="C21"/>
  <c r="D21"/>
  <c r="E21"/>
  <c r="C20"/>
  <c r="D20"/>
  <c r="E20"/>
  <c r="C16"/>
  <c r="D16"/>
  <c r="E16"/>
  <c r="C15"/>
  <c r="D15"/>
  <c r="E15"/>
  <c r="C14"/>
  <c r="D14"/>
  <c r="E14"/>
  <c r="C13"/>
  <c r="D13"/>
  <c r="E13"/>
  <c r="C7"/>
  <c r="D7"/>
  <c r="E7"/>
  <c r="C8"/>
  <c r="D8"/>
  <c r="E8"/>
  <c r="C9"/>
  <c r="D9"/>
  <c r="E9"/>
  <c r="C6"/>
  <c r="D6"/>
  <c r="E6"/>
  <c r="K45" i="2"/>
  <c r="I45"/>
  <c r="H45"/>
  <c r="J45"/>
  <c r="L46"/>
  <c r="M46"/>
  <c r="L45"/>
  <c r="M45"/>
  <c r="B57"/>
  <c r="C57"/>
  <c r="D57"/>
  <c r="E57"/>
  <c r="F57"/>
  <c r="G57"/>
  <c r="H57"/>
  <c r="I57"/>
  <c r="J57"/>
  <c r="K57"/>
  <c r="L57"/>
  <c r="M57"/>
  <c r="B58"/>
  <c r="C58"/>
  <c r="D58"/>
  <c r="E58"/>
  <c r="F58"/>
  <c r="G58"/>
  <c r="H58"/>
  <c r="I58"/>
  <c r="J58"/>
  <c r="K58"/>
  <c r="L58"/>
  <c r="M58"/>
  <c r="B59"/>
  <c r="C59"/>
  <c r="D59"/>
  <c r="E59"/>
  <c r="F59"/>
  <c r="G59"/>
  <c r="H59"/>
  <c r="I59"/>
  <c r="J59"/>
  <c r="K59"/>
  <c r="L59"/>
  <c r="M59"/>
  <c r="B60"/>
  <c r="C60"/>
  <c r="D60"/>
  <c r="E60"/>
  <c r="F60"/>
  <c r="G60"/>
  <c r="H60"/>
  <c r="I60"/>
  <c r="J60"/>
  <c r="K60"/>
  <c r="L60"/>
  <c r="M60"/>
  <c r="B51"/>
  <c r="C51"/>
  <c r="D51"/>
  <c r="E51"/>
  <c r="F51"/>
  <c r="G51"/>
  <c r="H51"/>
  <c r="I51"/>
  <c r="J51"/>
  <c r="K51"/>
  <c r="L51"/>
  <c r="M51"/>
  <c r="B52"/>
  <c r="C52"/>
  <c r="D52"/>
  <c r="E52"/>
  <c r="F52"/>
  <c r="G52"/>
  <c r="H52"/>
  <c r="I52"/>
  <c r="J52"/>
  <c r="K52"/>
  <c r="L52"/>
  <c r="M52"/>
  <c r="B53"/>
  <c r="C53"/>
  <c r="D53"/>
  <c r="E53"/>
  <c r="F53"/>
  <c r="G53"/>
  <c r="H53"/>
  <c r="I53"/>
  <c r="J53"/>
  <c r="K53"/>
  <c r="L53"/>
  <c r="M53"/>
  <c r="B54"/>
  <c r="C54"/>
  <c r="D54"/>
  <c r="E54"/>
  <c r="F54"/>
  <c r="G54"/>
  <c r="H54"/>
  <c r="I54"/>
  <c r="J54"/>
  <c r="K54"/>
  <c r="L54"/>
  <c r="M54"/>
  <c r="J42"/>
  <c r="M44"/>
  <c r="M50"/>
  <c r="L44"/>
  <c r="L50"/>
  <c r="K44"/>
  <c r="K50"/>
  <c r="J44"/>
  <c r="J50"/>
  <c r="F42"/>
  <c r="I44"/>
  <c r="I50"/>
  <c r="H44"/>
  <c r="H50"/>
  <c r="G44"/>
  <c r="G50"/>
  <c r="F44"/>
  <c r="F50"/>
  <c r="B42"/>
  <c r="E44"/>
  <c r="E50"/>
  <c r="D44"/>
  <c r="D50"/>
  <c r="C44"/>
  <c r="C50"/>
  <c r="B44"/>
  <c r="B50"/>
  <c r="C12"/>
  <c r="D12"/>
  <c r="E12"/>
  <c r="C11"/>
  <c r="D11"/>
  <c r="E11"/>
  <c r="C10"/>
  <c r="D10"/>
  <c r="E10"/>
  <c r="C9"/>
  <c r="D9"/>
  <c r="E9"/>
  <c r="C4"/>
  <c r="C5"/>
  <c r="C6"/>
  <c r="C3"/>
  <c r="D6"/>
  <c r="E6"/>
  <c r="D5"/>
  <c r="E5"/>
  <c r="D4"/>
  <c r="E4"/>
  <c r="D3"/>
  <c r="E3"/>
</calcChain>
</file>

<file path=xl/sharedStrings.xml><?xml version="1.0" encoding="utf-8"?>
<sst xmlns="http://schemas.openxmlformats.org/spreadsheetml/2006/main" count="53" uniqueCount="26">
  <si>
    <t>-nvar 8 -nstep 10000 -nx 25 -ny 25 -nz 25</t>
  </si>
  <si>
    <t>time</t>
  </si>
  <si>
    <t>-nvar 16 -nstep 10000 -nx 25 -ny 25 -nz 25</t>
  </si>
  <si>
    <t>-nvar 32 -nstep 5000 -nx 25 -ny 25 -nz 25</t>
  </si>
  <si>
    <t>-nvar 32 -nstep 5000 -nx 25 -ny 25 -nz 12</t>
  </si>
  <si>
    <t>-nvar 64 -nstep 5000 -nx 25 -ny 25 -nz 6</t>
  </si>
  <si>
    <t>normalized</t>
    <phoneticPr fontId="2" type="noConversion"/>
  </si>
  <si>
    <t>speedup</t>
    <phoneticPr fontId="2" type="noConversion"/>
  </si>
  <si>
    <t>efficiency</t>
    <phoneticPr fontId="2" type="noConversion"/>
  </si>
  <si>
    <t>Results on my desktop: 2x2 intel machine</t>
    <phoneticPr fontId="2" type="noConversion"/>
  </si>
  <si>
    <t>Results for UBLAS linear algebra kernel</t>
  </si>
  <si>
    <t>-nvar 32 -nstep 5000 -nx 25 -ny 25 -nz 12</t>
    <phoneticPr fontId="2" type="noConversion"/>
  </si>
  <si>
    <t>old ublas (without noalias())</t>
    <phoneticPr fontId="2" type="noConversion"/>
  </si>
  <si>
    <t>-nvar 8 -nstep 10 -nx 50 -ny 50 -nz 20</t>
    <phoneticPr fontId="2" type="noConversion"/>
  </si>
  <si>
    <t>-nvar 8 -nstep 10 -nx 50 -ny 50 -nz 10</t>
    <phoneticPr fontId="2" type="noConversion"/>
  </si>
  <si>
    <t># points</t>
    <phoneticPr fontId="2" type="noConversion"/>
  </si>
  <si>
    <t>nvar</t>
    <phoneticPr fontId="2" type="noConversion"/>
  </si>
  <si>
    <t>nstep</t>
    <phoneticPr fontId="2" type="noConversion"/>
  </si>
  <si>
    <t>nx*ny*nz</t>
    <phoneticPr fontId="2" type="noConversion"/>
  </si>
  <si>
    <t>DOF</t>
    <phoneticPr fontId="2" type="noConversion"/>
  </si>
  <si>
    <t>UPDRAFT Results</t>
    <phoneticPr fontId="2" type="noConversion"/>
  </si>
  <si>
    <t># pde</t>
    <phoneticPr fontId="2" type="noConversion"/>
  </si>
  <si>
    <t>UPDRAFT Results</t>
    <phoneticPr fontId="2" type="noConversion"/>
  </si>
  <si>
    <t>Speedup</t>
    <phoneticPr fontId="2" type="noConversion"/>
  </si>
  <si>
    <t>efficiency</t>
    <phoneticPr fontId="2" type="noConversion"/>
  </si>
  <si>
    <t>efficiency</t>
    <phoneticPr fontId="2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</si>
</sst>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E+00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quotePrefix="1"/>
    <xf numFmtId="0" fontId="0" fillId="0" borderId="0" xfId="0"/>
    <xf numFmtId="0" fontId="0" fillId="4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0" xfId="0" applyFill="1" applyBorder="1"/>
    <xf numFmtId="0" fontId="0" fillId="2" borderId="1" xfId="0" applyFill="1" applyBorder="1"/>
    <xf numFmtId="0" fontId="0" fillId="3" borderId="0" xfId="0" applyFill="1" applyBorder="1"/>
    <xf numFmtId="165" fontId="0" fillId="2" borderId="2" xfId="0" applyNumberFormat="1" applyFill="1" applyBorder="1"/>
    <xf numFmtId="165" fontId="0" fillId="0" borderId="3" xfId="0" applyNumberFormat="1" applyBorder="1"/>
    <xf numFmtId="165" fontId="0" fillId="3" borderId="3" xfId="0" applyNumberFormat="1" applyFill="1" applyBorder="1"/>
    <xf numFmtId="165" fontId="0" fillId="3" borderId="2" xfId="0" applyNumberFormat="1" applyFill="1" applyBorder="1"/>
    <xf numFmtId="165" fontId="0" fillId="4" borderId="3" xfId="0" applyNumberFormat="1" applyFill="1" applyBorder="1"/>
    <xf numFmtId="165" fontId="0" fillId="4" borderId="2" xfId="0" applyNumberFormat="1" applyFill="1" applyBorder="1"/>
    <xf numFmtId="165" fontId="0" fillId="0" borderId="0" xfId="0" applyNumberFormat="1"/>
    <xf numFmtId="165" fontId="0" fillId="0" borderId="0" xfId="0" applyNumberFormat="1"/>
    <xf numFmtId="0" fontId="0" fillId="0" borderId="1" xfId="0" applyBorder="1"/>
    <xf numFmtId="165" fontId="1" fillId="0" borderId="1" xfId="0" applyNumberFormat="1" applyFont="1" applyBorder="1"/>
    <xf numFmtId="0" fontId="0" fillId="0" borderId="1" xfId="0" quotePrefix="1" applyBorder="1"/>
    <xf numFmtId="0" fontId="0" fillId="0" borderId="0" xfId="0" applyFill="1" applyBorder="1"/>
    <xf numFmtId="0" fontId="0" fillId="0" borderId="0" xfId="0"/>
    <xf numFmtId="11" fontId="0" fillId="0" borderId="1" xfId="0" applyNumberFormat="1" applyBorder="1"/>
    <xf numFmtId="11" fontId="0" fillId="0" borderId="0" xfId="0" applyNumberFormat="1"/>
    <xf numFmtId="0" fontId="0" fillId="0" borderId="7" xfId="0" applyBorder="1"/>
    <xf numFmtId="0" fontId="0" fillId="0" borderId="8" xfId="0" applyBorder="1"/>
    <xf numFmtId="165" fontId="0" fillId="0" borderId="2" xfId="0" applyNumberFormat="1" applyBorder="1"/>
    <xf numFmtId="165" fontId="0" fillId="0" borderId="11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4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73047025371829"/>
          <c:y val="0.0675925925925926"/>
          <c:w val="0.786293307086614"/>
          <c:h val="0.713707713619131"/>
        </c:manualLayout>
      </c:layout>
      <c:scatterChart>
        <c:scatterStyle val="lineMarker"/>
        <c:ser>
          <c:idx val="0"/>
          <c:order val="0"/>
          <c:xVal>
            <c:numRef>
              <c:f>DiffusionTest!$A$6:$A$9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DiffusionTest!$E$6:$E$9</c:f>
              <c:numCache>
                <c:formatCode>0.000</c:formatCode>
                <c:ptCount val="4"/>
                <c:pt idx="0">
                  <c:v>1.0</c:v>
                </c:pt>
                <c:pt idx="1">
                  <c:v>0.94888178913738</c:v>
                </c:pt>
                <c:pt idx="2">
                  <c:v>0.798387096774193</c:v>
                </c:pt>
                <c:pt idx="3">
                  <c:v>0.66</c:v>
                </c:pt>
              </c:numCache>
            </c:numRef>
          </c:yVal>
        </c:ser>
        <c:ser>
          <c:idx val="1"/>
          <c:order val="1"/>
          <c:xVal>
            <c:numRef>
              <c:f>DiffusionTest!$A$13:$A$16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DiffusionTest!$E$13:$E$16</c:f>
              <c:numCache>
                <c:formatCode>0.000</c:formatCode>
                <c:ptCount val="4"/>
                <c:pt idx="0">
                  <c:v>1.0</c:v>
                </c:pt>
                <c:pt idx="1">
                  <c:v>0.943251533742331</c:v>
                </c:pt>
                <c:pt idx="2">
                  <c:v>0.86864406779661</c:v>
                </c:pt>
                <c:pt idx="3">
                  <c:v>0.716783216783217</c:v>
                </c:pt>
              </c:numCache>
            </c:numRef>
          </c:yVal>
        </c:ser>
        <c:ser>
          <c:idx val="2"/>
          <c:order val="2"/>
          <c:xVal>
            <c:numRef>
              <c:f>DiffusionTest!$A$20:$A$23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DiffusionTest!$E$20:$E$23</c:f>
              <c:numCache>
                <c:formatCode>0.000</c:formatCode>
                <c:ptCount val="4"/>
                <c:pt idx="0">
                  <c:v>1.0</c:v>
                </c:pt>
                <c:pt idx="1">
                  <c:v>0.944915254237288</c:v>
                </c:pt>
                <c:pt idx="2">
                  <c:v>0.769496204278813</c:v>
                </c:pt>
                <c:pt idx="3">
                  <c:v>0.636415525114155</c:v>
                </c:pt>
              </c:numCache>
            </c:numRef>
          </c:yVal>
        </c:ser>
        <c:ser>
          <c:idx val="3"/>
          <c:order val="3"/>
          <c:xVal>
            <c:numRef>
              <c:f>DiffusionTest!$A$26:$A$29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DiffusionTest!$E$26:$E$29</c:f>
              <c:numCache>
                <c:formatCode>0.000</c:formatCode>
                <c:ptCount val="4"/>
                <c:pt idx="0">
                  <c:v>1.0</c:v>
                </c:pt>
                <c:pt idx="1">
                  <c:v>0.939349112426036</c:v>
                </c:pt>
                <c:pt idx="2">
                  <c:v>0.908440629470672</c:v>
                </c:pt>
                <c:pt idx="3">
                  <c:v>0.789800995024875</c:v>
                </c:pt>
              </c:numCache>
            </c:numRef>
          </c:yVal>
        </c:ser>
        <c:ser>
          <c:idx val="4"/>
          <c:order val="4"/>
          <c:xVal>
            <c:numRef>
              <c:f>DiffusionTest!$A$32:$A$35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DiffusionTest!$E$32:$E$35</c:f>
              <c:numCache>
                <c:formatCode>0.000</c:formatCode>
                <c:ptCount val="4"/>
                <c:pt idx="0">
                  <c:v>1.0</c:v>
                </c:pt>
                <c:pt idx="1">
                  <c:v>0.961647727272727</c:v>
                </c:pt>
                <c:pt idx="2">
                  <c:v>0.820606060606061</c:v>
                </c:pt>
                <c:pt idx="3">
                  <c:v>0.711134453781513</c:v>
                </c:pt>
              </c:numCache>
            </c:numRef>
          </c:yVal>
        </c:ser>
        <c:axId val="503567944"/>
        <c:axId val="503577208"/>
      </c:scatterChart>
      <c:valAx>
        <c:axId val="503567944"/>
        <c:scaling>
          <c:orientation val="minMax"/>
          <c:max val="4.0"/>
          <c:min val="1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Cores</a:t>
                </a:r>
              </a:p>
            </c:rich>
          </c:tx>
        </c:title>
        <c:numFmt formatCode="General" sourceLinked="1"/>
        <c:tickLblPos val="nextTo"/>
        <c:crossAx val="503577208"/>
        <c:crosses val="autoZero"/>
        <c:crossBetween val="midCat"/>
        <c:majorUnit val="1.0"/>
        <c:minorUnit val="0.2"/>
      </c:valAx>
      <c:valAx>
        <c:axId val="503577208"/>
        <c:scaling>
          <c:orientation val="minMax"/>
          <c:max val="1.0"/>
          <c:min val="0.5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Parallel Efficiency</a:t>
                </a:r>
              </a:p>
            </c:rich>
          </c:tx>
        </c:title>
        <c:numFmt formatCode="0.0" sourceLinked="0"/>
        <c:tickLblPos val="nextTo"/>
        <c:crossAx val="503567944"/>
        <c:crosses val="autoZero"/>
        <c:crossBetween val="midCat"/>
        <c:minorUnit val="0.02"/>
      </c:valAx>
    </c:plotArea>
    <c:plotVisOnly val="1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5915813648294"/>
          <c:y val="0.0675925925925926"/>
          <c:w val="0.800182195975503"/>
          <c:h val="0.713707713619131"/>
        </c:manualLayout>
      </c:layout>
      <c:scatterChart>
        <c:scatterStyle val="lineMarker"/>
        <c:ser>
          <c:idx val="0"/>
          <c:order val="0"/>
          <c:xVal>
            <c:numRef>
              <c:f>DiffusionTest!$A$6:$A$9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DiffusionTest!$D$6:$D$9</c:f>
              <c:numCache>
                <c:formatCode>0.000</c:formatCode>
                <c:ptCount val="4"/>
                <c:pt idx="0">
                  <c:v>1.0</c:v>
                </c:pt>
                <c:pt idx="1">
                  <c:v>1.89776357827476</c:v>
                </c:pt>
                <c:pt idx="2">
                  <c:v>2.39516129032258</c:v>
                </c:pt>
                <c:pt idx="3">
                  <c:v>2.64</c:v>
                </c:pt>
              </c:numCache>
            </c:numRef>
          </c:yVal>
        </c:ser>
        <c:ser>
          <c:idx val="1"/>
          <c:order val="1"/>
          <c:xVal>
            <c:numRef>
              <c:f>DiffusionTest!$A$13:$A$16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DiffusionTest!$D$13:$D$16</c:f>
              <c:numCache>
                <c:formatCode>0.000</c:formatCode>
                <c:ptCount val="4"/>
                <c:pt idx="0">
                  <c:v>1.0</c:v>
                </c:pt>
                <c:pt idx="1">
                  <c:v>1.886503067484662</c:v>
                </c:pt>
                <c:pt idx="2">
                  <c:v>2.60593220338983</c:v>
                </c:pt>
                <c:pt idx="3">
                  <c:v>2.867132867132867</c:v>
                </c:pt>
              </c:numCache>
            </c:numRef>
          </c:yVal>
        </c:ser>
        <c:ser>
          <c:idx val="2"/>
          <c:order val="2"/>
          <c:xVal>
            <c:numRef>
              <c:f>DiffusionTest!$A$20:$A$23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DiffusionTest!$D$20:$D$23</c:f>
              <c:numCache>
                <c:formatCode>0.000</c:formatCode>
                <c:ptCount val="4"/>
                <c:pt idx="0">
                  <c:v>1.0</c:v>
                </c:pt>
                <c:pt idx="1">
                  <c:v>1.889830508474576</c:v>
                </c:pt>
                <c:pt idx="2">
                  <c:v>2.308488612836439</c:v>
                </c:pt>
                <c:pt idx="3">
                  <c:v>2.545662100456621</c:v>
                </c:pt>
              </c:numCache>
            </c:numRef>
          </c:yVal>
        </c:ser>
        <c:ser>
          <c:idx val="3"/>
          <c:order val="3"/>
          <c:xVal>
            <c:numRef>
              <c:f>DiffusionTest!$A$26:$A$29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DiffusionTest!$D$26:$D$29</c:f>
              <c:numCache>
                <c:formatCode>0.000</c:formatCode>
                <c:ptCount val="4"/>
                <c:pt idx="0">
                  <c:v>1.0</c:v>
                </c:pt>
                <c:pt idx="1">
                  <c:v>1.878698224852071</c:v>
                </c:pt>
                <c:pt idx="2">
                  <c:v>2.725321888412016</c:v>
                </c:pt>
                <c:pt idx="3">
                  <c:v>3.159203980099502</c:v>
                </c:pt>
              </c:numCache>
            </c:numRef>
          </c:yVal>
        </c:ser>
        <c:ser>
          <c:idx val="4"/>
          <c:order val="4"/>
          <c:xVal>
            <c:numRef>
              <c:f>DiffusionTest!$A$32:$A$35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DiffusionTest!$D$32:$D$35</c:f>
              <c:numCache>
                <c:formatCode>0.000</c:formatCode>
                <c:ptCount val="4"/>
                <c:pt idx="0">
                  <c:v>1.0</c:v>
                </c:pt>
                <c:pt idx="1">
                  <c:v>1.923295454545454</c:v>
                </c:pt>
                <c:pt idx="2">
                  <c:v>2.461818181818182</c:v>
                </c:pt>
                <c:pt idx="3">
                  <c:v>2.84453781512605</c:v>
                </c:pt>
              </c:numCache>
            </c:numRef>
          </c:yVal>
        </c:ser>
        <c:ser>
          <c:idx val="5"/>
          <c:order val="5"/>
          <c:tx>
            <c:v>ideal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DiffusionTest!$A$6:$A$9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DiffusionTest!$G$6:$G$9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yVal>
        </c:ser>
        <c:ser>
          <c:idx val="6"/>
          <c:order val="6"/>
          <c:tx>
            <c:v>UBLAS</c:v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DiffusionTest!$A$43:$A$46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DiffusionTest!$D$43:$D$46</c:f>
              <c:numCache>
                <c:formatCode>0.000</c:formatCode>
                <c:ptCount val="4"/>
                <c:pt idx="0">
                  <c:v>1.0</c:v>
                </c:pt>
                <c:pt idx="1">
                  <c:v>1.931122448979592</c:v>
                </c:pt>
                <c:pt idx="2">
                  <c:v>2.557432432432432</c:v>
                </c:pt>
                <c:pt idx="3">
                  <c:v>3.064777327935223</c:v>
                </c:pt>
              </c:numCache>
            </c:numRef>
          </c:yVal>
        </c:ser>
        <c:axId val="503662680"/>
        <c:axId val="503671288"/>
      </c:scatterChart>
      <c:valAx>
        <c:axId val="503662680"/>
        <c:scaling>
          <c:orientation val="minMax"/>
          <c:max val="4.0"/>
          <c:min val="1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Cores</a:t>
                </a:r>
              </a:p>
            </c:rich>
          </c:tx>
        </c:title>
        <c:numFmt formatCode="General" sourceLinked="1"/>
        <c:tickLblPos val="nextTo"/>
        <c:crossAx val="503671288"/>
        <c:crosses val="autoZero"/>
        <c:crossBetween val="midCat"/>
        <c:majorUnit val="1.0"/>
        <c:minorUnit val="0.2"/>
      </c:valAx>
      <c:valAx>
        <c:axId val="503671288"/>
        <c:scaling>
          <c:orientation val="minMax"/>
          <c:max val="4.0"/>
          <c:min val="1.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Speedup</a:t>
                </a:r>
              </a:p>
            </c:rich>
          </c:tx>
        </c:title>
        <c:numFmt formatCode="0.0" sourceLinked="0"/>
        <c:tickLblPos val="nextTo"/>
        <c:crossAx val="503662680"/>
        <c:crosses val="autoZero"/>
        <c:crossBetween val="midCat"/>
        <c:minorUnit val="0.02"/>
      </c:valAx>
    </c:plotArea>
    <c:plotVisOnly val="1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5974388052037"/>
          <c:y val="0.038805676342696"/>
          <c:w val="0.815853945566587"/>
          <c:h val="0.813486602420966"/>
        </c:manualLayout>
      </c:layout>
      <c:scatterChart>
        <c:scatterStyle val="lineMarker"/>
        <c:ser>
          <c:idx val="0"/>
          <c:order val="0"/>
          <c:xVal>
            <c:numRef>
              <c:f>DiffusionTest!$A$76:$A$79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DiffusionTest!$B$76:$B$79</c:f>
              <c:numCache>
                <c:formatCode>0.00E+00</c:formatCode>
                <c:ptCount val="4"/>
                <c:pt idx="0">
                  <c:v>1.0</c:v>
                </c:pt>
                <c:pt idx="1">
                  <c:v>0.818318318318318</c:v>
                </c:pt>
                <c:pt idx="2">
                  <c:v>0.661407766990291</c:v>
                </c:pt>
                <c:pt idx="3">
                  <c:v>0.486607142857143</c:v>
                </c:pt>
              </c:numCache>
            </c:numRef>
          </c:yVal>
        </c:ser>
        <c:ser>
          <c:idx val="1"/>
          <c:order val="1"/>
          <c:xVal>
            <c:numRef>
              <c:f>DiffusionTest!$A$76:$A$79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DiffusionTest!$C$76:$C$79</c:f>
              <c:numCache>
                <c:formatCode>0.00E+00</c:formatCode>
                <c:ptCount val="4"/>
                <c:pt idx="0">
                  <c:v>1.0</c:v>
                </c:pt>
                <c:pt idx="1">
                  <c:v>0.914</c:v>
                </c:pt>
                <c:pt idx="2">
                  <c:v>0.7140625</c:v>
                </c:pt>
                <c:pt idx="3">
                  <c:v>0.429511278195489</c:v>
                </c:pt>
              </c:numCache>
            </c:numRef>
          </c:yVal>
        </c:ser>
        <c:ser>
          <c:idx val="2"/>
          <c:order val="2"/>
          <c:xVal>
            <c:numRef>
              <c:f>DiffusionTest!$A$76:$A$79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DiffusionTest!$D$76:$D$79</c:f>
              <c:numCache>
                <c:formatCode>0.00E+00</c:formatCode>
                <c:ptCount val="4"/>
                <c:pt idx="0">
                  <c:v>1.0</c:v>
                </c:pt>
                <c:pt idx="1">
                  <c:v>0.945378151260504</c:v>
                </c:pt>
                <c:pt idx="2">
                  <c:v>0.767918088737201</c:v>
                </c:pt>
                <c:pt idx="3">
                  <c:v>0.446428571428571</c:v>
                </c:pt>
              </c:numCache>
            </c:numRef>
          </c:yVal>
        </c:ser>
        <c:ser>
          <c:idx val="3"/>
          <c:order val="3"/>
          <c:xVal>
            <c:numRef>
              <c:f>DiffusionTest!$A$76:$A$79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DiffusionTest!$E$76:$E$79</c:f>
              <c:numCache>
                <c:formatCode>0.00E+00</c:formatCode>
                <c:ptCount val="4"/>
                <c:pt idx="0">
                  <c:v>1.0</c:v>
                </c:pt>
                <c:pt idx="1">
                  <c:v>0.861428571428571</c:v>
                </c:pt>
                <c:pt idx="2">
                  <c:v>0.801861702127659</c:v>
                </c:pt>
                <c:pt idx="3">
                  <c:v>0.477056962025316</c:v>
                </c:pt>
              </c:numCache>
            </c:numRef>
          </c:yVal>
        </c:ser>
        <c:ser>
          <c:idx val="8"/>
          <c:order val="4"/>
          <c:xVal>
            <c:numRef>
              <c:f>DiffusionTest!$A$76:$A$79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DiffusionTest!$J$76:$J$79</c:f>
              <c:numCache>
                <c:formatCode>0.00E+00</c:formatCode>
                <c:ptCount val="4"/>
                <c:pt idx="0">
                  <c:v>1.0</c:v>
                </c:pt>
                <c:pt idx="1">
                  <c:v>0.826885880077369</c:v>
                </c:pt>
                <c:pt idx="2">
                  <c:v>0.655674846625767</c:v>
                </c:pt>
                <c:pt idx="3">
                  <c:v>0.481418918918919</c:v>
                </c:pt>
              </c:numCache>
            </c:numRef>
          </c:yVal>
        </c:ser>
        <c:ser>
          <c:idx val="9"/>
          <c:order val="5"/>
          <c:xVal>
            <c:numRef>
              <c:f>DiffusionTest!$A$76:$A$79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DiffusionTest!$K$76:$K$79</c:f>
              <c:numCache>
                <c:formatCode>0.00E+00</c:formatCode>
                <c:ptCount val="4"/>
                <c:pt idx="0">
                  <c:v>1.0</c:v>
                </c:pt>
                <c:pt idx="1">
                  <c:v>0.912121212121212</c:v>
                </c:pt>
                <c:pt idx="2">
                  <c:v>0.713270142180095</c:v>
                </c:pt>
                <c:pt idx="3">
                  <c:v>0.43</c:v>
                </c:pt>
              </c:numCache>
            </c:numRef>
          </c:yVal>
        </c:ser>
        <c:ser>
          <c:idx val="10"/>
          <c:order val="6"/>
          <c:xVal>
            <c:numRef>
              <c:f>DiffusionTest!$A$76:$A$79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DiffusionTest!$L$76:$L$79</c:f>
              <c:numCache>
                <c:formatCode>0.00E+00</c:formatCode>
                <c:ptCount val="4"/>
                <c:pt idx="0">
                  <c:v>1.0</c:v>
                </c:pt>
                <c:pt idx="1">
                  <c:v>0.876470588235294</c:v>
                </c:pt>
                <c:pt idx="2">
                  <c:v>0.764102564102564</c:v>
                </c:pt>
                <c:pt idx="3">
                  <c:v>0.446107784431138</c:v>
                </c:pt>
              </c:numCache>
            </c:numRef>
          </c:yVal>
        </c:ser>
        <c:ser>
          <c:idx val="11"/>
          <c:order val="7"/>
          <c:xVal>
            <c:numRef>
              <c:f>DiffusionTest!$A$76:$A$79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DiffusionTest!$M$76:$M$79</c:f>
              <c:numCache>
                <c:formatCode>0.00E+00</c:formatCode>
                <c:ptCount val="4"/>
                <c:pt idx="0">
                  <c:v>1.0</c:v>
                </c:pt>
                <c:pt idx="1">
                  <c:v>0.901515151515151</c:v>
                </c:pt>
                <c:pt idx="2">
                  <c:v>0.795454545454545</c:v>
                </c:pt>
                <c:pt idx="3">
                  <c:v>0.470727848101266</c:v>
                </c:pt>
              </c:numCache>
            </c:numRef>
          </c:yVal>
        </c:ser>
        <c:ser>
          <c:idx val="12"/>
          <c:order val="8"/>
          <c:xVal>
            <c:numRef>
              <c:f>DiffusionTest!$A$76:$A$79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DiffusionTest!$N$76:$N$79</c:f>
              <c:numCache>
                <c:formatCode>0.00E+00</c:formatCode>
                <c:ptCount val="4"/>
                <c:pt idx="0">
                  <c:v>1.0</c:v>
                </c:pt>
                <c:pt idx="1">
                  <c:v>0.883838383838384</c:v>
                </c:pt>
                <c:pt idx="2">
                  <c:v>0.605536332179931</c:v>
                </c:pt>
                <c:pt idx="3">
                  <c:v>0.416666666666667</c:v>
                </c:pt>
              </c:numCache>
            </c:numRef>
          </c:yVal>
        </c:ser>
        <c:ser>
          <c:idx val="13"/>
          <c:order val="9"/>
          <c:xVal>
            <c:numRef>
              <c:f>DiffusionTest!$A$76:$A$79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DiffusionTest!$O$76:$O$79</c:f>
              <c:numCache>
                <c:formatCode>0.00E+00</c:formatCode>
                <c:ptCount val="4"/>
                <c:pt idx="0">
                  <c:v>1.0</c:v>
                </c:pt>
                <c:pt idx="1">
                  <c:v>0.917741935483871</c:v>
                </c:pt>
                <c:pt idx="2">
                  <c:v>0.615800865800866</c:v>
                </c:pt>
                <c:pt idx="3">
                  <c:v>0.392955801104972</c:v>
                </c:pt>
              </c:numCache>
            </c:numRef>
          </c:yVal>
        </c:ser>
        <c:ser>
          <c:idx val="14"/>
          <c:order val="10"/>
          <c:xVal>
            <c:numRef>
              <c:f>DiffusionTest!$A$76:$A$79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DiffusionTest!$P$76:$P$79</c:f>
              <c:numCache>
                <c:formatCode>0.00E+00</c:formatCode>
                <c:ptCount val="4"/>
                <c:pt idx="0">
                  <c:v>1.0</c:v>
                </c:pt>
                <c:pt idx="1">
                  <c:v>0.900311526479751</c:v>
                </c:pt>
                <c:pt idx="2">
                  <c:v>0.631004366812227</c:v>
                </c:pt>
                <c:pt idx="3">
                  <c:v>0.399171270718232</c:v>
                </c:pt>
              </c:numCache>
            </c:numRef>
          </c:yVal>
        </c:ser>
        <c:ser>
          <c:idx val="15"/>
          <c:order val="11"/>
          <c:xVal>
            <c:numRef>
              <c:f>DiffusionTest!$A$76:$A$79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DiffusionTest!$Q$76:$Q$79</c:f>
              <c:numCache>
                <c:formatCode>0.00E+00</c:formatCode>
                <c:ptCount val="4"/>
                <c:pt idx="0">
                  <c:v>1.0</c:v>
                </c:pt>
                <c:pt idx="1">
                  <c:v>0.887892376681614</c:v>
                </c:pt>
                <c:pt idx="2">
                  <c:v>0.622641509433962</c:v>
                </c:pt>
                <c:pt idx="3">
                  <c:v>0.383720930232558</c:v>
                </c:pt>
              </c:numCache>
            </c:numRef>
          </c:yVal>
        </c:ser>
        <c:axId val="449153512"/>
        <c:axId val="449162648"/>
      </c:scatterChart>
      <c:valAx>
        <c:axId val="449153512"/>
        <c:scaling>
          <c:orientation val="minMax"/>
          <c:max val="8.0"/>
          <c:min val="1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Cores</a:t>
                </a:r>
              </a:p>
            </c:rich>
          </c:tx>
          <c:layout/>
        </c:title>
        <c:numFmt formatCode="General" sourceLinked="1"/>
        <c:tickLblPos val="nextTo"/>
        <c:crossAx val="449162648"/>
        <c:crosses val="autoZero"/>
        <c:crossBetween val="midCat"/>
      </c:valAx>
      <c:valAx>
        <c:axId val="449162648"/>
        <c:scaling>
          <c:orientation val="minMax"/>
          <c:max val="1.0"/>
          <c:min val="0.4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Parallel Efficiency</a:t>
                </a:r>
              </a:p>
            </c:rich>
          </c:tx>
          <c:layout/>
        </c:title>
        <c:numFmt formatCode="0.0" sourceLinked="0"/>
        <c:tickLblPos val="nextTo"/>
        <c:crossAx val="449153512"/>
        <c:crosses val="autoZero"/>
        <c:crossBetween val="midCat"/>
      </c:valAx>
    </c:plotArea>
    <c:plotVisOnly val="1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30823544597909"/>
          <c:y val="0.0352056976024064"/>
          <c:w val="0.844640936276408"/>
          <c:h val="0.794061458609808"/>
        </c:manualLayout>
      </c:layout>
      <c:scatterChart>
        <c:scatterStyle val="lineMarker"/>
        <c:ser>
          <c:idx val="0"/>
          <c:order val="0"/>
          <c:xVal>
            <c:numRef>
              <c:f>DiffusionTest!$A$82:$A$85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DiffusionTest!$B$82:$B$85</c:f>
              <c:numCache>
                <c:formatCode>0.00E+00</c:formatCode>
                <c:ptCount val="4"/>
                <c:pt idx="0">
                  <c:v>1.0</c:v>
                </c:pt>
                <c:pt idx="1">
                  <c:v>1.636636636636637</c:v>
                </c:pt>
                <c:pt idx="2">
                  <c:v>2.645631067961165</c:v>
                </c:pt>
                <c:pt idx="3">
                  <c:v>3.892857142857143</c:v>
                </c:pt>
              </c:numCache>
            </c:numRef>
          </c:yVal>
        </c:ser>
        <c:ser>
          <c:idx val="1"/>
          <c:order val="1"/>
          <c:xVal>
            <c:numRef>
              <c:f>DiffusionTest!$A$82:$A$85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DiffusionTest!$C$82:$C$85</c:f>
              <c:numCache>
                <c:formatCode>0.00E+00</c:formatCode>
                <c:ptCount val="4"/>
                <c:pt idx="0">
                  <c:v>1.0</c:v>
                </c:pt>
                <c:pt idx="1">
                  <c:v>1.828</c:v>
                </c:pt>
                <c:pt idx="2">
                  <c:v>2.85625</c:v>
                </c:pt>
                <c:pt idx="3">
                  <c:v>3.43609022556391</c:v>
                </c:pt>
              </c:numCache>
            </c:numRef>
          </c:yVal>
        </c:ser>
        <c:ser>
          <c:idx val="2"/>
          <c:order val="2"/>
          <c:xVal>
            <c:numRef>
              <c:f>DiffusionTest!$A$82:$A$85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DiffusionTest!$D$82:$D$85</c:f>
              <c:numCache>
                <c:formatCode>0.00E+00</c:formatCode>
                <c:ptCount val="4"/>
                <c:pt idx="0">
                  <c:v>1.0</c:v>
                </c:pt>
                <c:pt idx="1">
                  <c:v>1.890756302521008</c:v>
                </c:pt>
                <c:pt idx="2">
                  <c:v>3.071672354948805</c:v>
                </c:pt>
                <c:pt idx="3">
                  <c:v>3.571428571428572</c:v>
                </c:pt>
              </c:numCache>
            </c:numRef>
          </c:yVal>
        </c:ser>
        <c:ser>
          <c:idx val="3"/>
          <c:order val="3"/>
          <c:xVal>
            <c:numRef>
              <c:f>DiffusionTest!$A$82:$A$85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DiffusionTest!$E$82:$E$85</c:f>
              <c:numCache>
                <c:formatCode>0.00E+00</c:formatCode>
                <c:ptCount val="4"/>
                <c:pt idx="0">
                  <c:v>1.0</c:v>
                </c:pt>
                <c:pt idx="1">
                  <c:v>1.722857142857143</c:v>
                </c:pt>
                <c:pt idx="2">
                  <c:v>3.207446808510638</c:v>
                </c:pt>
                <c:pt idx="3">
                  <c:v>3.816455696202531</c:v>
                </c:pt>
              </c:numCache>
            </c:numRef>
          </c:yVal>
        </c:ser>
        <c:ser>
          <c:idx val="8"/>
          <c:order val="4"/>
          <c:xVal>
            <c:numRef>
              <c:f>DiffusionTest!$A$82:$A$85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DiffusionTest!$J$82:$J$85</c:f>
              <c:numCache>
                <c:formatCode>0.00E+00</c:formatCode>
                <c:ptCount val="4"/>
                <c:pt idx="0">
                  <c:v>1.0</c:v>
                </c:pt>
                <c:pt idx="1">
                  <c:v>1.653771760154739</c:v>
                </c:pt>
                <c:pt idx="2">
                  <c:v>2.622699386503067</c:v>
                </c:pt>
                <c:pt idx="3">
                  <c:v>3.851351351351351</c:v>
                </c:pt>
              </c:numCache>
            </c:numRef>
          </c:yVal>
        </c:ser>
        <c:ser>
          <c:idx val="9"/>
          <c:order val="5"/>
          <c:xVal>
            <c:numRef>
              <c:f>DiffusionTest!$A$82:$A$85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DiffusionTest!$K$82:$K$85</c:f>
              <c:numCache>
                <c:formatCode>0.00E+00</c:formatCode>
                <c:ptCount val="4"/>
                <c:pt idx="0">
                  <c:v>1.0</c:v>
                </c:pt>
                <c:pt idx="1">
                  <c:v>1.824242424242424</c:v>
                </c:pt>
                <c:pt idx="2">
                  <c:v>2.85308056872038</c:v>
                </c:pt>
                <c:pt idx="3">
                  <c:v>3.44</c:v>
                </c:pt>
              </c:numCache>
            </c:numRef>
          </c:yVal>
        </c:ser>
        <c:ser>
          <c:idx val="10"/>
          <c:order val="6"/>
          <c:xVal>
            <c:numRef>
              <c:f>DiffusionTest!$A$82:$A$85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DiffusionTest!$L$82:$L$85</c:f>
              <c:numCache>
                <c:formatCode>0.00E+00</c:formatCode>
                <c:ptCount val="4"/>
                <c:pt idx="0">
                  <c:v>1.0</c:v>
                </c:pt>
                <c:pt idx="1">
                  <c:v>1.752941176470588</c:v>
                </c:pt>
                <c:pt idx="2">
                  <c:v>3.056410256410257</c:v>
                </c:pt>
                <c:pt idx="3">
                  <c:v>3.568862275449102</c:v>
                </c:pt>
              </c:numCache>
            </c:numRef>
          </c:yVal>
        </c:ser>
        <c:ser>
          <c:idx val="11"/>
          <c:order val="7"/>
          <c:xVal>
            <c:numRef>
              <c:f>DiffusionTest!$A$82:$A$85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DiffusionTest!$M$82:$M$85</c:f>
              <c:numCache>
                <c:formatCode>0.00E+00</c:formatCode>
                <c:ptCount val="4"/>
                <c:pt idx="0">
                  <c:v>1.0</c:v>
                </c:pt>
                <c:pt idx="1">
                  <c:v>1.803030303030303</c:v>
                </c:pt>
                <c:pt idx="2">
                  <c:v>3.181818181818182</c:v>
                </c:pt>
                <c:pt idx="3">
                  <c:v>3.765822784810126</c:v>
                </c:pt>
              </c:numCache>
            </c:numRef>
          </c:yVal>
        </c:ser>
        <c:ser>
          <c:idx val="12"/>
          <c:order val="8"/>
          <c:xVal>
            <c:numRef>
              <c:f>DiffusionTest!$A$82:$A$85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DiffusionTest!$N$82:$N$85</c:f>
              <c:numCache>
                <c:formatCode>0.00E+00</c:formatCode>
                <c:ptCount val="4"/>
                <c:pt idx="0">
                  <c:v>1.0</c:v>
                </c:pt>
                <c:pt idx="1">
                  <c:v>1.767676767676767</c:v>
                </c:pt>
                <c:pt idx="2">
                  <c:v>2.422145328719723</c:v>
                </c:pt>
                <c:pt idx="3">
                  <c:v>3.333333333333333</c:v>
                </c:pt>
              </c:numCache>
            </c:numRef>
          </c:yVal>
        </c:ser>
        <c:ser>
          <c:idx val="13"/>
          <c:order val="9"/>
          <c:xVal>
            <c:numRef>
              <c:f>DiffusionTest!$A$82:$A$85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DiffusionTest!$O$82:$O$85</c:f>
              <c:numCache>
                <c:formatCode>0.00E+00</c:formatCode>
                <c:ptCount val="4"/>
                <c:pt idx="0">
                  <c:v>1.0</c:v>
                </c:pt>
                <c:pt idx="1">
                  <c:v>1.835483870967742</c:v>
                </c:pt>
                <c:pt idx="2">
                  <c:v>2.463203463203463</c:v>
                </c:pt>
                <c:pt idx="3">
                  <c:v>3.143646408839779</c:v>
                </c:pt>
              </c:numCache>
            </c:numRef>
          </c:yVal>
        </c:ser>
        <c:ser>
          <c:idx val="14"/>
          <c:order val="10"/>
          <c:xVal>
            <c:numRef>
              <c:f>DiffusionTest!$A$82:$A$85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DiffusionTest!$P$82:$P$85</c:f>
              <c:numCache>
                <c:formatCode>0.00E+00</c:formatCode>
                <c:ptCount val="4"/>
                <c:pt idx="0">
                  <c:v>1.0</c:v>
                </c:pt>
                <c:pt idx="1">
                  <c:v>1.800623052959501</c:v>
                </c:pt>
                <c:pt idx="2">
                  <c:v>2.524017467248908</c:v>
                </c:pt>
                <c:pt idx="3">
                  <c:v>3.193370165745856</c:v>
                </c:pt>
              </c:numCache>
            </c:numRef>
          </c:yVal>
        </c:ser>
        <c:ser>
          <c:idx val="15"/>
          <c:order val="11"/>
          <c:xVal>
            <c:numRef>
              <c:f>DiffusionTest!$A$82:$A$85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DiffusionTest!$Q$82:$Q$85</c:f>
              <c:numCache>
                <c:formatCode>0.00E+00</c:formatCode>
                <c:ptCount val="4"/>
                <c:pt idx="0">
                  <c:v>1.0</c:v>
                </c:pt>
                <c:pt idx="1">
                  <c:v>1.775784753363229</c:v>
                </c:pt>
                <c:pt idx="2">
                  <c:v>2.490566037735849</c:v>
                </c:pt>
                <c:pt idx="3">
                  <c:v>3.069767441860465</c:v>
                </c:pt>
              </c:numCache>
            </c:numRef>
          </c:yVal>
        </c:ser>
        <c:ser>
          <c:idx val="16"/>
          <c:order val="12"/>
          <c:spPr>
            <a:ln w="41275">
              <a:solidFill>
                <a:schemeClr val="tx1"/>
              </a:solidFill>
            </a:ln>
          </c:spPr>
          <c:xVal>
            <c:numRef>
              <c:f>DiffusionTest!$A$82:$A$85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DiffusionTest!$A$82:$A$85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yVal>
        </c:ser>
        <c:axId val="459947224"/>
        <c:axId val="446266936"/>
      </c:scatterChart>
      <c:valAx>
        <c:axId val="459947224"/>
        <c:scaling>
          <c:orientation val="minMax"/>
          <c:max val="8.0"/>
          <c:min val="1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Cores</a:t>
                </a:r>
              </a:p>
            </c:rich>
          </c:tx>
          <c:layout/>
        </c:title>
        <c:numFmt formatCode="General" sourceLinked="1"/>
        <c:tickLblPos val="nextTo"/>
        <c:crossAx val="446266936"/>
        <c:crosses val="autoZero"/>
        <c:crossBetween val="midCat"/>
      </c:valAx>
      <c:valAx>
        <c:axId val="446266936"/>
        <c:scaling>
          <c:orientation val="minMax"/>
          <c:max val="8.0"/>
          <c:min val="1.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Speedup</a:t>
                </a:r>
              </a:p>
            </c:rich>
          </c:tx>
          <c:layout/>
        </c:title>
        <c:numFmt formatCode="0" sourceLinked="0"/>
        <c:tickLblPos val="nextTo"/>
        <c:crossAx val="459947224"/>
        <c:crosses val="autoZero"/>
        <c:crossBetween val="midCat"/>
      </c:valAx>
    </c:plotArea>
    <c:plotVisOnly val="1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231473097112861"/>
          <c:y val="0.0568421052631579"/>
          <c:w val="0.709936570428696"/>
          <c:h val="0.691083298798176"/>
        </c:manualLayout>
      </c:layout>
      <c:scatterChart>
        <c:scatterStyle val="lineMarker"/>
        <c:ser>
          <c:idx val="3"/>
          <c:order val="0"/>
          <c:xVal>
            <c:numRef>
              <c:f>SourceTermTest!$A$3:$A$6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SourceTermTest!$E$3:$E$6</c:f>
              <c:numCache>
                <c:formatCode>0.000</c:formatCode>
                <c:ptCount val="3"/>
                <c:pt idx="0">
                  <c:v>1.0</c:v>
                </c:pt>
                <c:pt idx="1">
                  <c:v>0.989442567567568</c:v>
                </c:pt>
                <c:pt idx="2">
                  <c:v>0.973006644518272</c:v>
                </c:pt>
              </c:numCache>
            </c:numRef>
          </c:yVal>
        </c:ser>
        <c:ser>
          <c:idx val="0"/>
          <c:order val="1"/>
          <c:xVal>
            <c:numRef>
              <c:f>SourceTermTest!$A$9:$A$12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SourceTermTest!$E$9:$E$12</c:f>
              <c:numCache>
                <c:formatCode>0.000</c:formatCode>
                <c:ptCount val="3"/>
                <c:pt idx="0">
                  <c:v>1.0</c:v>
                </c:pt>
                <c:pt idx="1">
                  <c:v>0.981735159817352</c:v>
                </c:pt>
                <c:pt idx="2">
                  <c:v>0.977272727272727</c:v>
                </c:pt>
              </c:numCache>
            </c:numRef>
          </c:yVal>
        </c:ser>
        <c:axId val="503688872"/>
        <c:axId val="503695960"/>
      </c:scatterChart>
      <c:valAx>
        <c:axId val="503688872"/>
        <c:scaling>
          <c:orientation val="minMax"/>
          <c:max val="4.0"/>
          <c:min val="1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Cores</a:t>
                </a:r>
              </a:p>
            </c:rich>
          </c:tx>
          <c:layout/>
        </c:title>
        <c:numFmt formatCode="General" sourceLinked="1"/>
        <c:tickLblPos val="nextTo"/>
        <c:crossAx val="503695960"/>
        <c:crosses val="autoZero"/>
        <c:crossBetween val="midCat"/>
        <c:majorUnit val="1.0"/>
        <c:minorUnit val="0.2"/>
      </c:valAx>
      <c:valAx>
        <c:axId val="503695960"/>
        <c:scaling>
          <c:orientation val="minMax"/>
          <c:max val="1.0"/>
          <c:min val="0.95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Parallel Efficiency</a:t>
                </a:r>
              </a:p>
            </c:rich>
          </c:tx>
          <c:layout/>
        </c:title>
        <c:numFmt formatCode="0.00" sourceLinked="0"/>
        <c:tickLblPos val="nextTo"/>
        <c:crossAx val="503688872"/>
        <c:crosses val="autoZero"/>
        <c:crossBetween val="midCat"/>
        <c:minorUnit val="0.02"/>
      </c:valAx>
    </c:plotArea>
    <c:plotVisOnly val="1"/>
  </c:chart>
  <c:txPr>
    <a:bodyPr/>
    <a:lstStyle/>
    <a:p>
      <a:pPr>
        <a:defRPr sz="18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98654636920385"/>
          <c:y val="0.113888888888889"/>
          <c:w val="0.70790791776028"/>
          <c:h val="0.593337343248761"/>
        </c:manualLayout>
      </c:layout>
      <c:scatterChart>
        <c:scatterStyle val="lineMarker"/>
        <c:ser>
          <c:idx val="3"/>
          <c:order val="0"/>
          <c:xVal>
            <c:numRef>
              <c:f>SourceTermTest!$A$3:$A$6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SourceTermTest!$D$3:$D$6</c:f>
              <c:numCache>
                <c:formatCode>0.000</c:formatCode>
                <c:ptCount val="3"/>
                <c:pt idx="0">
                  <c:v>1.0</c:v>
                </c:pt>
                <c:pt idx="1">
                  <c:v>1.978885135135135</c:v>
                </c:pt>
                <c:pt idx="2">
                  <c:v>3.89202657807309</c:v>
                </c:pt>
              </c:numCache>
            </c:numRef>
          </c:yVal>
        </c:ser>
        <c:ser>
          <c:idx val="0"/>
          <c:order val="1"/>
          <c:xVal>
            <c:numRef>
              <c:f>SourceTermTest!$A$9:$A$12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SourceTermTest!$D$9:$D$12</c:f>
              <c:numCache>
                <c:formatCode>0.000</c:formatCode>
                <c:ptCount val="3"/>
                <c:pt idx="0">
                  <c:v>1.0</c:v>
                </c:pt>
                <c:pt idx="1">
                  <c:v>1.963470319634703</c:v>
                </c:pt>
                <c:pt idx="2">
                  <c:v>3.909090909090909</c:v>
                </c:pt>
              </c:numCache>
            </c:numRef>
          </c:yVal>
        </c:ser>
        <c:ser>
          <c:idx val="1"/>
          <c:order val="2"/>
          <c:tx>
            <c:v>ideal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DiffusionTest!$A$6:$A$9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DiffusionTest!$G$6:$G$9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yVal>
        </c:ser>
        <c:axId val="503737192"/>
        <c:axId val="503744376"/>
      </c:scatterChart>
      <c:valAx>
        <c:axId val="503737192"/>
        <c:scaling>
          <c:orientation val="minMax"/>
          <c:max val="4.0"/>
          <c:min val="1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Cores</a:t>
                </a:r>
              </a:p>
            </c:rich>
          </c:tx>
          <c:layout/>
        </c:title>
        <c:numFmt formatCode="General" sourceLinked="1"/>
        <c:tickLblPos val="nextTo"/>
        <c:crossAx val="503744376"/>
        <c:crosses val="autoZero"/>
        <c:crossBetween val="midCat"/>
        <c:majorUnit val="1.0"/>
        <c:minorUnit val="0.2"/>
      </c:valAx>
      <c:valAx>
        <c:axId val="503744376"/>
        <c:scaling>
          <c:orientation val="minMax"/>
          <c:max val="4.0"/>
          <c:min val="1.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Speedup</a:t>
                </a:r>
              </a:p>
            </c:rich>
          </c:tx>
          <c:layout/>
        </c:title>
        <c:numFmt formatCode="0" sourceLinked="0"/>
        <c:tickLblPos val="nextTo"/>
        <c:crossAx val="503737192"/>
        <c:crosses val="autoZero"/>
        <c:crossBetween val="midCat"/>
        <c:majorUnit val="1.0"/>
        <c:minorUnit val="0.04"/>
      </c:valAx>
    </c:plotArea>
    <c:plotVisOnly val="1"/>
  </c:chart>
  <c:txPr>
    <a:bodyPr/>
    <a:lstStyle/>
    <a:p>
      <a:pPr>
        <a:defRPr sz="18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30823544597909"/>
          <c:y val="0.0423788894417937"/>
          <c:w val="0.84190869583925"/>
          <c:h val="0.780722711705646"/>
        </c:manualLayout>
      </c:layout>
      <c:scatterChart>
        <c:scatterStyle val="lineMarker"/>
        <c:ser>
          <c:idx val="0"/>
          <c:order val="0"/>
          <c:xVal>
            <c:numRef>
              <c:f>SourceTermTest!$A$57:$A$60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SourceTermTest!$B$57:$B$60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3.984313725490196</c:v>
                </c:pt>
                <c:pt idx="3">
                  <c:v>7.30935251798561</c:v>
                </c:pt>
              </c:numCache>
            </c:numRef>
          </c:yVal>
        </c:ser>
        <c:ser>
          <c:idx val="1"/>
          <c:order val="1"/>
          <c:xVal>
            <c:numRef>
              <c:f>SourceTermTest!$A$57:$A$60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SourceTermTest!$C$57:$C$60</c:f>
              <c:numCache>
                <c:formatCode>General</c:formatCode>
                <c:ptCount val="4"/>
                <c:pt idx="0">
                  <c:v>1.0</c:v>
                </c:pt>
                <c:pt idx="1">
                  <c:v>1.998027613412229</c:v>
                </c:pt>
                <c:pt idx="2">
                  <c:v>3.972549019607843</c:v>
                </c:pt>
                <c:pt idx="3">
                  <c:v>7.503703703703703</c:v>
                </c:pt>
              </c:numCache>
            </c:numRef>
          </c:yVal>
        </c:ser>
        <c:ser>
          <c:idx val="2"/>
          <c:order val="2"/>
          <c:xVal>
            <c:numRef>
              <c:f>SourceTermTest!$A$57:$A$60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SourceTermTest!$D$57:$D$60</c:f>
              <c:numCache>
                <c:formatCode>General</c:formatCode>
                <c:ptCount val="4"/>
                <c:pt idx="0">
                  <c:v>1.0</c:v>
                </c:pt>
                <c:pt idx="1">
                  <c:v>1.992125984251969</c:v>
                </c:pt>
                <c:pt idx="2">
                  <c:v>3.984251968503937</c:v>
                </c:pt>
                <c:pt idx="3">
                  <c:v>7.609022556390977</c:v>
                </c:pt>
              </c:numCache>
            </c:numRef>
          </c:yVal>
        </c:ser>
        <c:ser>
          <c:idx val="3"/>
          <c:order val="3"/>
          <c:xVal>
            <c:numRef>
              <c:f>SourceTermTest!$A$57:$A$60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SourceTermTest!$E$57:$E$60</c:f>
              <c:numCache>
                <c:formatCode>General</c:formatCode>
                <c:ptCount val="4"/>
                <c:pt idx="0">
                  <c:v>1.0</c:v>
                </c:pt>
                <c:pt idx="1">
                  <c:v>1.994094488188976</c:v>
                </c:pt>
                <c:pt idx="2">
                  <c:v>3.972549019607843</c:v>
                </c:pt>
                <c:pt idx="3">
                  <c:v>7.732824427480916</c:v>
                </c:pt>
              </c:numCache>
            </c:numRef>
          </c:yVal>
        </c:ser>
        <c:ser>
          <c:idx val="4"/>
          <c:order val="4"/>
          <c:xVal>
            <c:numRef>
              <c:f>SourceTermTest!$A$57:$A$60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SourceTermTest!$F$57:$F$60</c:f>
              <c:numCache>
                <c:formatCode>General</c:formatCode>
                <c:ptCount val="4"/>
                <c:pt idx="0">
                  <c:v>1.0</c:v>
                </c:pt>
                <c:pt idx="1">
                  <c:v>1.983606557377049</c:v>
                </c:pt>
                <c:pt idx="2">
                  <c:v>3.954248366013072</c:v>
                </c:pt>
                <c:pt idx="3">
                  <c:v>7.61006289308176</c:v>
                </c:pt>
              </c:numCache>
            </c:numRef>
          </c:yVal>
        </c:ser>
        <c:ser>
          <c:idx val="5"/>
          <c:order val="5"/>
          <c:xVal>
            <c:numRef>
              <c:f>SourceTermTest!$A$57:$A$60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SourceTermTest!$G$57:$G$60</c:f>
              <c:numCache>
                <c:formatCode>General</c:formatCode>
                <c:ptCount val="4"/>
                <c:pt idx="0">
                  <c:v>1.0</c:v>
                </c:pt>
                <c:pt idx="1">
                  <c:v>1.995090016366612</c:v>
                </c:pt>
                <c:pt idx="2">
                  <c:v>3.970684039087948</c:v>
                </c:pt>
                <c:pt idx="3">
                  <c:v>7.61875</c:v>
                </c:pt>
              </c:numCache>
            </c:numRef>
          </c:yVal>
        </c:ser>
        <c:ser>
          <c:idx val="6"/>
          <c:order val="6"/>
          <c:xVal>
            <c:numRef>
              <c:f>SourceTermTest!$A$57:$A$60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SourceTermTest!$H$57:$H$60</c:f>
              <c:numCache>
                <c:formatCode>General</c:formatCode>
                <c:ptCount val="4"/>
                <c:pt idx="0">
                  <c:v>1.0</c:v>
                </c:pt>
                <c:pt idx="1">
                  <c:v>1.993464052287581</c:v>
                </c:pt>
                <c:pt idx="2">
                  <c:v>3.961038961038961</c:v>
                </c:pt>
                <c:pt idx="3">
                  <c:v>7.577639751552794</c:v>
                </c:pt>
              </c:numCache>
            </c:numRef>
          </c:yVal>
        </c:ser>
        <c:ser>
          <c:idx val="7"/>
          <c:order val="7"/>
          <c:xVal>
            <c:numRef>
              <c:f>SourceTermTest!$A$57:$A$60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SourceTermTest!$I$57:$I$60</c:f>
              <c:numCache>
                <c:formatCode>General</c:formatCode>
                <c:ptCount val="4"/>
                <c:pt idx="0">
                  <c:v>1.0</c:v>
                </c:pt>
                <c:pt idx="1">
                  <c:v>1.983739837398374</c:v>
                </c:pt>
                <c:pt idx="2">
                  <c:v>3.922829581993569</c:v>
                </c:pt>
                <c:pt idx="3">
                  <c:v>7.439024390243902</c:v>
                </c:pt>
              </c:numCache>
            </c:numRef>
          </c:yVal>
        </c:ser>
        <c:ser>
          <c:idx val="8"/>
          <c:order val="8"/>
          <c:xVal>
            <c:numRef>
              <c:f>SourceTermTest!$A$57:$A$60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SourceTermTest!$J$57:$J$60</c:f>
              <c:numCache>
                <c:formatCode>General</c:formatCode>
                <c:ptCount val="4"/>
                <c:pt idx="0">
                  <c:v>1.0</c:v>
                </c:pt>
                <c:pt idx="1">
                  <c:v>1.995495495495496</c:v>
                </c:pt>
                <c:pt idx="2">
                  <c:v>3.967164179104478</c:v>
                </c:pt>
                <c:pt idx="3">
                  <c:v>7.424581005586593</c:v>
                </c:pt>
              </c:numCache>
            </c:numRef>
          </c:yVal>
        </c:ser>
        <c:ser>
          <c:idx val="9"/>
          <c:order val="9"/>
          <c:xVal>
            <c:numRef>
              <c:f>SourceTermTest!$A$57:$A$60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SourceTermTest!$K$57:$K$60</c:f>
              <c:numCache>
                <c:formatCode>General</c:formatCode>
                <c:ptCount val="4"/>
                <c:pt idx="0">
                  <c:v>1.0</c:v>
                </c:pt>
                <c:pt idx="1">
                  <c:v>1.995495495495496</c:v>
                </c:pt>
                <c:pt idx="2">
                  <c:v>3.967164179104478</c:v>
                </c:pt>
                <c:pt idx="3">
                  <c:v>7.46629213483146</c:v>
                </c:pt>
              </c:numCache>
            </c:numRef>
          </c:yVal>
        </c:ser>
        <c:ser>
          <c:idx val="10"/>
          <c:order val="10"/>
          <c:xVal>
            <c:numRef>
              <c:f>SourceTermTest!$A$57:$A$60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SourceTermTest!$L$57:$L$60</c:f>
              <c:numCache>
                <c:formatCode>General</c:formatCode>
                <c:ptCount val="4"/>
                <c:pt idx="0">
                  <c:v>1.0</c:v>
                </c:pt>
                <c:pt idx="1">
                  <c:v>1.991580916744621</c:v>
                </c:pt>
                <c:pt idx="2">
                  <c:v>3.95724907063197</c:v>
                </c:pt>
                <c:pt idx="3">
                  <c:v>7.522968197879859</c:v>
                </c:pt>
              </c:numCache>
            </c:numRef>
          </c:yVal>
        </c:ser>
        <c:ser>
          <c:idx val="11"/>
          <c:order val="11"/>
          <c:xVal>
            <c:numRef>
              <c:f>SourceTermTest!$A$57:$A$60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SourceTermTest!$M$57:$M$60</c:f>
              <c:numCache>
                <c:formatCode>General</c:formatCode>
                <c:ptCount val="4"/>
                <c:pt idx="0">
                  <c:v>1.0</c:v>
                </c:pt>
                <c:pt idx="1">
                  <c:v>1.984200743494424</c:v>
                </c:pt>
                <c:pt idx="2">
                  <c:v>3.91743119266055</c:v>
                </c:pt>
                <c:pt idx="3">
                  <c:v>7.33676975945017</c:v>
                </c:pt>
              </c:numCache>
            </c:numRef>
          </c:yVal>
        </c:ser>
        <c:ser>
          <c:idx val="12"/>
          <c:order val="12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SourceTermTest!$A$57:$A$60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SourceTermTest!$A$57:$A$60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yVal>
        </c:ser>
        <c:axId val="488252264"/>
        <c:axId val="488230664"/>
      </c:scatterChart>
      <c:valAx>
        <c:axId val="488252264"/>
        <c:scaling>
          <c:orientation val="minMax"/>
          <c:max val="8.0"/>
          <c:min val="1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Cores</a:t>
                </a:r>
              </a:p>
            </c:rich>
          </c:tx>
          <c:layout/>
        </c:title>
        <c:numFmt formatCode="General" sourceLinked="1"/>
        <c:tickLblPos val="nextTo"/>
        <c:crossAx val="488230664"/>
        <c:crosses val="autoZero"/>
        <c:crossBetween val="midCat"/>
      </c:valAx>
      <c:valAx>
        <c:axId val="488230664"/>
        <c:scaling>
          <c:orientation val="minMax"/>
          <c:max val="8.0"/>
          <c:min val="1.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Speedup</a:t>
                </a:r>
              </a:p>
            </c:rich>
          </c:tx>
          <c:layout/>
        </c:title>
        <c:numFmt formatCode="General" sourceLinked="1"/>
        <c:tickLblPos val="nextTo"/>
        <c:crossAx val="488252264"/>
        <c:crosses val="autoZero"/>
        <c:crossBetween val="midCat"/>
      </c:valAx>
    </c:plotArea>
    <c:plotVisOnly val="1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65178663129065"/>
          <c:y val="0.0314603792503465"/>
          <c:w val="0.810419162957891"/>
          <c:h val="0.809042732018048"/>
        </c:manualLayout>
      </c:layout>
      <c:scatterChart>
        <c:scatterStyle val="lineMarker"/>
        <c:ser>
          <c:idx val="0"/>
          <c:order val="0"/>
          <c:xVal>
            <c:numRef>
              <c:f>SourceTermTest!$A$51:$A$54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SourceTermTest!$B$51:$B$54</c:f>
              <c:numCache>
                <c:formatCode>0.00E+00</c:formatCode>
                <c:ptCount val="4"/>
                <c:pt idx="0">
                  <c:v>1.0</c:v>
                </c:pt>
                <c:pt idx="1">
                  <c:v>1.0</c:v>
                </c:pt>
                <c:pt idx="2">
                  <c:v>0.996078431372549</c:v>
                </c:pt>
                <c:pt idx="3">
                  <c:v>0.913669064748201</c:v>
                </c:pt>
              </c:numCache>
            </c:numRef>
          </c:yVal>
        </c:ser>
        <c:ser>
          <c:idx val="1"/>
          <c:order val="1"/>
          <c:xVal>
            <c:numRef>
              <c:f>SourceTermTest!$A$51:$A$54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SourceTermTest!$C$51:$C$54</c:f>
              <c:numCache>
                <c:formatCode>0.00E+00</c:formatCode>
                <c:ptCount val="4"/>
                <c:pt idx="0">
                  <c:v>1.0</c:v>
                </c:pt>
                <c:pt idx="1">
                  <c:v>0.999013806706114</c:v>
                </c:pt>
                <c:pt idx="2">
                  <c:v>0.993137254901961</c:v>
                </c:pt>
                <c:pt idx="3">
                  <c:v>0.937962962962963</c:v>
                </c:pt>
              </c:numCache>
            </c:numRef>
          </c:yVal>
        </c:ser>
        <c:ser>
          <c:idx val="2"/>
          <c:order val="2"/>
          <c:xVal>
            <c:numRef>
              <c:f>SourceTermTest!$A$51:$A$54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SourceTermTest!$D$51:$D$54</c:f>
              <c:numCache>
                <c:formatCode>0.00E+00</c:formatCode>
                <c:ptCount val="4"/>
                <c:pt idx="0">
                  <c:v>1.0</c:v>
                </c:pt>
                <c:pt idx="1">
                  <c:v>0.996062992125984</c:v>
                </c:pt>
                <c:pt idx="2">
                  <c:v>0.996062992125984</c:v>
                </c:pt>
                <c:pt idx="3">
                  <c:v>0.951127819548872</c:v>
                </c:pt>
              </c:numCache>
            </c:numRef>
          </c:yVal>
        </c:ser>
        <c:ser>
          <c:idx val="3"/>
          <c:order val="3"/>
          <c:xVal>
            <c:numRef>
              <c:f>SourceTermTest!$A$51:$A$54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SourceTermTest!$E$51:$E$54</c:f>
              <c:numCache>
                <c:formatCode>0.00E+00</c:formatCode>
                <c:ptCount val="4"/>
                <c:pt idx="0">
                  <c:v>1.0</c:v>
                </c:pt>
                <c:pt idx="1">
                  <c:v>0.997047244094488</c:v>
                </c:pt>
                <c:pt idx="2">
                  <c:v>0.993137254901961</c:v>
                </c:pt>
                <c:pt idx="3">
                  <c:v>0.966603053435115</c:v>
                </c:pt>
              </c:numCache>
            </c:numRef>
          </c:yVal>
        </c:ser>
        <c:ser>
          <c:idx val="4"/>
          <c:order val="4"/>
          <c:xVal>
            <c:numRef>
              <c:f>SourceTermTest!$A$51:$A$54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SourceTermTest!$F$51:$F$54</c:f>
              <c:numCache>
                <c:formatCode>0.00E+00</c:formatCode>
                <c:ptCount val="4"/>
                <c:pt idx="0">
                  <c:v>1.0</c:v>
                </c:pt>
                <c:pt idx="1">
                  <c:v>0.991803278688525</c:v>
                </c:pt>
                <c:pt idx="2">
                  <c:v>0.988562091503268</c:v>
                </c:pt>
                <c:pt idx="3">
                  <c:v>0.95125786163522</c:v>
                </c:pt>
              </c:numCache>
            </c:numRef>
          </c:yVal>
        </c:ser>
        <c:ser>
          <c:idx val="5"/>
          <c:order val="5"/>
          <c:xVal>
            <c:numRef>
              <c:f>SourceTermTest!$A$51:$A$54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SourceTermTest!$G$51:$G$54</c:f>
              <c:numCache>
                <c:formatCode>0.00E+00</c:formatCode>
                <c:ptCount val="4"/>
                <c:pt idx="0">
                  <c:v>1.0</c:v>
                </c:pt>
                <c:pt idx="1">
                  <c:v>0.997545008183306</c:v>
                </c:pt>
                <c:pt idx="2">
                  <c:v>0.992671009771987</c:v>
                </c:pt>
                <c:pt idx="3">
                  <c:v>0.95234375</c:v>
                </c:pt>
              </c:numCache>
            </c:numRef>
          </c:yVal>
        </c:ser>
        <c:ser>
          <c:idx val="6"/>
          <c:order val="6"/>
          <c:xVal>
            <c:numRef>
              <c:f>SourceTermTest!$A$51:$A$54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SourceTermTest!$H$51:$H$54</c:f>
              <c:numCache>
                <c:formatCode>0.00E+00</c:formatCode>
                <c:ptCount val="4"/>
                <c:pt idx="0">
                  <c:v>1.0</c:v>
                </c:pt>
                <c:pt idx="1">
                  <c:v>0.996732026143791</c:v>
                </c:pt>
                <c:pt idx="2">
                  <c:v>0.99025974025974</c:v>
                </c:pt>
                <c:pt idx="3">
                  <c:v>0.947204968944099</c:v>
                </c:pt>
              </c:numCache>
            </c:numRef>
          </c:yVal>
        </c:ser>
        <c:ser>
          <c:idx val="7"/>
          <c:order val="7"/>
          <c:xVal>
            <c:numRef>
              <c:f>SourceTermTest!$A$51:$A$54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SourceTermTest!$I$51:$I$54</c:f>
              <c:numCache>
                <c:formatCode>0.00E+00</c:formatCode>
                <c:ptCount val="4"/>
                <c:pt idx="0">
                  <c:v>1.0</c:v>
                </c:pt>
                <c:pt idx="1">
                  <c:v>0.991869918699187</c:v>
                </c:pt>
                <c:pt idx="2">
                  <c:v>0.980707395498392</c:v>
                </c:pt>
                <c:pt idx="3">
                  <c:v>0.929878048780488</c:v>
                </c:pt>
              </c:numCache>
            </c:numRef>
          </c:yVal>
        </c:ser>
        <c:ser>
          <c:idx val="8"/>
          <c:order val="8"/>
          <c:xVal>
            <c:numRef>
              <c:f>SourceTermTest!$A$51:$A$54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SourceTermTest!$J$51:$J$54</c:f>
              <c:numCache>
                <c:formatCode>0.00E+00</c:formatCode>
                <c:ptCount val="4"/>
                <c:pt idx="0">
                  <c:v>1.0</c:v>
                </c:pt>
                <c:pt idx="1">
                  <c:v>0.997747747747748</c:v>
                </c:pt>
                <c:pt idx="2">
                  <c:v>0.991791044776119</c:v>
                </c:pt>
                <c:pt idx="3">
                  <c:v>0.928072625698324</c:v>
                </c:pt>
              </c:numCache>
            </c:numRef>
          </c:yVal>
        </c:ser>
        <c:ser>
          <c:idx val="9"/>
          <c:order val="9"/>
          <c:xVal>
            <c:numRef>
              <c:f>SourceTermTest!$A$51:$A$54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SourceTermTest!$K$51:$K$54</c:f>
              <c:numCache>
                <c:formatCode>0.00E+00</c:formatCode>
                <c:ptCount val="4"/>
                <c:pt idx="0">
                  <c:v>1.0</c:v>
                </c:pt>
                <c:pt idx="1">
                  <c:v>0.997747747747748</c:v>
                </c:pt>
                <c:pt idx="2">
                  <c:v>0.991791044776119</c:v>
                </c:pt>
                <c:pt idx="3">
                  <c:v>0.933286516853933</c:v>
                </c:pt>
              </c:numCache>
            </c:numRef>
          </c:yVal>
        </c:ser>
        <c:ser>
          <c:idx val="10"/>
          <c:order val="10"/>
          <c:xVal>
            <c:numRef>
              <c:f>SourceTermTest!$A$51:$A$54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SourceTermTest!$L$51:$L$54</c:f>
              <c:numCache>
                <c:formatCode>0.00E+00</c:formatCode>
                <c:ptCount val="4"/>
                <c:pt idx="0">
                  <c:v>1.0</c:v>
                </c:pt>
                <c:pt idx="1">
                  <c:v>0.99579045837231</c:v>
                </c:pt>
                <c:pt idx="2">
                  <c:v>0.989312267657993</c:v>
                </c:pt>
                <c:pt idx="3">
                  <c:v>0.940371024734982</c:v>
                </c:pt>
              </c:numCache>
            </c:numRef>
          </c:yVal>
        </c:ser>
        <c:ser>
          <c:idx val="11"/>
          <c:order val="11"/>
          <c:xVal>
            <c:numRef>
              <c:f>SourceTermTest!$A$51:$A$54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SourceTermTest!$M$51:$M$54</c:f>
              <c:numCache>
                <c:formatCode>0.00E+00</c:formatCode>
                <c:ptCount val="4"/>
                <c:pt idx="0">
                  <c:v>1.0</c:v>
                </c:pt>
                <c:pt idx="1">
                  <c:v>0.992100371747212</c:v>
                </c:pt>
                <c:pt idx="2">
                  <c:v>0.979357798165138</c:v>
                </c:pt>
                <c:pt idx="3">
                  <c:v>0.917096219931271</c:v>
                </c:pt>
              </c:numCache>
            </c:numRef>
          </c:yVal>
        </c:ser>
        <c:axId val="491017512"/>
        <c:axId val="460660280"/>
      </c:scatterChart>
      <c:valAx>
        <c:axId val="491017512"/>
        <c:scaling>
          <c:orientation val="minMax"/>
          <c:max val="8.0"/>
          <c:min val="1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Cores</a:t>
                </a:r>
              </a:p>
            </c:rich>
          </c:tx>
          <c:layout/>
        </c:title>
        <c:numFmt formatCode="General" sourceLinked="1"/>
        <c:tickLblPos val="nextTo"/>
        <c:crossAx val="460660280"/>
        <c:crosses val="autoZero"/>
        <c:crossBetween val="midCat"/>
      </c:valAx>
      <c:valAx>
        <c:axId val="460660280"/>
        <c:scaling>
          <c:orientation val="minMax"/>
          <c:max val="1.0"/>
          <c:min val="0.9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Parallel Efficiency</a:t>
                </a:r>
              </a:p>
            </c:rich>
          </c:tx>
          <c:layout/>
        </c:title>
        <c:numFmt formatCode="0.00" sourceLinked="0"/>
        <c:tickLblPos val="nextTo"/>
        <c:crossAx val="491017512"/>
        <c:crosses val="autoZero"/>
        <c:crossBetween val="midCat"/>
        <c:majorUnit val="0.02"/>
      </c:valAx>
    </c:plotArea>
    <c:plotVisOnly val="1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6"/>
          <c:order val="0"/>
          <c:tx>
            <c:v>8Var_1250Pts</c:v>
          </c:tx>
          <c:spPr>
            <a:ln>
              <a:solidFill>
                <a:schemeClr val="accent3"/>
              </a:solidFill>
            </a:ln>
          </c:spPr>
          <c:marker>
            <c:symbol val="square"/>
            <c:size val="7"/>
            <c:spPr>
              <a:solidFill>
                <a:srgbClr val="FFFFFF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CoupledSources!$B$5:$B$7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CoupledSources!$D$5:$D$7</c:f>
              <c:numCache>
                <c:formatCode>General</c:formatCode>
                <c:ptCount val="3"/>
                <c:pt idx="0">
                  <c:v>1.0</c:v>
                </c:pt>
                <c:pt idx="1">
                  <c:v>0.933774834437086</c:v>
                </c:pt>
                <c:pt idx="2">
                  <c:v>0.87037037037037</c:v>
                </c:pt>
              </c:numCache>
            </c:numRef>
          </c:yVal>
        </c:ser>
        <c:ser>
          <c:idx val="7"/>
          <c:order val="1"/>
          <c:tx>
            <c:v>16Var_1250Pts</c:v>
          </c:tx>
          <c:spPr>
            <a:ln>
              <a:solidFill>
                <a:srgbClr val="9BBB59"/>
              </a:solidFill>
            </a:ln>
          </c:spPr>
          <c:marker>
            <c:symbol val="diamond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</a:ln>
            </c:spPr>
          </c:marker>
          <c:xVal>
            <c:numRef>
              <c:f>CoupledSources!$B$5:$B$7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CoupledSources!$F$5:$F$7</c:f>
              <c:numCache>
                <c:formatCode>General</c:formatCode>
                <c:ptCount val="3"/>
                <c:pt idx="0">
                  <c:v>1.0</c:v>
                </c:pt>
                <c:pt idx="1">
                  <c:v>0.959322033898305</c:v>
                </c:pt>
                <c:pt idx="2">
                  <c:v>0.895569620253164</c:v>
                </c:pt>
              </c:numCache>
            </c:numRef>
          </c:yVal>
        </c:ser>
        <c:ser>
          <c:idx val="8"/>
          <c:order val="2"/>
          <c:tx>
            <c:v>32Var_1250Pts</c:v>
          </c:tx>
          <c:spPr>
            <a:ln>
              <a:solidFill>
                <a:srgbClr val="9BBB59"/>
              </a:solidFill>
            </a:ln>
          </c:spPr>
          <c:marker>
            <c:symbol val="triang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</a:ln>
            </c:spPr>
          </c:marker>
          <c:xVal>
            <c:numRef>
              <c:f>CoupledSources!$B$5:$B$7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CoupledSources!$H$5:$H$7</c:f>
              <c:numCache>
                <c:formatCode>General</c:formatCode>
                <c:ptCount val="3"/>
                <c:pt idx="0">
                  <c:v>1.0</c:v>
                </c:pt>
                <c:pt idx="1">
                  <c:v>0.950331125827815</c:v>
                </c:pt>
                <c:pt idx="2">
                  <c:v>0.925806451612903</c:v>
                </c:pt>
              </c:numCache>
            </c:numRef>
          </c:yVal>
        </c:ser>
        <c:ser>
          <c:idx val="11"/>
          <c:order val="3"/>
          <c:tx>
            <c:v>64Var_1250Pts</c:v>
          </c:tx>
          <c:spPr>
            <a:ln>
              <a:solidFill>
                <a:schemeClr val="accent3"/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accent3"/>
                </a:solidFill>
              </a:ln>
            </c:spPr>
          </c:marker>
          <c:xVal>
            <c:numRef>
              <c:f>CoupledSources!$B$5:$B$7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CoupledSources!$J$5:$J$7</c:f>
              <c:numCache>
                <c:formatCode>General</c:formatCode>
                <c:ptCount val="3"/>
                <c:pt idx="0">
                  <c:v>1.0</c:v>
                </c:pt>
                <c:pt idx="1">
                  <c:v>0.96524064171123</c:v>
                </c:pt>
                <c:pt idx="2">
                  <c:v>0.911616161616162</c:v>
                </c:pt>
              </c:numCache>
            </c:numRef>
          </c:yVal>
        </c:ser>
        <c:ser>
          <c:idx val="0"/>
          <c:order val="4"/>
          <c:tx>
            <c:v>8Var_2500Pts</c:v>
          </c:tx>
          <c:spPr>
            <a:ln>
              <a:solidFill>
                <a:schemeClr val="tx2"/>
              </a:solidFill>
            </a:ln>
          </c:spPr>
          <c:marker>
            <c:symbol val="square"/>
            <c:size val="7"/>
            <c:spPr>
              <a:noFill/>
              <a:ln>
                <a:solidFill>
                  <a:schemeClr val="tx2"/>
                </a:solidFill>
              </a:ln>
            </c:spPr>
          </c:marker>
          <c:xVal>
            <c:numRef>
              <c:f>CoupledSources!$B$11:$B$13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CoupledSources!$D$11:$D$13</c:f>
              <c:numCache>
                <c:formatCode>General</c:formatCode>
                <c:ptCount val="3"/>
                <c:pt idx="0">
                  <c:v>1.0</c:v>
                </c:pt>
                <c:pt idx="1">
                  <c:v>0.950704225352113</c:v>
                </c:pt>
                <c:pt idx="2">
                  <c:v>0.865384615384615</c:v>
                </c:pt>
              </c:numCache>
            </c:numRef>
          </c:yVal>
        </c:ser>
        <c:ser>
          <c:idx val="1"/>
          <c:order val="5"/>
          <c:tx>
            <c:v>16Var_2500Pts</c:v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noFill/>
              <a:ln>
                <a:solidFill>
                  <a:schemeClr val="tx2"/>
                </a:solidFill>
              </a:ln>
            </c:spPr>
          </c:marker>
          <c:xVal>
            <c:numRef>
              <c:f>CoupledSources!$B$11:$B$13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CoupledSources!$F$11:$F$13</c:f>
              <c:numCache>
                <c:formatCode>General</c:formatCode>
                <c:ptCount val="3"/>
                <c:pt idx="0">
                  <c:v>1.0</c:v>
                </c:pt>
                <c:pt idx="1">
                  <c:v>0.969642857142857</c:v>
                </c:pt>
                <c:pt idx="2">
                  <c:v>0.936206896551724</c:v>
                </c:pt>
              </c:numCache>
            </c:numRef>
          </c:yVal>
        </c:ser>
        <c:ser>
          <c:idx val="2"/>
          <c:order val="6"/>
          <c:tx>
            <c:v>32Var_2500Pts</c:v>
          </c:tx>
          <c:spPr>
            <a:ln>
              <a:solidFill>
                <a:schemeClr val="tx2"/>
              </a:solidFill>
            </a:ln>
          </c:spPr>
          <c:marker>
            <c:symbol val="triangle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CoupledSources!$B$11:$B$13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CoupledSources!$H$11:$H$13</c:f>
              <c:numCache>
                <c:formatCode>General</c:formatCode>
                <c:ptCount val="3"/>
                <c:pt idx="0">
                  <c:v>1.0</c:v>
                </c:pt>
                <c:pt idx="1">
                  <c:v>0.983126110124334</c:v>
                </c:pt>
                <c:pt idx="2">
                  <c:v>0.941326530612245</c:v>
                </c:pt>
              </c:numCache>
            </c:numRef>
          </c:yVal>
        </c:ser>
        <c:ser>
          <c:idx val="9"/>
          <c:order val="7"/>
          <c:tx>
            <c:v>64Var_2500Pts</c:v>
          </c:tx>
          <c:spPr>
            <a:ln>
              <a:solidFill>
                <a:schemeClr val="tx2"/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tx2"/>
                </a:solidFill>
              </a:ln>
            </c:spPr>
          </c:marker>
          <c:xVal>
            <c:numRef>
              <c:f>CoupledSources!$B$11:$B$13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CoupledSources!$J$11:$J$13</c:f>
              <c:numCache>
                <c:formatCode>General</c:formatCode>
                <c:ptCount val="3"/>
                <c:pt idx="0">
                  <c:v>1.0</c:v>
                </c:pt>
                <c:pt idx="1">
                  <c:v>0.980355472404116</c:v>
                </c:pt>
                <c:pt idx="2">
                  <c:v>0.945848375451264</c:v>
                </c:pt>
              </c:numCache>
            </c:numRef>
          </c:yVal>
        </c:ser>
        <c:ser>
          <c:idx val="3"/>
          <c:order val="8"/>
          <c:tx>
            <c:v>8Var_25000Pts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  <c:spPr>
              <a:solidFill>
                <a:srgbClr val="FFFFFF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CoupledSources!$B$17:$B$19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CoupledSources!$D$17:$D$19</c:f>
              <c:numCache>
                <c:formatCode>General</c:formatCode>
                <c:ptCount val="3"/>
                <c:pt idx="0">
                  <c:v>1.0</c:v>
                </c:pt>
                <c:pt idx="1">
                  <c:v>0.945402298850575</c:v>
                </c:pt>
                <c:pt idx="2">
                  <c:v>0.913888888888889</c:v>
                </c:pt>
              </c:numCache>
            </c:numRef>
          </c:yVal>
        </c:ser>
        <c:ser>
          <c:idx val="4"/>
          <c:order val="9"/>
          <c:tx>
            <c:v>16Var_25000Pts</c:v>
          </c:tx>
          <c:spPr>
            <a:ln>
              <a:solidFill>
                <a:schemeClr val="accent2"/>
              </a:solidFill>
            </a:ln>
          </c:spPr>
          <c:marker>
            <c:symbol val="diamond"/>
            <c:size val="7"/>
            <c:spPr>
              <a:solidFill>
                <a:srgbClr val="FFFFFF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CoupledSources!$B$17:$B$19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CoupledSources!$F$17:$F$19</c:f>
              <c:numCache>
                <c:formatCode>General</c:formatCode>
                <c:ptCount val="3"/>
                <c:pt idx="0">
                  <c:v>1.0</c:v>
                </c:pt>
                <c:pt idx="1">
                  <c:v>0.933333333333333</c:v>
                </c:pt>
                <c:pt idx="2">
                  <c:v>0.908108108108108</c:v>
                </c:pt>
              </c:numCache>
            </c:numRef>
          </c:yVal>
        </c:ser>
        <c:ser>
          <c:idx val="5"/>
          <c:order val="10"/>
          <c:tx>
            <c:v>32Var_25000Pts</c:v>
          </c:tx>
          <c:spPr>
            <a:ln>
              <a:solidFill>
                <a:schemeClr val="accent2"/>
              </a:solidFill>
            </a:ln>
          </c:spPr>
          <c:marker>
            <c:symbol val="triangl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CoupledSources!$B$17:$B$19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CoupledSources!$H$17:$H$19</c:f>
              <c:numCache>
                <c:formatCode>General</c:formatCode>
                <c:ptCount val="3"/>
                <c:pt idx="0">
                  <c:v>1.0</c:v>
                </c:pt>
                <c:pt idx="1">
                  <c:v>0.960992907801418</c:v>
                </c:pt>
                <c:pt idx="2">
                  <c:v>0.935773480662983</c:v>
                </c:pt>
              </c:numCache>
            </c:numRef>
          </c:yVal>
        </c:ser>
        <c:ser>
          <c:idx val="10"/>
          <c:order val="11"/>
          <c:tx>
            <c:v>64Var_25000Pts</c:v>
          </c:tx>
          <c:spPr>
            <a:ln>
              <a:solidFill>
                <a:schemeClr val="accent2"/>
              </a:solidFill>
            </a:ln>
          </c:spPr>
          <c:marker>
            <c:symbol val="x"/>
            <c:size val="7"/>
            <c:spPr>
              <a:noFill/>
              <a:ln>
                <a:solidFill>
                  <a:schemeClr val="accent2"/>
                </a:solidFill>
              </a:ln>
            </c:spPr>
          </c:marker>
          <c:xVal>
            <c:numRef>
              <c:f>CoupledSources!$B$17:$B$19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CoupledSources!$J$17:$J$19</c:f>
              <c:numCache>
                <c:formatCode>General</c:formatCode>
                <c:ptCount val="3"/>
                <c:pt idx="0">
                  <c:v>1.0</c:v>
                </c:pt>
                <c:pt idx="1">
                  <c:v>0.97841726618705</c:v>
                </c:pt>
                <c:pt idx="2">
                  <c:v>0.921409214092141</c:v>
                </c:pt>
              </c:numCache>
            </c:numRef>
          </c:yVal>
        </c:ser>
        <c:axId val="503859816"/>
        <c:axId val="503867736"/>
      </c:scatterChart>
      <c:valAx>
        <c:axId val="503859816"/>
        <c:scaling>
          <c:orientation val="minMax"/>
          <c:max val="4.0"/>
          <c:min val="1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Cores</a:t>
                </a:r>
              </a:p>
            </c:rich>
          </c:tx>
        </c:title>
        <c:numFmt formatCode="General" sourceLinked="1"/>
        <c:tickLblPos val="nextTo"/>
        <c:crossAx val="503867736"/>
        <c:crosses val="autoZero"/>
        <c:crossBetween val="midCat"/>
        <c:majorUnit val="1.0"/>
      </c:valAx>
      <c:valAx>
        <c:axId val="503867736"/>
        <c:scaling>
          <c:orientation val="minMax"/>
          <c:max val="1.0"/>
          <c:min val="0.75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Parallel Efficiency</a:t>
                </a:r>
              </a:p>
            </c:rich>
          </c:tx>
        </c:title>
        <c:numFmt formatCode="General" sourceLinked="1"/>
        <c:tickLblPos val="nextTo"/>
        <c:crossAx val="50385981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4"/>
  <c:chart>
    <c:plotArea>
      <c:layout>
        <c:manualLayout>
          <c:layoutTarget val="inner"/>
          <c:xMode val="edge"/>
          <c:yMode val="edge"/>
          <c:x val="0.175766185476815"/>
          <c:y val="0.0509259259259259"/>
          <c:w val="0.595699037620297"/>
          <c:h val="0.751670676582094"/>
        </c:manualLayout>
      </c:layout>
      <c:scatterChart>
        <c:scatterStyle val="lineMarker"/>
        <c:ser>
          <c:idx val="0"/>
          <c:order val="0"/>
          <c:tx>
            <c:strRef>
              <c:f>CoupledSources!$B$61</c:f>
              <c:strCache>
                <c:ptCount val="1"/>
                <c:pt idx="0">
                  <c:v>4.0E+03</c:v>
                </c:pt>
              </c:strCache>
            </c:strRef>
          </c:tx>
          <c:marker>
            <c:symbol val="none"/>
          </c:marker>
          <c:xVal>
            <c:numRef>
              <c:f>CoupledSources!$A$62:$A$64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CoupledSources!$B$62:$B$64</c:f>
              <c:numCache>
                <c:formatCode>0.00E+00</c:formatCode>
                <c:ptCount val="3"/>
                <c:pt idx="0">
                  <c:v>1.0</c:v>
                </c:pt>
                <c:pt idx="1">
                  <c:v>0.92463768115942</c:v>
                </c:pt>
                <c:pt idx="2">
                  <c:v>0.774271844660194</c:v>
                </c:pt>
              </c:numCache>
            </c:numRef>
          </c:yVal>
        </c:ser>
        <c:ser>
          <c:idx val="1"/>
          <c:order val="1"/>
          <c:tx>
            <c:strRef>
              <c:f>CoupledSources!$C$61</c:f>
              <c:strCache>
                <c:ptCount val="1"/>
                <c:pt idx="0">
                  <c:v>8.0E+03</c:v>
                </c:pt>
              </c:strCache>
            </c:strRef>
          </c:tx>
          <c:marker>
            <c:symbol val="none"/>
          </c:marker>
          <c:xVal>
            <c:numRef>
              <c:f>CoupledSources!$A$62:$A$64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CoupledSources!$C$62:$C$64</c:f>
              <c:numCache>
                <c:formatCode>0.00E+00</c:formatCode>
                <c:ptCount val="3"/>
                <c:pt idx="0">
                  <c:v>1.0</c:v>
                </c:pt>
                <c:pt idx="1">
                  <c:v>0.967889908256881</c:v>
                </c:pt>
                <c:pt idx="2">
                  <c:v>0.853099730458221</c:v>
                </c:pt>
              </c:numCache>
            </c:numRef>
          </c:yVal>
        </c:ser>
        <c:ser>
          <c:idx val="2"/>
          <c:order val="2"/>
          <c:tx>
            <c:strRef>
              <c:f>CoupledSources!$D$61</c:f>
              <c:strCache>
                <c:ptCount val="1"/>
                <c:pt idx="0">
                  <c:v>1.6E+04</c:v>
                </c:pt>
              </c:strCache>
            </c:strRef>
          </c:tx>
          <c:marker>
            <c:symbol val="none"/>
          </c:marker>
          <c:xVal>
            <c:numRef>
              <c:f>CoupledSources!$A$62:$A$64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CoupledSources!$D$62:$D$64</c:f>
              <c:numCache>
                <c:formatCode>0.00E+00</c:formatCode>
                <c:ptCount val="3"/>
                <c:pt idx="0">
                  <c:v>1.0</c:v>
                </c:pt>
                <c:pt idx="1">
                  <c:v>0.95</c:v>
                </c:pt>
                <c:pt idx="2">
                  <c:v>0.887543252595156</c:v>
                </c:pt>
              </c:numCache>
            </c:numRef>
          </c:yVal>
        </c:ser>
        <c:ser>
          <c:idx val="3"/>
          <c:order val="3"/>
          <c:tx>
            <c:strRef>
              <c:f>CoupledSources!$E$61</c:f>
              <c:strCache>
                <c:ptCount val="1"/>
                <c:pt idx="0">
                  <c:v>3.2E+04</c:v>
                </c:pt>
              </c:strCache>
            </c:strRef>
          </c:tx>
          <c:marker>
            <c:symbol val="none"/>
          </c:marker>
          <c:xVal>
            <c:numRef>
              <c:f>CoupledSources!$A$62:$A$64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CoupledSources!$E$62:$E$64</c:f>
              <c:numCache>
                <c:formatCode>0.00E+00</c:formatCode>
                <c:ptCount val="3"/>
                <c:pt idx="0">
                  <c:v>1.0</c:v>
                </c:pt>
                <c:pt idx="1">
                  <c:v>0.951923076923077</c:v>
                </c:pt>
                <c:pt idx="2">
                  <c:v>0.883928571428571</c:v>
                </c:pt>
              </c:numCache>
            </c:numRef>
          </c:yVal>
        </c:ser>
        <c:ser>
          <c:idx val="4"/>
          <c:order val="4"/>
          <c:tx>
            <c:strRef>
              <c:f>CoupledSources!$F$61</c:f>
              <c:strCache>
                <c:ptCount val="1"/>
                <c:pt idx="0">
                  <c:v>2.0E+04</c:v>
                </c:pt>
              </c:strCache>
            </c:strRef>
          </c:tx>
          <c:marker>
            <c:symbol val="none"/>
          </c:marker>
          <c:xVal>
            <c:numRef>
              <c:f>CoupledSources!$A$62:$A$64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CoupledSources!$F$62:$F$64</c:f>
              <c:numCache>
                <c:formatCode>0.00E+00</c:formatCode>
                <c:ptCount val="3"/>
                <c:pt idx="0">
                  <c:v>1.0</c:v>
                </c:pt>
                <c:pt idx="1">
                  <c:v>0.876623376623377</c:v>
                </c:pt>
                <c:pt idx="2">
                  <c:v>0.828220858895705</c:v>
                </c:pt>
              </c:numCache>
            </c:numRef>
          </c:yVal>
        </c:ser>
        <c:ser>
          <c:idx val="5"/>
          <c:order val="5"/>
          <c:tx>
            <c:strRef>
              <c:f>CoupledSources!$G$61</c:f>
              <c:strCache>
                <c:ptCount val="1"/>
                <c:pt idx="0">
                  <c:v>4.0E+04</c:v>
                </c:pt>
              </c:strCache>
            </c:strRef>
          </c:tx>
          <c:marker>
            <c:symbol val="none"/>
          </c:marker>
          <c:xVal>
            <c:numRef>
              <c:f>CoupledSources!$A$62:$A$64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CoupledSources!$G$62:$G$64</c:f>
              <c:numCache>
                <c:formatCode>0.00E+00</c:formatCode>
                <c:ptCount val="3"/>
                <c:pt idx="0">
                  <c:v>1.0</c:v>
                </c:pt>
                <c:pt idx="1">
                  <c:v>0.971326164874552</c:v>
                </c:pt>
                <c:pt idx="2">
                  <c:v>0.906354515050167</c:v>
                </c:pt>
              </c:numCache>
            </c:numRef>
          </c:yVal>
        </c:ser>
        <c:ser>
          <c:idx val="6"/>
          <c:order val="6"/>
          <c:tx>
            <c:strRef>
              <c:f>CoupledSources!$H$61</c:f>
              <c:strCache>
                <c:ptCount val="1"/>
                <c:pt idx="0">
                  <c:v>8.0E+04</c:v>
                </c:pt>
              </c:strCache>
            </c:strRef>
          </c:tx>
          <c:marker>
            <c:symbol val="none"/>
          </c:marker>
          <c:xVal>
            <c:numRef>
              <c:f>CoupledSources!$A$62:$A$64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CoupledSources!$H$62:$H$64</c:f>
              <c:numCache>
                <c:formatCode>0.00E+00</c:formatCode>
                <c:ptCount val="3"/>
                <c:pt idx="0">
                  <c:v>1.0</c:v>
                </c:pt>
                <c:pt idx="1">
                  <c:v>0.977836879432624</c:v>
                </c:pt>
                <c:pt idx="2">
                  <c:v>0.937925170068027</c:v>
                </c:pt>
              </c:numCache>
            </c:numRef>
          </c:yVal>
        </c:ser>
        <c:ser>
          <c:idx val="7"/>
          <c:order val="7"/>
          <c:tx>
            <c:strRef>
              <c:f>CoupledSources!$I$61</c:f>
              <c:strCache>
                <c:ptCount val="1"/>
                <c:pt idx="0">
                  <c:v>1.6E+05</c:v>
                </c:pt>
              </c:strCache>
            </c:strRef>
          </c:tx>
          <c:marker>
            <c:symbol val="none"/>
          </c:marker>
          <c:xVal>
            <c:numRef>
              <c:f>CoupledSources!$A$62:$A$64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CoupledSources!$I$62:$I$64</c:f>
              <c:numCache>
                <c:formatCode>0.00E+00</c:formatCode>
                <c:ptCount val="3"/>
                <c:pt idx="0">
                  <c:v>1.0</c:v>
                </c:pt>
                <c:pt idx="1">
                  <c:v>0.96709323583181</c:v>
                </c:pt>
                <c:pt idx="2">
                  <c:v>0.921602787456446</c:v>
                </c:pt>
              </c:numCache>
            </c:numRef>
          </c:yVal>
        </c:ser>
        <c:ser>
          <c:idx val="8"/>
          <c:order val="8"/>
          <c:tx>
            <c:strRef>
              <c:f>CoupledSources!$J$61</c:f>
              <c:strCache>
                <c:ptCount val="1"/>
                <c:pt idx="0">
                  <c:v>2.0E+05</c:v>
                </c:pt>
              </c:strCache>
            </c:strRef>
          </c:tx>
          <c:marker>
            <c:symbol val="none"/>
          </c:marker>
          <c:xVal>
            <c:numRef>
              <c:f>CoupledSources!$A$62:$A$64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CoupledSources!$J$62:$J$64</c:f>
              <c:numCache>
                <c:formatCode>0.00E+00</c:formatCode>
                <c:ptCount val="3"/>
                <c:pt idx="0">
                  <c:v>1.0</c:v>
                </c:pt>
                <c:pt idx="1">
                  <c:v>0.987987987987988</c:v>
                </c:pt>
                <c:pt idx="2">
                  <c:v>0.814356435643564</c:v>
                </c:pt>
              </c:numCache>
            </c:numRef>
          </c:yVal>
        </c:ser>
        <c:ser>
          <c:idx val="9"/>
          <c:order val="9"/>
          <c:tx>
            <c:strRef>
              <c:f>CoupledSources!$K$61</c:f>
              <c:strCache>
                <c:ptCount val="1"/>
                <c:pt idx="0">
                  <c:v>4.0E+05</c:v>
                </c:pt>
              </c:strCache>
            </c:strRef>
          </c:tx>
          <c:marker>
            <c:symbol val="none"/>
          </c:marker>
          <c:xVal>
            <c:numRef>
              <c:f>CoupledSources!$A$62:$A$64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CoupledSources!$K$62:$K$64</c:f>
              <c:numCache>
                <c:formatCode>0.00E+00</c:formatCode>
                <c:ptCount val="3"/>
                <c:pt idx="0">
                  <c:v>1.0</c:v>
                </c:pt>
                <c:pt idx="1">
                  <c:v>0.952279202279202</c:v>
                </c:pt>
                <c:pt idx="2">
                  <c:v>0.923342541436464</c:v>
                </c:pt>
              </c:numCache>
            </c:numRef>
          </c:yVal>
        </c:ser>
        <c:ser>
          <c:idx val="10"/>
          <c:order val="10"/>
          <c:tx>
            <c:strRef>
              <c:f>CoupledSources!$L$61</c:f>
              <c:strCache>
                <c:ptCount val="1"/>
                <c:pt idx="0">
                  <c:v>8.0E+05</c:v>
                </c:pt>
              </c:strCache>
            </c:strRef>
          </c:tx>
          <c:marker>
            <c:symbol val="none"/>
          </c:marker>
          <c:xVal>
            <c:numRef>
              <c:f>CoupledSources!$A$62:$A$64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CoupledSources!$L$62:$L$64</c:f>
              <c:numCache>
                <c:formatCode>0.00E+00</c:formatCode>
                <c:ptCount val="3"/>
                <c:pt idx="0">
                  <c:v>1.0</c:v>
                </c:pt>
                <c:pt idx="1">
                  <c:v>0.951754385964912</c:v>
                </c:pt>
                <c:pt idx="2">
                  <c:v>0.941840277777778</c:v>
                </c:pt>
              </c:numCache>
            </c:numRef>
          </c:yVal>
        </c:ser>
        <c:ser>
          <c:idx val="11"/>
          <c:order val="11"/>
          <c:tx>
            <c:strRef>
              <c:f>CoupledSources!$M$61</c:f>
              <c:strCache>
                <c:ptCount val="1"/>
                <c:pt idx="0">
                  <c:v>1.6E+06</c:v>
                </c:pt>
              </c:strCache>
            </c:strRef>
          </c:tx>
          <c:marker>
            <c:symbol val="none"/>
          </c:marker>
          <c:xVal>
            <c:numRef>
              <c:f>CoupledSources!$A$62:$A$64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CoupledSources!$M$62:$M$64</c:f>
              <c:numCache>
                <c:formatCode>0.00E+00</c:formatCode>
                <c:ptCount val="3"/>
                <c:pt idx="0">
                  <c:v>1.0</c:v>
                </c:pt>
                <c:pt idx="1">
                  <c:v>0.993093922651934</c:v>
                </c:pt>
                <c:pt idx="2">
                  <c:v>0.872572815533981</c:v>
                </c:pt>
              </c:numCache>
            </c:numRef>
          </c:yVal>
        </c:ser>
        <c:axId val="503935720"/>
        <c:axId val="503943000"/>
      </c:scatterChart>
      <c:valAx>
        <c:axId val="503935720"/>
        <c:scaling>
          <c:orientation val="minMax"/>
          <c:max val="4.0"/>
          <c:min val="1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Cores</a:t>
                </a:r>
              </a:p>
            </c:rich>
          </c:tx>
        </c:title>
        <c:numFmt formatCode="General" sourceLinked="1"/>
        <c:tickLblPos val="nextTo"/>
        <c:crossAx val="503943000"/>
        <c:crosses val="autoZero"/>
        <c:crossBetween val="midCat"/>
        <c:majorUnit val="1.0"/>
      </c:valAx>
      <c:valAx>
        <c:axId val="503943000"/>
        <c:scaling>
          <c:orientation val="minMax"/>
          <c:max val="1.0"/>
          <c:min val="0.7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Parallel Efficiency</a:t>
                </a:r>
              </a:p>
            </c:rich>
          </c:tx>
        </c:title>
        <c:numFmt formatCode="0.0" sourceLinked="0"/>
        <c:tickLblPos val="nextTo"/>
        <c:crossAx val="503935720"/>
        <c:crosses val="autoZero"/>
        <c:crossBetween val="midCat"/>
        <c:majorUnit val="0.1"/>
      </c:valAx>
    </c:plotArea>
    <c:legend>
      <c:legendPos val="r"/>
      <c:layout>
        <c:manualLayout>
          <c:xMode val="edge"/>
          <c:yMode val="edge"/>
          <c:x val="0.783333333333333"/>
          <c:y val="0.0212288568095655"/>
          <c:w val="0.2"/>
          <c:h val="0.837171916010499"/>
        </c:manualLayout>
      </c:layout>
      <c:txPr>
        <a:bodyPr/>
        <a:lstStyle/>
        <a:p>
          <a:pPr>
            <a:defRPr sz="1200"/>
          </a:pPr>
          <a:endParaRPr lang="en-US"/>
        </a:p>
      </c:txPr>
    </c:legend>
    <c:plotVisOnly val="1"/>
  </c:chart>
  <c:txPr>
    <a:bodyPr/>
    <a:lstStyle/>
    <a:p>
      <a:pPr>
        <a:defRPr sz="1600" b="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49279967388273"/>
          <c:y val="0.0501869710106461"/>
          <c:w val="0.812627389559956"/>
          <c:h val="0.782825503553629"/>
        </c:manualLayout>
      </c:layout>
      <c:scatterChart>
        <c:scatterStyle val="lineMarker"/>
        <c:ser>
          <c:idx val="0"/>
          <c:order val="0"/>
          <c:tx>
            <c:strRef>
              <c:f>CoupledSources!$C$99</c:f>
              <c:strCache>
                <c:ptCount val="1"/>
                <c:pt idx="0">
                  <c:v>4.3E+05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CoupledSources!$C$100:$C$103</c:f>
              <c:numCache>
                <c:formatCode>0.00E+00</c:formatCode>
                <c:ptCount val="4"/>
                <c:pt idx="0">
                  <c:v>1.0</c:v>
                </c:pt>
                <c:pt idx="1">
                  <c:v>0.972762645914397</c:v>
                </c:pt>
                <c:pt idx="2">
                  <c:v>0.905797101449275</c:v>
                </c:pt>
                <c:pt idx="3">
                  <c:v>0.892857142857143</c:v>
                </c:pt>
              </c:numCache>
            </c:numRef>
          </c:yVal>
        </c:ser>
        <c:ser>
          <c:idx val="1"/>
          <c:order val="1"/>
          <c:tx>
            <c:strRef>
              <c:f>CoupledSources!$D$99</c:f>
              <c:strCache>
                <c:ptCount val="1"/>
                <c:pt idx="0">
                  <c:v>8.6E+05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CoupledSources!$D$100:$D$103</c:f>
              <c:numCache>
                <c:formatCode>0.00E+00</c:formatCode>
                <c:ptCount val="4"/>
                <c:pt idx="0">
                  <c:v>1.0</c:v>
                </c:pt>
                <c:pt idx="1">
                  <c:v>0.99251497005988</c:v>
                </c:pt>
                <c:pt idx="2">
                  <c:v>0.913223140495868</c:v>
                </c:pt>
                <c:pt idx="3">
                  <c:v>0.905737704918033</c:v>
                </c:pt>
              </c:numCache>
            </c:numRef>
          </c:yVal>
        </c:ser>
        <c:ser>
          <c:idx val="2"/>
          <c:order val="2"/>
          <c:tx>
            <c:strRef>
              <c:f>CoupledSources!$E$99</c:f>
              <c:strCache>
                <c:ptCount val="1"/>
                <c:pt idx="0">
                  <c:v>1.7E+06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CoupledSources!$E$100:$E$103</c:f>
              <c:numCache>
                <c:formatCode>0.00E+00</c:formatCode>
                <c:ptCount val="4"/>
                <c:pt idx="0">
                  <c:v>1.0</c:v>
                </c:pt>
                <c:pt idx="1">
                  <c:v>1.0</c:v>
                </c:pt>
                <c:pt idx="2">
                  <c:v>0.862373737373737</c:v>
                </c:pt>
                <c:pt idx="3">
                  <c:v>0.832926829268293</c:v>
                </c:pt>
              </c:numCache>
            </c:numRef>
          </c:yVal>
        </c:ser>
        <c:ser>
          <c:idx val="3"/>
          <c:order val="3"/>
          <c:tx>
            <c:strRef>
              <c:f>CoupledSources!$F$99</c:f>
              <c:strCache>
                <c:ptCount val="1"/>
                <c:pt idx="0">
                  <c:v>2.0E+04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Pt>
            <c:idx val="2"/>
            <c:spPr>
              <a:ln>
                <a:solidFill>
                  <a:srgbClr val="FF0000"/>
                </a:solidFill>
              </a:ln>
            </c:spPr>
          </c:dPt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CoupledSources!$F$100:$F$103</c:f>
              <c:numCache>
                <c:formatCode>0.00E+00</c:formatCode>
                <c:ptCount val="4"/>
                <c:pt idx="0">
                  <c:v>1.0</c:v>
                </c:pt>
                <c:pt idx="1">
                  <c:v>0.923645320197044</c:v>
                </c:pt>
                <c:pt idx="2">
                  <c:v>0.684306569343066</c:v>
                </c:pt>
                <c:pt idx="3">
                  <c:v>0.504032258064516</c:v>
                </c:pt>
              </c:numCache>
            </c:numRef>
          </c:yVal>
        </c:ser>
        <c:ser>
          <c:idx val="4"/>
          <c:order val="4"/>
          <c:tx>
            <c:strRef>
              <c:f>CoupledSources!$G$99</c:f>
              <c:strCache>
                <c:ptCount val="1"/>
                <c:pt idx="0">
                  <c:v>4.0E+04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CoupledSources!$G$100:$G$103</c:f>
              <c:numCache>
                <c:formatCode>0.00E+00</c:formatCode>
                <c:ptCount val="4"/>
                <c:pt idx="0">
                  <c:v>1.0</c:v>
                </c:pt>
                <c:pt idx="1">
                  <c:v>0.901515151515151</c:v>
                </c:pt>
                <c:pt idx="2">
                  <c:v>0.86231884057971</c:v>
                </c:pt>
                <c:pt idx="3">
                  <c:v>0.787037037037037</c:v>
                </c:pt>
              </c:numCache>
            </c:numRef>
          </c:yVal>
        </c:ser>
        <c:ser>
          <c:idx val="5"/>
          <c:order val="5"/>
          <c:tx>
            <c:strRef>
              <c:f>CoupledSources!$H$99</c:f>
              <c:strCache>
                <c:ptCount val="1"/>
                <c:pt idx="0">
                  <c:v>8.0E+04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CoupledSources!$H$100:$H$103</c:f>
              <c:numCache>
                <c:formatCode>0.00E+00</c:formatCode>
                <c:ptCount val="4"/>
                <c:pt idx="0">
                  <c:v>1.0</c:v>
                </c:pt>
                <c:pt idx="1">
                  <c:v>0.890207715133531</c:v>
                </c:pt>
                <c:pt idx="2">
                  <c:v>0.87463556851312</c:v>
                </c:pt>
                <c:pt idx="3">
                  <c:v>0.824175824175824</c:v>
                </c:pt>
              </c:numCache>
            </c:numRef>
          </c:yVal>
        </c:ser>
        <c:ser>
          <c:idx val="6"/>
          <c:order val="6"/>
          <c:tx>
            <c:strRef>
              <c:f>CoupledSources!$I$99</c:f>
              <c:strCache>
                <c:ptCount val="1"/>
                <c:pt idx="0">
                  <c:v>1.6E+05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CoupledSources!$I$100:$I$103</c:f>
              <c:numCache>
                <c:formatCode>0.00E+00</c:formatCode>
                <c:ptCount val="4"/>
                <c:pt idx="0">
                  <c:v>1.0</c:v>
                </c:pt>
                <c:pt idx="1">
                  <c:v>0.932521087160262</c:v>
                </c:pt>
                <c:pt idx="2">
                  <c:v>0.904545454545455</c:v>
                </c:pt>
                <c:pt idx="3">
                  <c:v>0.863715277777778</c:v>
                </c:pt>
              </c:numCache>
            </c:numRef>
          </c:yVal>
        </c:ser>
        <c:ser>
          <c:idx val="7"/>
          <c:order val="7"/>
          <c:tx>
            <c:strRef>
              <c:f>CoupledSources!$J$99</c:f>
              <c:strCache>
                <c:ptCount val="1"/>
                <c:pt idx="0">
                  <c:v>2.0E+05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CoupledSources!$J$100:$J$103</c:f>
              <c:numCache>
                <c:formatCode>0.00E+00</c:formatCode>
                <c:ptCount val="4"/>
                <c:pt idx="0">
                  <c:v>1.0</c:v>
                </c:pt>
                <c:pt idx="1">
                  <c:v>0.972782258064516</c:v>
                </c:pt>
                <c:pt idx="2">
                  <c:v>0.861607142857143</c:v>
                </c:pt>
                <c:pt idx="3">
                  <c:v>0.689285714285714</c:v>
                </c:pt>
              </c:numCache>
            </c:numRef>
          </c:yVal>
        </c:ser>
        <c:ser>
          <c:idx val="8"/>
          <c:order val="8"/>
          <c:tx>
            <c:strRef>
              <c:f>CoupledSources!$K$99</c:f>
              <c:strCache>
                <c:ptCount val="1"/>
                <c:pt idx="0">
                  <c:v>4.0E+05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CoupledSources!$K$100:$K$103</c:f>
              <c:numCache>
                <c:formatCode>0.00E+00</c:formatCode>
                <c:ptCount val="4"/>
                <c:pt idx="0">
                  <c:v>1.0</c:v>
                </c:pt>
                <c:pt idx="1">
                  <c:v>0.966666666666667</c:v>
                </c:pt>
                <c:pt idx="2">
                  <c:v>0.88145896656535</c:v>
                </c:pt>
                <c:pt idx="3">
                  <c:v>0.805555555555556</c:v>
                </c:pt>
              </c:numCache>
            </c:numRef>
          </c:yVal>
        </c:ser>
        <c:ser>
          <c:idx val="9"/>
          <c:order val="9"/>
          <c:tx>
            <c:strRef>
              <c:f>CoupledSources!$L$99</c:f>
              <c:strCache>
                <c:ptCount val="1"/>
                <c:pt idx="0">
                  <c:v>8.0E+05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CoupledSources!$L$100:$L$103</c:f>
              <c:numCache>
                <c:formatCode>0.00E+00</c:formatCode>
                <c:ptCount val="4"/>
                <c:pt idx="0">
                  <c:v>1.0</c:v>
                </c:pt>
                <c:pt idx="1">
                  <c:v>0.991253644314869</c:v>
                </c:pt>
                <c:pt idx="2">
                  <c:v>0.941828254847645</c:v>
                </c:pt>
                <c:pt idx="3">
                  <c:v>0.934065934065934</c:v>
                </c:pt>
              </c:numCache>
            </c:numRef>
          </c:yVal>
        </c:ser>
        <c:ser>
          <c:idx val="10"/>
          <c:order val="10"/>
          <c:tx>
            <c:strRef>
              <c:f>CoupledSources!$M$99</c:f>
              <c:strCache>
                <c:ptCount val="1"/>
                <c:pt idx="0">
                  <c:v>1.6E+06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CoupledSources!$M$100:$M$103</c:f>
              <c:numCache>
                <c:formatCode>0.00E+00</c:formatCode>
                <c:ptCount val="4"/>
                <c:pt idx="0">
                  <c:v>1.0</c:v>
                </c:pt>
                <c:pt idx="1">
                  <c:v>0.967908902691511</c:v>
                </c:pt>
                <c:pt idx="2">
                  <c:v>0.918467583497053</c:v>
                </c:pt>
                <c:pt idx="3">
                  <c:v>0.909533073929961</c:v>
                </c:pt>
              </c:numCache>
            </c:numRef>
          </c:yVal>
        </c:ser>
        <c:ser>
          <c:idx val="11"/>
          <c:order val="11"/>
          <c:tx>
            <c:strRef>
              <c:f>CoupledSources!$N$99</c:f>
              <c:strCache>
                <c:ptCount val="1"/>
                <c:pt idx="0">
                  <c:v>1.0E+06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CoupledSources!$N$100:$N$103</c:f>
              <c:numCache>
                <c:formatCode>0.00E+00</c:formatCode>
                <c:ptCount val="4"/>
                <c:pt idx="0">
                  <c:v>1.0</c:v>
                </c:pt>
                <c:pt idx="1">
                  <c:v>0.988924050632911</c:v>
                </c:pt>
                <c:pt idx="2">
                  <c:v>0.773514851485148</c:v>
                </c:pt>
                <c:pt idx="3">
                  <c:v>0.685307017543859</c:v>
                </c:pt>
              </c:numCache>
            </c:numRef>
          </c:yVal>
        </c:ser>
        <c:ser>
          <c:idx val="12"/>
          <c:order val="12"/>
          <c:tx>
            <c:strRef>
              <c:f>CoupledSources!$O$99</c:f>
              <c:strCache>
                <c:ptCount val="1"/>
                <c:pt idx="0">
                  <c:v>2.0E+06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CoupledSources!$O$100:$O$103</c:f>
              <c:numCache>
                <c:formatCode>0.00E+00</c:formatCode>
                <c:ptCount val="4"/>
                <c:pt idx="0">
                  <c:v>1.0</c:v>
                </c:pt>
                <c:pt idx="1">
                  <c:v>0.936807095343681</c:v>
                </c:pt>
                <c:pt idx="2">
                  <c:v>0.902777777777778</c:v>
                </c:pt>
                <c:pt idx="3">
                  <c:v>0.815637065637066</c:v>
                </c:pt>
              </c:numCache>
            </c:numRef>
          </c:yVal>
        </c:ser>
        <c:ser>
          <c:idx val="13"/>
          <c:order val="13"/>
          <c:tx>
            <c:strRef>
              <c:f>CoupledSources!$P$99</c:f>
              <c:strCache>
                <c:ptCount val="1"/>
                <c:pt idx="0">
                  <c:v>4.0E+06</c:v>
                </c:pt>
              </c:strCache>
            </c:strRef>
          </c:tx>
          <c:marker>
            <c:symbol val="none"/>
          </c:marker>
          <c:dPt>
            <c:idx val="2"/>
            <c:spPr>
              <a:ln>
                <a:solidFill>
                  <a:srgbClr val="008000"/>
                </a:solidFill>
              </a:ln>
            </c:spPr>
          </c:dPt>
          <c:dPt>
            <c:idx val="3"/>
            <c:spPr>
              <a:ln>
                <a:solidFill>
                  <a:srgbClr val="008000"/>
                </a:solidFill>
              </a:ln>
            </c:spPr>
          </c:dPt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CoupledSources!$P$100:$P$103</c:f>
              <c:numCache>
                <c:formatCode>0.00E+00</c:formatCode>
                <c:ptCount val="4"/>
                <c:pt idx="0">
                  <c:v>1.0</c:v>
                </c:pt>
                <c:pt idx="1">
                  <c:v>0.982384823848239</c:v>
                </c:pt>
                <c:pt idx="2">
                  <c:v>0.901741293532338</c:v>
                </c:pt>
                <c:pt idx="3">
                  <c:v>0.831422018348624</c:v>
                </c:pt>
              </c:numCache>
            </c:numRef>
          </c:yVal>
        </c:ser>
        <c:ser>
          <c:idx val="14"/>
          <c:order val="14"/>
          <c:tx>
            <c:strRef>
              <c:f>CoupledSources!$Q$99</c:f>
              <c:strCache>
                <c:ptCount val="1"/>
                <c:pt idx="0">
                  <c:v>8.0E+06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CoupledSources!$A$100:$A$103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CoupledSources!$Q$100:$Q$103</c:f>
              <c:numCache>
                <c:formatCode>0.00E+00</c:formatCode>
                <c:ptCount val="4"/>
                <c:pt idx="0">
                  <c:v>1.0</c:v>
                </c:pt>
                <c:pt idx="1">
                  <c:v>0.980813953488372</c:v>
                </c:pt>
                <c:pt idx="2">
                  <c:v>0.910907127429806</c:v>
                </c:pt>
                <c:pt idx="3">
                  <c:v>0.871384297520661</c:v>
                </c:pt>
              </c:numCache>
            </c:numRef>
          </c:yVal>
        </c:ser>
        <c:axId val="504035240"/>
        <c:axId val="504042344"/>
      </c:scatterChart>
      <c:valAx>
        <c:axId val="504035240"/>
        <c:scaling>
          <c:orientation val="minMax"/>
          <c:max val="8.0"/>
          <c:min val="1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Cores</a:t>
                </a:r>
              </a:p>
            </c:rich>
          </c:tx>
          <c:layout/>
        </c:title>
        <c:numFmt formatCode="General" sourceLinked="1"/>
        <c:tickLblPos val="nextTo"/>
        <c:crossAx val="504042344"/>
        <c:crosses val="autoZero"/>
        <c:crossBetween val="midCat"/>
      </c:valAx>
      <c:valAx>
        <c:axId val="504042344"/>
        <c:scaling>
          <c:orientation val="minMax"/>
          <c:max val="1.0"/>
          <c:min val="0.5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Parallel Efficiency</a:t>
                </a:r>
              </a:p>
            </c:rich>
          </c:tx>
          <c:layout/>
        </c:title>
        <c:numFmt formatCode="0.0" sourceLinked="0"/>
        <c:tickLblPos val="nextTo"/>
        <c:crossAx val="504035240"/>
        <c:crosses val="autoZero"/>
        <c:crossBetween val="midCat"/>
        <c:majorUnit val="0.1"/>
      </c:valAx>
    </c:plotArea>
    <c:plotVisOnly val="1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16843098972301"/>
          <c:y val="0.049813833679712"/>
          <c:w val="0.845064257975927"/>
          <c:h val="0.758417878991892"/>
        </c:manualLayout>
      </c:layout>
      <c:scatterChart>
        <c:scatterStyle val="lineMarker"/>
        <c:ser>
          <c:idx val="1"/>
          <c:order val="0"/>
          <c:spPr>
            <a:ln>
              <a:solidFill>
                <a:srgbClr val="008000"/>
              </a:solidFill>
            </a:ln>
          </c:spPr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CoupledSources!$C$106:$C$109</c:f>
              <c:numCache>
                <c:formatCode>General</c:formatCode>
                <c:ptCount val="4"/>
                <c:pt idx="0">
                  <c:v>1.0</c:v>
                </c:pt>
                <c:pt idx="1">
                  <c:v>1.945525291828794</c:v>
                </c:pt>
                <c:pt idx="2">
                  <c:v>3.623188405797101</c:v>
                </c:pt>
                <c:pt idx="3">
                  <c:v>7.142857142857143</c:v>
                </c:pt>
              </c:numCache>
            </c:numRef>
          </c:yVal>
        </c:ser>
        <c:ser>
          <c:idx val="2"/>
          <c:order val="1"/>
          <c:spPr>
            <a:ln>
              <a:solidFill>
                <a:schemeClr val="tx1"/>
              </a:solidFill>
            </a:ln>
          </c:spPr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CoupledSources!$D$106:$D$109</c:f>
              <c:numCache>
                <c:formatCode>General</c:formatCode>
                <c:ptCount val="4"/>
                <c:pt idx="0">
                  <c:v>1.0</c:v>
                </c:pt>
                <c:pt idx="1">
                  <c:v>1.98502994011976</c:v>
                </c:pt>
                <c:pt idx="2">
                  <c:v>3.652892561983471</c:v>
                </c:pt>
                <c:pt idx="3">
                  <c:v>7.245901639344262</c:v>
                </c:pt>
              </c:numCache>
            </c:numRef>
          </c:yVal>
        </c:ser>
        <c:ser>
          <c:idx val="3"/>
          <c:order val="2"/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CoupledSources!$E$106:$E$109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3.449494949494949</c:v>
                </c:pt>
                <c:pt idx="3">
                  <c:v>6.663414634146341</c:v>
                </c:pt>
              </c:numCache>
            </c:numRef>
          </c:yVal>
        </c:ser>
        <c:ser>
          <c:idx val="4"/>
          <c:order val="3"/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CoupledSources!$F$106:$F$109</c:f>
              <c:numCache>
                <c:formatCode>General</c:formatCode>
                <c:ptCount val="4"/>
                <c:pt idx="0">
                  <c:v>1.0</c:v>
                </c:pt>
                <c:pt idx="1">
                  <c:v>1.847290640394088</c:v>
                </c:pt>
                <c:pt idx="2">
                  <c:v>2.737226277372263</c:v>
                </c:pt>
                <c:pt idx="3">
                  <c:v>4.032258064516128</c:v>
                </c:pt>
              </c:numCache>
            </c:numRef>
          </c:yVal>
        </c:ser>
        <c:ser>
          <c:idx val="5"/>
          <c:order val="4"/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CoupledSources!$G$106:$G$109</c:f>
              <c:numCache>
                <c:formatCode>General</c:formatCode>
                <c:ptCount val="4"/>
                <c:pt idx="0">
                  <c:v>1.0</c:v>
                </c:pt>
                <c:pt idx="1">
                  <c:v>1.803030303030303</c:v>
                </c:pt>
                <c:pt idx="2">
                  <c:v>3.449275362318841</c:v>
                </c:pt>
                <c:pt idx="3">
                  <c:v>6.296296296296297</c:v>
                </c:pt>
              </c:numCache>
            </c:numRef>
          </c:yVal>
        </c:ser>
        <c:ser>
          <c:idx val="6"/>
          <c:order val="5"/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CoupledSources!$H$106:$H$109</c:f>
              <c:numCache>
                <c:formatCode>General</c:formatCode>
                <c:ptCount val="4"/>
                <c:pt idx="0">
                  <c:v>1.0</c:v>
                </c:pt>
                <c:pt idx="1">
                  <c:v>1.780415430267062</c:v>
                </c:pt>
                <c:pt idx="2">
                  <c:v>3.498542274052478</c:v>
                </c:pt>
                <c:pt idx="3">
                  <c:v>6.593406593406594</c:v>
                </c:pt>
              </c:numCache>
            </c:numRef>
          </c:yVal>
        </c:ser>
        <c:ser>
          <c:idx val="7"/>
          <c:order val="6"/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CoupledSources!$I$106:$I$109</c:f>
              <c:numCache>
                <c:formatCode>General</c:formatCode>
                <c:ptCount val="4"/>
                <c:pt idx="0">
                  <c:v>1.0</c:v>
                </c:pt>
                <c:pt idx="1">
                  <c:v>1.865042174320525</c:v>
                </c:pt>
                <c:pt idx="2">
                  <c:v>3.618181818181818</c:v>
                </c:pt>
                <c:pt idx="3">
                  <c:v>6.909722222222222</c:v>
                </c:pt>
              </c:numCache>
            </c:numRef>
          </c:yVal>
        </c:ser>
        <c:ser>
          <c:idx val="8"/>
          <c:order val="7"/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CoupledSources!$J$106:$J$109</c:f>
              <c:numCache>
                <c:formatCode>General</c:formatCode>
                <c:ptCount val="4"/>
                <c:pt idx="0">
                  <c:v>1.0</c:v>
                </c:pt>
                <c:pt idx="1">
                  <c:v>1.945564516129032</c:v>
                </c:pt>
                <c:pt idx="2">
                  <c:v>3.446428571428572</c:v>
                </c:pt>
                <c:pt idx="3">
                  <c:v>5.514285714285714</c:v>
                </c:pt>
              </c:numCache>
            </c:numRef>
          </c:yVal>
        </c:ser>
        <c:ser>
          <c:idx val="9"/>
          <c:order val="8"/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CoupledSources!$K$106:$K$109</c:f>
              <c:numCache>
                <c:formatCode>General</c:formatCode>
                <c:ptCount val="4"/>
                <c:pt idx="0">
                  <c:v>1.0</c:v>
                </c:pt>
                <c:pt idx="1">
                  <c:v>1.933333333333333</c:v>
                </c:pt>
                <c:pt idx="2">
                  <c:v>3.525835866261398</c:v>
                </c:pt>
                <c:pt idx="3">
                  <c:v>6.444444444444444</c:v>
                </c:pt>
              </c:numCache>
            </c:numRef>
          </c:yVal>
        </c:ser>
        <c:ser>
          <c:idx val="10"/>
          <c:order val="9"/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CoupledSources!$L$106:$L$109</c:f>
              <c:numCache>
                <c:formatCode>General</c:formatCode>
                <c:ptCount val="4"/>
                <c:pt idx="0">
                  <c:v>1.0</c:v>
                </c:pt>
                <c:pt idx="1">
                  <c:v>1.982507288629738</c:v>
                </c:pt>
                <c:pt idx="2">
                  <c:v>3.767313019390582</c:v>
                </c:pt>
                <c:pt idx="3">
                  <c:v>7.472527472527473</c:v>
                </c:pt>
              </c:numCache>
            </c:numRef>
          </c:yVal>
        </c:ser>
        <c:ser>
          <c:idx val="11"/>
          <c:order val="10"/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CoupledSources!$M$106:$M$109</c:f>
              <c:numCache>
                <c:formatCode>General</c:formatCode>
                <c:ptCount val="4"/>
                <c:pt idx="0">
                  <c:v>1.0</c:v>
                </c:pt>
                <c:pt idx="1">
                  <c:v>1.935817805383023</c:v>
                </c:pt>
                <c:pt idx="2">
                  <c:v>3.673870333988212</c:v>
                </c:pt>
                <c:pt idx="3">
                  <c:v>7.276264591439688</c:v>
                </c:pt>
              </c:numCache>
            </c:numRef>
          </c:yVal>
        </c:ser>
        <c:ser>
          <c:idx val="12"/>
          <c:order val="11"/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CoupledSources!$N$106:$N$109</c:f>
              <c:numCache>
                <c:formatCode>General</c:formatCode>
                <c:ptCount val="4"/>
                <c:pt idx="0">
                  <c:v>1.0</c:v>
                </c:pt>
                <c:pt idx="1">
                  <c:v>1.977848101265823</c:v>
                </c:pt>
                <c:pt idx="2">
                  <c:v>3.094059405940594</c:v>
                </c:pt>
                <c:pt idx="3">
                  <c:v>5.482456140350876</c:v>
                </c:pt>
              </c:numCache>
            </c:numRef>
          </c:yVal>
        </c:ser>
        <c:ser>
          <c:idx val="13"/>
          <c:order val="12"/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CoupledSources!$O$106:$O$109</c:f>
              <c:numCache>
                <c:formatCode>General</c:formatCode>
                <c:ptCount val="4"/>
                <c:pt idx="0">
                  <c:v>1.0</c:v>
                </c:pt>
                <c:pt idx="1">
                  <c:v>1.873614190687361</c:v>
                </c:pt>
                <c:pt idx="2">
                  <c:v>3.611111111111111</c:v>
                </c:pt>
                <c:pt idx="3">
                  <c:v>6.525096525096526</c:v>
                </c:pt>
              </c:numCache>
            </c:numRef>
          </c:yVal>
        </c:ser>
        <c:ser>
          <c:idx val="14"/>
          <c:order val="13"/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CoupledSources!$P$106:$P$109</c:f>
              <c:numCache>
                <c:formatCode>General</c:formatCode>
                <c:ptCount val="4"/>
                <c:pt idx="0">
                  <c:v>1.0</c:v>
                </c:pt>
                <c:pt idx="1">
                  <c:v>1.964769647696477</c:v>
                </c:pt>
                <c:pt idx="2">
                  <c:v>3.606965174129353</c:v>
                </c:pt>
                <c:pt idx="3">
                  <c:v>6.651376146788991</c:v>
                </c:pt>
              </c:numCache>
            </c:numRef>
          </c:yVal>
        </c:ser>
        <c:ser>
          <c:idx val="15"/>
          <c:order val="14"/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CoupledSources!$Q$106:$Q$109</c:f>
              <c:numCache>
                <c:formatCode>General</c:formatCode>
                <c:ptCount val="4"/>
                <c:pt idx="0">
                  <c:v>1.0</c:v>
                </c:pt>
                <c:pt idx="1">
                  <c:v>1.961627906976744</c:v>
                </c:pt>
                <c:pt idx="2">
                  <c:v>3.643628509719222</c:v>
                </c:pt>
                <c:pt idx="3">
                  <c:v>6.97107438016529</c:v>
                </c:pt>
              </c:numCache>
            </c:numRef>
          </c:yVal>
        </c:ser>
        <c:ser>
          <c:idx val="16"/>
          <c:order val="15"/>
          <c:spPr>
            <a:ln w="41275">
              <a:solidFill>
                <a:schemeClr val="tx1"/>
              </a:solidFill>
            </a:ln>
          </c:spPr>
          <c:x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xVal>
          <c:yVal>
            <c:numRef>
              <c:f>CoupledSources!$A$106:$A$109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yVal>
        </c:ser>
        <c:axId val="458062488"/>
        <c:axId val="457628968"/>
      </c:scatterChart>
      <c:valAx>
        <c:axId val="458062488"/>
        <c:scaling>
          <c:orientation val="minMax"/>
          <c:max val="8.0"/>
          <c:min val="1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Cores</a:t>
                </a:r>
              </a:p>
            </c:rich>
          </c:tx>
          <c:layout/>
        </c:title>
        <c:numFmt formatCode="General" sourceLinked="1"/>
        <c:tickLblPos val="nextTo"/>
        <c:crossAx val="457628968"/>
        <c:crosses val="autoZero"/>
        <c:crossBetween val="midCat"/>
      </c:valAx>
      <c:valAx>
        <c:axId val="4576289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Speedup</a:t>
                </a:r>
              </a:p>
            </c:rich>
          </c:tx>
          <c:layout/>
        </c:title>
        <c:numFmt formatCode="0" sourceLinked="0"/>
        <c:tickLblPos val="nextTo"/>
        <c:crossAx val="458062488"/>
        <c:crosses val="autoZero"/>
        <c:crossBetween val="midCat"/>
      </c:valAx>
    </c:plotArea>
    <c:plotVisOnly val="1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chart" Target="../charts/chart12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5</xdr:row>
      <xdr:rowOff>101600</xdr:rowOff>
    </xdr:from>
    <xdr:to>
      <xdr:col>10</xdr:col>
      <xdr:colOff>317500</xdr:colOff>
      <xdr:row>22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508000</xdr:colOff>
      <xdr:row>22</xdr:row>
      <xdr:rowOff>139700</xdr:rowOff>
    </xdr:from>
    <xdr:to>
      <xdr:col>10</xdr:col>
      <xdr:colOff>317500</xdr:colOff>
      <xdr:row>39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889000</xdr:colOff>
      <xdr:row>89</xdr:row>
      <xdr:rowOff>50800</xdr:rowOff>
    </xdr:from>
    <xdr:to>
      <xdr:col>6</xdr:col>
      <xdr:colOff>800100</xdr:colOff>
      <xdr:row>109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876300</xdr:colOff>
      <xdr:row>89</xdr:row>
      <xdr:rowOff>63500</xdr:rowOff>
    </xdr:from>
    <xdr:to>
      <xdr:col>11</xdr:col>
      <xdr:colOff>762000</xdr:colOff>
      <xdr:row>109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1</xdr:row>
      <xdr:rowOff>127000</xdr:rowOff>
    </xdr:from>
    <xdr:to>
      <xdr:col>9</xdr:col>
      <xdr:colOff>304800</xdr:colOff>
      <xdr:row>18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19</xdr:row>
      <xdr:rowOff>12700</xdr:rowOff>
    </xdr:from>
    <xdr:to>
      <xdr:col>10</xdr:col>
      <xdr:colOff>38100</xdr:colOff>
      <xdr:row>35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</xdr:colOff>
      <xdr:row>60</xdr:row>
      <xdr:rowOff>76200</xdr:rowOff>
    </xdr:from>
    <xdr:to>
      <xdr:col>10</xdr:col>
      <xdr:colOff>876300</xdr:colOff>
      <xdr:row>81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863600</xdr:colOff>
      <xdr:row>60</xdr:row>
      <xdr:rowOff>25400</xdr:rowOff>
    </xdr:from>
    <xdr:to>
      <xdr:col>5</xdr:col>
      <xdr:colOff>774700</xdr:colOff>
      <xdr:row>80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26</xdr:row>
      <xdr:rowOff>114300</xdr:rowOff>
    </xdr:from>
    <xdr:to>
      <xdr:col>8</xdr:col>
      <xdr:colOff>228600</xdr:colOff>
      <xdr:row>51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495300</xdr:colOff>
      <xdr:row>65</xdr:row>
      <xdr:rowOff>25400</xdr:rowOff>
    </xdr:from>
    <xdr:to>
      <xdr:col>6</xdr:col>
      <xdr:colOff>304800</xdr:colOff>
      <xdr:row>81</xdr:row>
      <xdr:rowOff>127000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571500</xdr:colOff>
      <xdr:row>114</xdr:row>
      <xdr:rowOff>0</xdr:rowOff>
    </xdr:from>
    <xdr:to>
      <xdr:col>7</xdr:col>
      <xdr:colOff>469900</xdr:colOff>
      <xdr:row>134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584200</xdr:colOff>
      <xdr:row>113</xdr:row>
      <xdr:rowOff>152400</xdr:rowOff>
    </xdr:from>
    <xdr:to>
      <xdr:col>12</xdr:col>
      <xdr:colOff>482600</xdr:colOff>
      <xdr:row>134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85"/>
  <sheetViews>
    <sheetView topLeftCell="A79" workbookViewId="0">
      <selection activeCell="B93" sqref="B93"/>
    </sheetView>
  </sheetViews>
  <sheetFormatPr baseColWidth="10" defaultRowHeight="13"/>
  <sheetData>
    <row r="1" spans="1:7">
      <c r="A1" t="s">
        <v>9</v>
      </c>
    </row>
    <row r="4" spans="1:7">
      <c r="A4" t="s">
        <v>0</v>
      </c>
      <c r="E4" s="38">
        <f>8*25^3</f>
        <v>125000</v>
      </c>
    </row>
    <row r="5" spans="1:7">
      <c r="B5" t="s">
        <v>1</v>
      </c>
      <c r="C5" t="s">
        <v>6</v>
      </c>
      <c r="D5" t="s">
        <v>7</v>
      </c>
      <c r="E5" t="s">
        <v>8</v>
      </c>
    </row>
    <row r="6" spans="1:7">
      <c r="A6">
        <v>1</v>
      </c>
      <c r="B6">
        <v>59.4</v>
      </c>
      <c r="C6" s="4">
        <f>B6/$B$6</f>
        <v>1</v>
      </c>
      <c r="D6" s="4">
        <f>1/C6</f>
        <v>1</v>
      </c>
      <c r="E6" s="4">
        <f>D6/A6</f>
        <v>1</v>
      </c>
      <c r="G6">
        <v>1</v>
      </c>
    </row>
    <row r="7" spans="1:7">
      <c r="A7">
        <v>2</v>
      </c>
      <c r="B7">
        <v>31.3</v>
      </c>
      <c r="C7" s="4">
        <f t="shared" ref="C7:C9" si="0">B7/$B$6</f>
        <v>0.52693602693602692</v>
      </c>
      <c r="D7" s="4">
        <f t="shared" ref="D7:D9" si="1">1/C7</f>
        <v>1.8977635782747604</v>
      </c>
      <c r="E7" s="4">
        <f t="shared" ref="E7:E9" si="2">D7/A7</f>
        <v>0.94888178913738019</v>
      </c>
      <c r="G7">
        <v>2</v>
      </c>
    </row>
    <row r="8" spans="1:7">
      <c r="A8">
        <v>3</v>
      </c>
      <c r="B8">
        <v>24.8</v>
      </c>
      <c r="C8" s="4">
        <f t="shared" si="0"/>
        <v>0.41750841750841755</v>
      </c>
      <c r="D8" s="4">
        <f t="shared" si="1"/>
        <v>2.3951612903225805</v>
      </c>
      <c r="E8" s="4">
        <f t="shared" si="2"/>
        <v>0.79838709677419351</v>
      </c>
      <c r="G8">
        <v>3</v>
      </c>
    </row>
    <row r="9" spans="1:7">
      <c r="A9">
        <v>4</v>
      </c>
      <c r="B9">
        <v>22.5</v>
      </c>
      <c r="C9" s="4">
        <f t="shared" si="0"/>
        <v>0.37878787878787878</v>
      </c>
      <c r="D9" s="4">
        <f t="shared" si="1"/>
        <v>2.64</v>
      </c>
      <c r="E9" s="4">
        <f t="shared" si="2"/>
        <v>0.66</v>
      </c>
      <c r="G9">
        <v>4</v>
      </c>
    </row>
    <row r="10" spans="1:7">
      <c r="C10" s="4"/>
      <c r="D10" s="4"/>
      <c r="E10" s="4"/>
    </row>
    <row r="11" spans="1:7">
      <c r="A11" t="s">
        <v>2</v>
      </c>
      <c r="C11" s="4"/>
      <c r="D11" s="4"/>
      <c r="E11" s="38">
        <f>16*25^3</f>
        <v>250000</v>
      </c>
    </row>
    <row r="12" spans="1:7">
      <c r="C12" s="4"/>
      <c r="D12" s="4"/>
      <c r="E12" s="4"/>
    </row>
    <row r="13" spans="1:7">
      <c r="A13">
        <v>1</v>
      </c>
      <c r="B13">
        <v>123</v>
      </c>
      <c r="C13" s="4">
        <f>B13/$B$13</f>
        <v>1</v>
      </c>
      <c r="D13" s="4">
        <f>1/C13</f>
        <v>1</v>
      </c>
      <c r="E13" s="4">
        <f>D13/A13</f>
        <v>1</v>
      </c>
    </row>
    <row r="14" spans="1:7">
      <c r="A14">
        <v>2</v>
      </c>
      <c r="B14">
        <v>65.2</v>
      </c>
      <c r="C14" s="4">
        <f t="shared" ref="C14:C16" si="3">B14/$B$13</f>
        <v>0.53008130081300819</v>
      </c>
      <c r="D14" s="4">
        <f t="shared" ref="D14:D16" si="4">1/C14</f>
        <v>1.8865030674846623</v>
      </c>
      <c r="E14" s="4">
        <f t="shared" ref="E14:E16" si="5">D14/A14</f>
        <v>0.94325153374233117</v>
      </c>
    </row>
    <row r="15" spans="1:7">
      <c r="A15">
        <v>3</v>
      </c>
      <c r="B15">
        <v>47.2</v>
      </c>
      <c r="C15" s="4">
        <f t="shared" si="3"/>
        <v>0.38373983739837403</v>
      </c>
      <c r="D15" s="4">
        <f t="shared" si="4"/>
        <v>2.60593220338983</v>
      </c>
      <c r="E15" s="4">
        <f t="shared" si="5"/>
        <v>0.86864406779660996</v>
      </c>
    </row>
    <row r="16" spans="1:7">
      <c r="A16">
        <v>4</v>
      </c>
      <c r="B16">
        <v>42.9</v>
      </c>
      <c r="C16" s="4">
        <f t="shared" si="3"/>
        <v>0.34878048780487803</v>
      </c>
      <c r="D16" s="4">
        <f t="shared" si="4"/>
        <v>2.8671328671328675</v>
      </c>
      <c r="E16" s="4">
        <f t="shared" si="5"/>
        <v>0.71678321678321688</v>
      </c>
    </row>
    <row r="17" spans="1:5">
      <c r="C17" s="4"/>
      <c r="D17" s="4"/>
      <c r="E17" s="4"/>
    </row>
    <row r="18" spans="1:5">
      <c r="A18" t="s">
        <v>3</v>
      </c>
      <c r="C18" s="4"/>
      <c r="D18" s="4"/>
      <c r="E18" s="38">
        <f>32*25^3</f>
        <v>500000</v>
      </c>
    </row>
    <row r="19" spans="1:5">
      <c r="C19" s="4"/>
      <c r="D19" s="4"/>
      <c r="E19" s="4"/>
    </row>
    <row r="20" spans="1:5">
      <c r="A20">
        <v>1</v>
      </c>
      <c r="B20">
        <v>111.5</v>
      </c>
      <c r="C20" s="4">
        <f>B20/$B$20</f>
        <v>1</v>
      </c>
      <c r="D20" s="4">
        <f>1/C20</f>
        <v>1</v>
      </c>
      <c r="E20" s="4">
        <f>D20/A20</f>
        <v>1</v>
      </c>
    </row>
    <row r="21" spans="1:5">
      <c r="A21">
        <v>2</v>
      </c>
      <c r="B21">
        <v>59</v>
      </c>
      <c r="C21" s="4">
        <f t="shared" ref="C21:C23" si="6">B21/$B$20</f>
        <v>0.52914798206278024</v>
      </c>
      <c r="D21" s="4">
        <f t="shared" ref="D21:D23" si="7">1/C21</f>
        <v>1.8898305084745763</v>
      </c>
      <c r="E21" s="4">
        <f t="shared" ref="E21:E23" si="8">D21/A21</f>
        <v>0.94491525423728817</v>
      </c>
    </row>
    <row r="22" spans="1:5">
      <c r="A22">
        <v>3</v>
      </c>
      <c r="B22">
        <v>48.3</v>
      </c>
      <c r="C22" s="4">
        <f t="shared" si="6"/>
        <v>0.43318385650224212</v>
      </c>
      <c r="D22" s="4">
        <f t="shared" si="7"/>
        <v>2.308488612836439</v>
      </c>
      <c r="E22" s="4">
        <f t="shared" si="8"/>
        <v>0.76949620427881305</v>
      </c>
    </row>
    <row r="23" spans="1:5">
      <c r="A23">
        <v>4</v>
      </c>
      <c r="B23">
        <v>43.8</v>
      </c>
      <c r="C23" s="4">
        <f t="shared" si="6"/>
        <v>0.39282511210762328</v>
      </c>
      <c r="D23" s="4">
        <f t="shared" si="7"/>
        <v>2.5456621004566213</v>
      </c>
      <c r="E23" s="4">
        <f t="shared" si="8"/>
        <v>0.63641552511415533</v>
      </c>
    </row>
    <row r="24" spans="1:5">
      <c r="C24" s="4"/>
      <c r="D24" s="4"/>
      <c r="E24" s="4"/>
    </row>
    <row r="25" spans="1:5">
      <c r="A25" t="s">
        <v>4</v>
      </c>
      <c r="C25" s="4"/>
      <c r="D25" s="4"/>
      <c r="E25" s="38">
        <f>32*25^2*12</f>
        <v>240000</v>
      </c>
    </row>
    <row r="26" spans="1:5">
      <c r="A26">
        <v>1</v>
      </c>
      <c r="B26">
        <v>63.5</v>
      </c>
      <c r="C26" s="4">
        <f>B26/$B$26</f>
        <v>1</v>
      </c>
      <c r="D26" s="4">
        <f>1/C26</f>
        <v>1</v>
      </c>
      <c r="E26" s="4">
        <f>D26/A26</f>
        <v>1</v>
      </c>
    </row>
    <row r="27" spans="1:5">
      <c r="A27">
        <v>2</v>
      </c>
      <c r="B27">
        <v>33.799999999999997</v>
      </c>
      <c r="C27" s="4">
        <f t="shared" ref="C27:C29" si="9">B27/$B$26</f>
        <v>0.5322834645669291</v>
      </c>
      <c r="D27" s="4">
        <f t="shared" ref="D27:D29" si="10">1/C27</f>
        <v>1.8786982248520712</v>
      </c>
      <c r="E27" s="4">
        <f t="shared" ref="E27:E29" si="11">D27/A27</f>
        <v>0.93934911242603558</v>
      </c>
    </row>
    <row r="28" spans="1:5">
      <c r="A28">
        <v>3</v>
      </c>
      <c r="B28">
        <v>23.3</v>
      </c>
      <c r="C28" s="4">
        <f t="shared" si="9"/>
        <v>0.36692913385826775</v>
      </c>
      <c r="D28" s="4">
        <f t="shared" si="10"/>
        <v>2.7253218884120169</v>
      </c>
      <c r="E28" s="4">
        <f t="shared" si="11"/>
        <v>0.90844062947067228</v>
      </c>
    </row>
    <row r="29" spans="1:5">
      <c r="A29">
        <v>4</v>
      </c>
      <c r="B29">
        <v>20.100000000000001</v>
      </c>
      <c r="C29" s="4">
        <f t="shared" si="9"/>
        <v>0.31653543307086618</v>
      </c>
      <c r="D29" s="4">
        <f t="shared" si="10"/>
        <v>3.1592039800995022</v>
      </c>
      <c r="E29" s="4">
        <f t="shared" si="11"/>
        <v>0.78980099502487555</v>
      </c>
    </row>
    <row r="30" spans="1:5">
      <c r="C30" s="4"/>
      <c r="D30" s="4"/>
      <c r="E30" s="4"/>
    </row>
    <row r="31" spans="1:5">
      <c r="A31" t="s">
        <v>5</v>
      </c>
      <c r="C31" s="4"/>
      <c r="D31" s="4"/>
      <c r="E31" s="38">
        <f>64*25*25*12</f>
        <v>480000</v>
      </c>
    </row>
    <row r="32" spans="1:5">
      <c r="A32">
        <v>1</v>
      </c>
      <c r="B32">
        <v>67.7</v>
      </c>
      <c r="C32" s="4">
        <f>B32/$B$32</f>
        <v>1</v>
      </c>
      <c r="D32" s="4">
        <f>1/C32</f>
        <v>1</v>
      </c>
      <c r="E32" s="4">
        <f>D32/A32</f>
        <v>1</v>
      </c>
    </row>
    <row r="33" spans="1:5">
      <c r="A33">
        <v>2</v>
      </c>
      <c r="B33">
        <v>35.200000000000003</v>
      </c>
      <c r="C33" s="4">
        <f t="shared" ref="C33:C35" si="12">B33/$B$32</f>
        <v>0.51994091580502222</v>
      </c>
      <c r="D33" s="4">
        <f t="shared" ref="D33:D35" si="13">1/C33</f>
        <v>1.9232954545454544</v>
      </c>
      <c r="E33" s="4">
        <f t="shared" ref="E33:E35" si="14">D33/A33</f>
        <v>0.96164772727272718</v>
      </c>
    </row>
    <row r="34" spans="1:5">
      <c r="A34">
        <v>3</v>
      </c>
      <c r="B34">
        <v>27.5</v>
      </c>
      <c r="C34" s="4">
        <f t="shared" si="12"/>
        <v>0.40620384047267355</v>
      </c>
      <c r="D34" s="4">
        <f t="shared" si="13"/>
        <v>2.4618181818181819</v>
      </c>
      <c r="E34" s="4">
        <f t="shared" si="14"/>
        <v>0.82060606060606067</v>
      </c>
    </row>
    <row r="35" spans="1:5">
      <c r="A35">
        <v>4</v>
      </c>
      <c r="B35">
        <v>23.8</v>
      </c>
      <c r="C35" s="4">
        <f t="shared" si="12"/>
        <v>0.35155096011816839</v>
      </c>
      <c r="D35" s="4">
        <f t="shared" si="13"/>
        <v>2.8445378151260505</v>
      </c>
      <c r="E35" s="4">
        <f t="shared" si="14"/>
        <v>0.71113445378151263</v>
      </c>
    </row>
    <row r="36" spans="1:5">
      <c r="C36" s="4"/>
      <c r="D36" s="4"/>
      <c r="E36" s="4"/>
    </row>
    <row r="37" spans="1:5">
      <c r="C37" s="4"/>
      <c r="D37" s="4"/>
      <c r="E37" s="4"/>
    </row>
    <row r="38" spans="1:5">
      <c r="C38" s="4"/>
      <c r="D38" s="4"/>
      <c r="E38" s="4"/>
    </row>
    <row r="39" spans="1:5">
      <c r="C39" s="4"/>
      <c r="D39" s="4"/>
      <c r="E39" s="4"/>
    </row>
    <row r="40" spans="1:5">
      <c r="C40" s="4"/>
      <c r="D40" s="4"/>
      <c r="E40" s="4"/>
    </row>
    <row r="41" spans="1:5">
      <c r="A41" s="42" t="s">
        <v>10</v>
      </c>
      <c r="B41" s="42"/>
      <c r="C41" s="43"/>
      <c r="D41" s="4"/>
      <c r="E41" s="4"/>
    </row>
    <row r="42" spans="1:5">
      <c r="A42" s="44" t="s">
        <v>11</v>
      </c>
      <c r="B42" s="42"/>
      <c r="C42" s="43"/>
      <c r="D42" s="43"/>
      <c r="E42" s="4"/>
    </row>
    <row r="43" spans="1:5">
      <c r="A43">
        <v>1</v>
      </c>
      <c r="B43">
        <v>75.7</v>
      </c>
      <c r="C43" s="4">
        <f>B43/$B$43</f>
        <v>1</v>
      </c>
      <c r="D43" s="4">
        <f>1/C43</f>
        <v>1</v>
      </c>
      <c r="E43" s="4">
        <f>D43/A43</f>
        <v>1</v>
      </c>
    </row>
    <row r="44" spans="1:5">
      <c r="A44">
        <v>2</v>
      </c>
      <c r="B44">
        <v>39.200000000000003</v>
      </c>
      <c r="C44" s="4">
        <f t="shared" ref="C44:C46" si="15">B44/$B$43</f>
        <v>0.51783355350066052</v>
      </c>
      <c r="D44" s="4">
        <f t="shared" ref="D44:D46" si="16">1/C44</f>
        <v>1.9311224489795917</v>
      </c>
      <c r="E44" s="4">
        <f t="shared" ref="E44:E46" si="17">D44/A44</f>
        <v>0.96556122448979587</v>
      </c>
    </row>
    <row r="45" spans="1:5">
      <c r="A45">
        <v>3</v>
      </c>
      <c r="B45">
        <v>29.6</v>
      </c>
      <c r="C45" s="4">
        <f t="shared" si="15"/>
        <v>0.39101717305151917</v>
      </c>
      <c r="D45" s="4">
        <f t="shared" si="16"/>
        <v>2.5574324324324325</v>
      </c>
      <c r="E45" s="4">
        <f t="shared" si="17"/>
        <v>0.85247747747747749</v>
      </c>
    </row>
    <row r="46" spans="1:5">
      <c r="A46">
        <v>4</v>
      </c>
      <c r="B46">
        <v>24.7</v>
      </c>
      <c r="C46" s="4">
        <f t="shared" si="15"/>
        <v>0.32628797886393657</v>
      </c>
      <c r="D46" s="4">
        <f t="shared" si="16"/>
        <v>3.0647773279352228</v>
      </c>
      <c r="E46" s="4">
        <f t="shared" si="17"/>
        <v>0.76619433198380571</v>
      </c>
    </row>
    <row r="47" spans="1:5">
      <c r="A47" s="1" t="s">
        <v>12</v>
      </c>
    </row>
    <row r="48" spans="1:5">
      <c r="A48">
        <v>1</v>
      </c>
      <c r="B48" s="1">
        <v>68.400000000000006</v>
      </c>
      <c r="C48" s="4">
        <f>B48/$B$48</f>
        <v>1</v>
      </c>
      <c r="D48" s="4">
        <f>1/C48</f>
        <v>1</v>
      </c>
      <c r="E48" s="4">
        <f>D48/A48</f>
        <v>1</v>
      </c>
    </row>
    <row r="49" spans="1:5">
      <c r="A49">
        <v>2</v>
      </c>
      <c r="B49" s="1">
        <v>38.799999999999997</v>
      </c>
      <c r="C49" s="4">
        <f t="shared" ref="C49:C51" si="18">B49/$B$48</f>
        <v>0.56725146198830401</v>
      </c>
      <c r="D49" s="4">
        <f t="shared" ref="D49:D51" si="19">1/C49</f>
        <v>1.7628865979381445</v>
      </c>
      <c r="E49" s="4">
        <f t="shared" ref="E49:E51" si="20">D49/A49</f>
        <v>0.88144329896907225</v>
      </c>
    </row>
    <row r="50" spans="1:5">
      <c r="A50">
        <v>3</v>
      </c>
      <c r="B50" s="1">
        <v>28</v>
      </c>
      <c r="C50" s="4">
        <f t="shared" si="18"/>
        <v>0.40935672514619881</v>
      </c>
      <c r="D50" s="4">
        <f t="shared" si="19"/>
        <v>2.4428571428571431</v>
      </c>
      <c r="E50" s="4">
        <f t="shared" si="20"/>
        <v>0.81428571428571439</v>
      </c>
    </row>
    <row r="51" spans="1:5">
      <c r="A51">
        <v>4</v>
      </c>
      <c r="B51" s="1">
        <v>23.4</v>
      </c>
      <c r="C51" s="4">
        <f t="shared" si="18"/>
        <v>0.34210526315789469</v>
      </c>
      <c r="D51" s="4">
        <f t="shared" si="19"/>
        <v>2.9230769230769234</v>
      </c>
      <c r="E51" s="4">
        <f t="shared" si="20"/>
        <v>0.73076923076923084</v>
      </c>
    </row>
    <row r="64" spans="1:5">
      <c r="A64" s="37" t="s">
        <v>22</v>
      </c>
    </row>
    <row r="66" spans="1:17">
      <c r="A66" s="37" t="s">
        <v>17</v>
      </c>
      <c r="B66" s="37">
        <v>15000</v>
      </c>
      <c r="C66" s="37">
        <v>6000</v>
      </c>
      <c r="D66" s="37">
        <v>3000</v>
      </c>
      <c r="E66" s="37">
        <v>1000</v>
      </c>
      <c r="F66" s="37">
        <v>60000</v>
      </c>
      <c r="G66" s="37">
        <v>40000</v>
      </c>
      <c r="H66" s="37">
        <v>30000</v>
      </c>
      <c r="I66" s="37">
        <v>10000</v>
      </c>
      <c r="J66" s="37">
        <v>12000</v>
      </c>
      <c r="K66" s="37">
        <v>4000</v>
      </c>
      <c r="L66" s="37">
        <v>2000</v>
      </c>
      <c r="M66" s="37">
        <v>1000</v>
      </c>
      <c r="N66" s="37">
        <v>1500</v>
      </c>
      <c r="O66" s="37">
        <v>600</v>
      </c>
      <c r="P66" s="37">
        <v>300</v>
      </c>
      <c r="Q66" s="37">
        <v>100</v>
      </c>
    </row>
    <row r="67" spans="1:17" ht="14" thickBot="1">
      <c r="A67" s="37" t="s">
        <v>18</v>
      </c>
      <c r="B67" s="40">
        <f>30^3</f>
        <v>27000</v>
      </c>
      <c r="C67" s="41"/>
      <c r="D67" s="41"/>
      <c r="E67" s="45"/>
      <c r="F67" s="40">
        <f>50*50*1</f>
        <v>2500</v>
      </c>
      <c r="G67" s="41"/>
      <c r="H67" s="41"/>
      <c r="I67" s="45"/>
      <c r="J67" s="40">
        <f>50*50*10</f>
        <v>25000</v>
      </c>
      <c r="K67" s="41"/>
      <c r="L67" s="41"/>
      <c r="M67" s="41"/>
      <c r="N67" s="40">
        <f>50*50*50</f>
        <v>125000</v>
      </c>
      <c r="O67" s="41"/>
      <c r="P67" s="41"/>
      <c r="Q67" s="41"/>
    </row>
    <row r="68" spans="1:17" ht="15" thickTop="1" thickBot="1">
      <c r="A68" s="37" t="s">
        <v>21</v>
      </c>
      <c r="B68" s="30">
        <v>8</v>
      </c>
      <c r="C68" s="31">
        <v>16</v>
      </c>
      <c r="D68" s="31">
        <v>32</v>
      </c>
      <c r="E68" s="31">
        <v>64</v>
      </c>
      <c r="F68" s="30">
        <v>8</v>
      </c>
      <c r="G68" s="31">
        <v>16</v>
      </c>
      <c r="H68" s="31">
        <v>32</v>
      </c>
      <c r="I68" s="31">
        <v>64</v>
      </c>
      <c r="J68" s="30">
        <v>8</v>
      </c>
      <c r="K68" s="31">
        <v>16</v>
      </c>
      <c r="L68" s="31">
        <v>32</v>
      </c>
      <c r="M68" s="31">
        <v>64</v>
      </c>
      <c r="N68" s="30">
        <v>8</v>
      </c>
      <c r="O68" s="31">
        <v>16</v>
      </c>
      <c r="P68" s="31">
        <v>32</v>
      </c>
      <c r="Q68" s="31">
        <v>64</v>
      </c>
    </row>
    <row r="69" spans="1:17">
      <c r="A69" s="26" t="s">
        <v>19</v>
      </c>
      <c r="B69" s="34">
        <f>B68*$B67</f>
        <v>216000</v>
      </c>
      <c r="C69" s="35">
        <f t="shared" ref="C69:E69" si="21">C68*$B67</f>
        <v>432000</v>
      </c>
      <c r="D69" s="35">
        <f t="shared" si="21"/>
        <v>864000</v>
      </c>
      <c r="E69" s="35">
        <f t="shared" si="21"/>
        <v>1728000</v>
      </c>
      <c r="F69" s="35">
        <f>F68*$F67</f>
        <v>20000</v>
      </c>
      <c r="G69" s="35">
        <f t="shared" ref="G69:I69" si="22">G68*$F67</f>
        <v>40000</v>
      </c>
      <c r="H69" s="35">
        <f t="shared" si="22"/>
        <v>80000</v>
      </c>
      <c r="I69" s="35">
        <f t="shared" si="22"/>
        <v>160000</v>
      </c>
      <c r="J69" s="35">
        <f>J68*$J67</f>
        <v>200000</v>
      </c>
      <c r="K69" s="35">
        <f t="shared" ref="K69:M69" si="23">K68*$J67</f>
        <v>400000</v>
      </c>
      <c r="L69" s="35">
        <f t="shared" si="23"/>
        <v>800000</v>
      </c>
      <c r="M69" s="35">
        <f t="shared" si="23"/>
        <v>1600000</v>
      </c>
      <c r="N69" s="35">
        <f>N68*$N67</f>
        <v>1000000</v>
      </c>
      <c r="O69" s="35">
        <f t="shared" ref="O69:Q69" si="24">O68*$N67</f>
        <v>2000000</v>
      </c>
      <c r="P69" s="35">
        <f t="shared" si="24"/>
        <v>4000000</v>
      </c>
      <c r="Q69" s="35">
        <f t="shared" si="24"/>
        <v>8000000</v>
      </c>
    </row>
    <row r="70" spans="1:17">
      <c r="A70" s="37">
        <v>1</v>
      </c>
      <c r="B70" s="37">
        <f>60+49</f>
        <v>109</v>
      </c>
      <c r="C70" s="37">
        <v>91.4</v>
      </c>
      <c r="D70" s="37">
        <v>90</v>
      </c>
      <c r="E70" s="37">
        <v>60.3</v>
      </c>
      <c r="F70" s="37">
        <v>31.6</v>
      </c>
      <c r="G70" s="37">
        <v>40.299999999999997</v>
      </c>
      <c r="H70" s="37">
        <v>57</v>
      </c>
      <c r="I70" s="37">
        <v>39</v>
      </c>
      <c r="J70" s="37">
        <f>60+25.5</f>
        <v>85.5</v>
      </c>
      <c r="K70" s="37">
        <v>60.2</v>
      </c>
      <c r="L70" s="37">
        <v>59.6</v>
      </c>
      <c r="M70" s="37">
        <v>59.5</v>
      </c>
      <c r="N70" s="37">
        <v>70</v>
      </c>
      <c r="O70" s="37">
        <v>56.9</v>
      </c>
      <c r="P70" s="37">
        <v>57.8</v>
      </c>
      <c r="Q70" s="37">
        <v>39.6</v>
      </c>
    </row>
    <row r="71" spans="1:17">
      <c r="A71" s="37">
        <v>2</v>
      </c>
      <c r="B71" s="37">
        <v>66.599999999999994</v>
      </c>
      <c r="C71" s="37">
        <v>50</v>
      </c>
      <c r="D71" s="37">
        <v>47.6</v>
      </c>
      <c r="E71" s="37">
        <v>35</v>
      </c>
      <c r="F71" s="37">
        <v>26.1</v>
      </c>
      <c r="G71" s="37">
        <v>32.200000000000003</v>
      </c>
      <c r="H71" s="37">
        <v>47</v>
      </c>
      <c r="I71" s="26">
        <v>25.3</v>
      </c>
      <c r="J71" s="37">
        <v>51.7</v>
      </c>
      <c r="K71" s="37">
        <v>33</v>
      </c>
      <c r="L71" s="37">
        <v>34</v>
      </c>
      <c r="M71" s="37">
        <v>33</v>
      </c>
      <c r="N71" s="37">
        <v>39.6</v>
      </c>
      <c r="O71" s="37">
        <v>31</v>
      </c>
      <c r="P71" s="37">
        <v>32.1</v>
      </c>
      <c r="Q71" s="37">
        <v>22.3</v>
      </c>
    </row>
    <row r="72" spans="1:17">
      <c r="A72" s="37">
        <v>4</v>
      </c>
      <c r="B72" s="26">
        <v>41.2</v>
      </c>
      <c r="C72" s="37">
        <v>32</v>
      </c>
      <c r="D72" s="37">
        <v>29.3</v>
      </c>
      <c r="E72" s="26">
        <v>18.8</v>
      </c>
      <c r="F72" s="26">
        <v>19</v>
      </c>
      <c r="G72" s="37">
        <v>21.8</v>
      </c>
      <c r="H72" s="37">
        <v>30.7</v>
      </c>
      <c r="I72" s="37">
        <v>21.4</v>
      </c>
      <c r="J72" s="37">
        <v>32.6</v>
      </c>
      <c r="K72" s="37">
        <v>21.1</v>
      </c>
      <c r="L72" s="37">
        <v>19.5</v>
      </c>
      <c r="M72" s="37">
        <v>18.7</v>
      </c>
      <c r="N72" s="37">
        <v>28.9</v>
      </c>
      <c r="O72" s="37">
        <v>23.1</v>
      </c>
      <c r="P72" s="37">
        <v>22.9</v>
      </c>
      <c r="Q72" s="37">
        <v>15.9</v>
      </c>
    </row>
    <row r="73" spans="1:17">
      <c r="A73" s="26">
        <v>8</v>
      </c>
      <c r="B73" s="26">
        <v>28</v>
      </c>
      <c r="C73" s="37">
        <v>26.6</v>
      </c>
      <c r="D73" s="37">
        <v>25.2</v>
      </c>
      <c r="E73" s="26">
        <v>15.8</v>
      </c>
      <c r="F73" s="26">
        <v>20.7</v>
      </c>
      <c r="G73" s="37">
        <v>15.8</v>
      </c>
      <c r="H73" s="37">
        <v>29</v>
      </c>
      <c r="I73" s="37">
        <f>39.8/2</f>
        <v>19.899999999999999</v>
      </c>
      <c r="J73" s="37">
        <v>22.2</v>
      </c>
      <c r="K73" s="37">
        <v>17.5</v>
      </c>
      <c r="L73" s="37">
        <v>16.7</v>
      </c>
      <c r="M73" s="37">
        <v>15.8</v>
      </c>
      <c r="N73" s="37">
        <v>21</v>
      </c>
      <c r="O73" s="37">
        <v>18.100000000000001</v>
      </c>
      <c r="P73" s="37">
        <v>18.100000000000001</v>
      </c>
      <c r="Q73" s="37">
        <v>12.9</v>
      </c>
    </row>
    <row r="74" spans="1:17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</row>
    <row r="75" spans="1:17">
      <c r="A75" s="37" t="s">
        <v>19</v>
      </c>
      <c r="B75" s="32">
        <f>B69</f>
        <v>216000</v>
      </c>
      <c r="C75" s="32">
        <f t="shared" ref="C75:Q75" si="25">C69</f>
        <v>432000</v>
      </c>
      <c r="D75" s="32">
        <f t="shared" si="25"/>
        <v>864000</v>
      </c>
      <c r="E75" s="32">
        <f t="shared" si="25"/>
        <v>1728000</v>
      </c>
      <c r="F75" s="32">
        <f t="shared" si="25"/>
        <v>20000</v>
      </c>
      <c r="G75" s="32">
        <f t="shared" si="25"/>
        <v>40000</v>
      </c>
      <c r="H75" s="32">
        <f t="shared" si="25"/>
        <v>80000</v>
      </c>
      <c r="I75" s="32">
        <f t="shared" si="25"/>
        <v>160000</v>
      </c>
      <c r="J75" s="32">
        <f t="shared" si="25"/>
        <v>200000</v>
      </c>
      <c r="K75" s="32">
        <f t="shared" si="25"/>
        <v>400000</v>
      </c>
      <c r="L75" s="32">
        <f t="shared" si="25"/>
        <v>800000</v>
      </c>
      <c r="M75" s="32">
        <f t="shared" si="25"/>
        <v>1600000</v>
      </c>
      <c r="N75" s="32">
        <f t="shared" si="25"/>
        <v>1000000</v>
      </c>
      <c r="O75" s="32">
        <f t="shared" si="25"/>
        <v>2000000</v>
      </c>
      <c r="P75" s="32">
        <f t="shared" si="25"/>
        <v>4000000</v>
      </c>
      <c r="Q75" s="32">
        <f t="shared" si="25"/>
        <v>8000000</v>
      </c>
    </row>
    <row r="76" spans="1:17">
      <c r="A76" s="37">
        <v>1</v>
      </c>
      <c r="B76" s="38">
        <f t="shared" ref="B76:P79" si="26">B$70/B70/$A70</f>
        <v>1</v>
      </c>
      <c r="C76" s="38">
        <f t="shared" si="26"/>
        <v>1</v>
      </c>
      <c r="D76" s="38">
        <f t="shared" si="26"/>
        <v>1</v>
      </c>
      <c r="E76" s="38">
        <f t="shared" si="26"/>
        <v>1</v>
      </c>
      <c r="F76" s="38">
        <f t="shared" si="26"/>
        <v>1</v>
      </c>
      <c r="G76" s="38">
        <f t="shared" si="26"/>
        <v>1</v>
      </c>
      <c r="H76" s="38">
        <f t="shared" si="26"/>
        <v>1</v>
      </c>
      <c r="I76" s="38">
        <f t="shared" si="26"/>
        <v>1</v>
      </c>
      <c r="J76" s="38">
        <f t="shared" si="26"/>
        <v>1</v>
      </c>
      <c r="K76" s="38">
        <f t="shared" si="26"/>
        <v>1</v>
      </c>
      <c r="L76" s="38">
        <f t="shared" si="26"/>
        <v>1</v>
      </c>
      <c r="M76" s="38">
        <f t="shared" si="26"/>
        <v>1</v>
      </c>
      <c r="N76" s="38">
        <f t="shared" si="26"/>
        <v>1</v>
      </c>
      <c r="O76" s="38">
        <f t="shared" si="26"/>
        <v>1</v>
      </c>
      <c r="P76" s="38">
        <f t="shared" si="26"/>
        <v>1</v>
      </c>
      <c r="Q76" s="38">
        <f>Q$70/Q70/$A70</f>
        <v>1</v>
      </c>
    </row>
    <row r="77" spans="1:17">
      <c r="A77" s="37">
        <v>2</v>
      </c>
      <c r="B77" s="38">
        <f t="shared" si="26"/>
        <v>0.81831831831831836</v>
      </c>
      <c r="C77" s="38">
        <f t="shared" si="26"/>
        <v>0.91400000000000003</v>
      </c>
      <c r="D77" s="38">
        <f t="shared" si="26"/>
        <v>0.94537815126050417</v>
      </c>
      <c r="E77" s="38">
        <f t="shared" si="26"/>
        <v>0.86142857142857143</v>
      </c>
      <c r="F77" s="38">
        <f t="shared" si="26"/>
        <v>0.6053639846743295</v>
      </c>
      <c r="G77" s="38">
        <f t="shared" si="26"/>
        <v>0.62577639751552783</v>
      </c>
      <c r="H77" s="38">
        <f t="shared" si="26"/>
        <v>0.6063829787234043</v>
      </c>
      <c r="I77" s="38">
        <f t="shared" si="26"/>
        <v>0.77075098814229248</v>
      </c>
      <c r="J77" s="38">
        <f t="shared" si="26"/>
        <v>0.82688588007736941</v>
      </c>
      <c r="K77" s="38">
        <f t="shared" si="26"/>
        <v>0.91212121212121211</v>
      </c>
      <c r="L77" s="38">
        <f t="shared" si="26"/>
        <v>0.87647058823529411</v>
      </c>
      <c r="M77" s="38">
        <f t="shared" si="26"/>
        <v>0.90151515151515149</v>
      </c>
      <c r="N77" s="38">
        <f t="shared" si="26"/>
        <v>0.88383838383838376</v>
      </c>
      <c r="O77" s="38">
        <f t="shared" si="26"/>
        <v>0.91774193548387095</v>
      </c>
      <c r="P77" s="38">
        <f t="shared" si="26"/>
        <v>0.90031152647975066</v>
      </c>
      <c r="Q77" s="38">
        <f t="shared" ref="Q77:Q79" si="27">Q$70/Q71/$A71</f>
        <v>0.88789237668161436</v>
      </c>
    </row>
    <row r="78" spans="1:17">
      <c r="A78" s="37">
        <v>4</v>
      </c>
      <c r="B78" s="38">
        <f t="shared" si="26"/>
        <v>0.66140776699029125</v>
      </c>
      <c r="C78" s="38">
        <f t="shared" si="26"/>
        <v>0.71406250000000004</v>
      </c>
      <c r="D78" s="38">
        <f t="shared" si="26"/>
        <v>0.76791808873720135</v>
      </c>
      <c r="E78" s="38">
        <f t="shared" si="26"/>
        <v>0.8018617021276595</v>
      </c>
      <c r="F78" s="38">
        <f t="shared" si="26"/>
        <v>0.41578947368421054</v>
      </c>
      <c r="G78" s="38">
        <f t="shared" si="26"/>
        <v>0.46215596330275227</v>
      </c>
      <c r="H78" s="38">
        <f t="shared" si="26"/>
        <v>0.46416938110749184</v>
      </c>
      <c r="I78" s="38">
        <f t="shared" si="26"/>
        <v>0.45560747663551404</v>
      </c>
      <c r="J78" s="38">
        <f t="shared" si="26"/>
        <v>0.65567484662576681</v>
      </c>
      <c r="K78" s="38">
        <f t="shared" si="26"/>
        <v>0.71327014218009477</v>
      </c>
      <c r="L78" s="38">
        <f t="shared" si="26"/>
        <v>0.76410256410256416</v>
      </c>
      <c r="M78" s="38">
        <f t="shared" si="26"/>
        <v>0.79545454545454553</v>
      </c>
      <c r="N78" s="38">
        <f t="shared" si="26"/>
        <v>0.60553633217993086</v>
      </c>
      <c r="O78" s="38">
        <f t="shared" si="26"/>
        <v>0.61580086580086579</v>
      </c>
      <c r="P78" s="38">
        <f t="shared" si="26"/>
        <v>0.63100436681222705</v>
      </c>
      <c r="Q78" s="38">
        <f t="shared" si="27"/>
        <v>0.62264150943396224</v>
      </c>
    </row>
    <row r="79" spans="1:17">
      <c r="A79" s="26">
        <v>8</v>
      </c>
      <c r="B79" s="38">
        <f t="shared" si="26"/>
        <v>0.48660714285714285</v>
      </c>
      <c r="C79" s="38">
        <f t="shared" si="26"/>
        <v>0.42951127819548873</v>
      </c>
      <c r="D79" s="38">
        <f t="shared" si="26"/>
        <v>0.44642857142857145</v>
      </c>
      <c r="E79" s="38">
        <f t="shared" si="26"/>
        <v>0.47705696202531639</v>
      </c>
      <c r="F79" s="38">
        <f t="shared" si="26"/>
        <v>0.19082125603864736</v>
      </c>
      <c r="G79" s="38">
        <f t="shared" si="26"/>
        <v>0.31882911392405061</v>
      </c>
      <c r="H79" s="38">
        <f t="shared" si="26"/>
        <v>0.24568965517241378</v>
      </c>
      <c r="I79" s="38">
        <f t="shared" si="26"/>
        <v>0.2449748743718593</v>
      </c>
      <c r="J79" s="38">
        <f t="shared" si="26"/>
        <v>0.48141891891891891</v>
      </c>
      <c r="K79" s="38">
        <f t="shared" si="26"/>
        <v>0.43</v>
      </c>
      <c r="L79" s="38">
        <f t="shared" si="26"/>
        <v>0.44610778443113774</v>
      </c>
      <c r="M79" s="38">
        <f t="shared" si="26"/>
        <v>0.47072784810126578</v>
      </c>
      <c r="N79" s="38">
        <f t="shared" si="26"/>
        <v>0.41666666666666669</v>
      </c>
      <c r="O79" s="38">
        <f t="shared" si="26"/>
        <v>0.39295580110497236</v>
      </c>
      <c r="P79" s="38">
        <f t="shared" si="26"/>
        <v>0.399171270718232</v>
      </c>
      <c r="Q79" s="38">
        <f t="shared" si="27"/>
        <v>0.38372093023255816</v>
      </c>
    </row>
    <row r="81" spans="1:17">
      <c r="A81" s="39" t="s">
        <v>25</v>
      </c>
    </row>
    <row r="82" spans="1:17">
      <c r="A82">
        <f>A70</f>
        <v>1</v>
      </c>
      <c r="B82" s="38">
        <f>B$70/B70</f>
        <v>1</v>
      </c>
      <c r="C82" s="38">
        <f t="shared" ref="C82:Q82" si="28">C$70/C70</f>
        <v>1</v>
      </c>
      <c r="D82" s="38">
        <f t="shared" si="28"/>
        <v>1</v>
      </c>
      <c r="E82" s="38">
        <f t="shared" si="28"/>
        <v>1</v>
      </c>
      <c r="F82" s="38">
        <f t="shared" si="28"/>
        <v>1</v>
      </c>
      <c r="G82" s="38">
        <f t="shared" si="28"/>
        <v>1</v>
      </c>
      <c r="H82" s="38">
        <f t="shared" si="28"/>
        <v>1</v>
      </c>
      <c r="I82" s="38">
        <f t="shared" si="28"/>
        <v>1</v>
      </c>
      <c r="J82" s="38">
        <f t="shared" si="28"/>
        <v>1</v>
      </c>
      <c r="K82" s="38">
        <f t="shared" si="28"/>
        <v>1</v>
      </c>
      <c r="L82" s="38">
        <f t="shared" si="28"/>
        <v>1</v>
      </c>
      <c r="M82" s="38">
        <f t="shared" si="28"/>
        <v>1</v>
      </c>
      <c r="N82" s="38">
        <f t="shared" si="28"/>
        <v>1</v>
      </c>
      <c r="O82" s="38">
        <f t="shared" si="28"/>
        <v>1</v>
      </c>
      <c r="P82" s="38">
        <f t="shared" si="28"/>
        <v>1</v>
      </c>
      <c r="Q82" s="38">
        <f t="shared" si="28"/>
        <v>1</v>
      </c>
    </row>
    <row r="83" spans="1:17">
      <c r="A83" s="39">
        <f t="shared" ref="A83:A85" si="29">A71</f>
        <v>2</v>
      </c>
      <c r="B83" s="38">
        <f t="shared" ref="B83:Q85" si="30">B$70/B71</f>
        <v>1.6366366366366367</v>
      </c>
      <c r="C83" s="38">
        <f t="shared" si="30"/>
        <v>1.8280000000000001</v>
      </c>
      <c r="D83" s="38">
        <f t="shared" si="30"/>
        <v>1.8907563025210083</v>
      </c>
      <c r="E83" s="38">
        <f t="shared" si="30"/>
        <v>1.7228571428571429</v>
      </c>
      <c r="F83" s="38">
        <f t="shared" si="30"/>
        <v>1.210727969348659</v>
      </c>
      <c r="G83" s="38">
        <f t="shared" si="30"/>
        <v>1.2515527950310557</v>
      </c>
      <c r="H83" s="38">
        <f t="shared" si="30"/>
        <v>1.2127659574468086</v>
      </c>
      <c r="I83" s="38">
        <f t="shared" si="30"/>
        <v>1.541501976284585</v>
      </c>
      <c r="J83" s="38">
        <f t="shared" si="30"/>
        <v>1.6537717601547388</v>
      </c>
      <c r="K83" s="38">
        <f t="shared" si="30"/>
        <v>1.8242424242424242</v>
      </c>
      <c r="L83" s="38">
        <f t="shared" si="30"/>
        <v>1.7529411764705882</v>
      </c>
      <c r="M83" s="38">
        <f t="shared" si="30"/>
        <v>1.803030303030303</v>
      </c>
      <c r="N83" s="38">
        <f t="shared" si="30"/>
        <v>1.7676767676767675</v>
      </c>
      <c r="O83" s="38">
        <f t="shared" si="30"/>
        <v>1.8354838709677419</v>
      </c>
      <c r="P83" s="38">
        <f t="shared" si="30"/>
        <v>1.8006230529595013</v>
      </c>
      <c r="Q83" s="38">
        <f t="shared" si="30"/>
        <v>1.7757847533632287</v>
      </c>
    </row>
    <row r="84" spans="1:17">
      <c r="A84" s="39">
        <f t="shared" si="29"/>
        <v>4</v>
      </c>
      <c r="B84" s="38">
        <f t="shared" si="30"/>
        <v>2.645631067961165</v>
      </c>
      <c r="C84" s="38">
        <f t="shared" si="30"/>
        <v>2.8562500000000002</v>
      </c>
      <c r="D84" s="38">
        <f t="shared" si="30"/>
        <v>3.0716723549488054</v>
      </c>
      <c r="E84" s="38">
        <f t="shared" si="30"/>
        <v>3.207446808510638</v>
      </c>
      <c r="F84" s="38">
        <f t="shared" si="30"/>
        <v>1.6631578947368422</v>
      </c>
      <c r="G84" s="38">
        <f t="shared" si="30"/>
        <v>1.8486238532110091</v>
      </c>
      <c r="H84" s="38">
        <f t="shared" si="30"/>
        <v>1.8566775244299674</v>
      </c>
      <c r="I84" s="38">
        <f t="shared" si="30"/>
        <v>1.8224299065420562</v>
      </c>
      <c r="J84" s="38">
        <f t="shared" si="30"/>
        <v>2.6226993865030672</v>
      </c>
      <c r="K84" s="38">
        <f t="shared" si="30"/>
        <v>2.8530805687203791</v>
      </c>
      <c r="L84" s="38">
        <f t="shared" si="30"/>
        <v>3.0564102564102567</v>
      </c>
      <c r="M84" s="38">
        <f t="shared" si="30"/>
        <v>3.1818181818181821</v>
      </c>
      <c r="N84" s="38">
        <f t="shared" si="30"/>
        <v>2.4221453287197234</v>
      </c>
      <c r="O84" s="38">
        <f t="shared" si="30"/>
        <v>2.4632034632034632</v>
      </c>
      <c r="P84" s="38">
        <f t="shared" si="30"/>
        <v>2.5240174672489082</v>
      </c>
      <c r="Q84" s="38">
        <f t="shared" si="30"/>
        <v>2.4905660377358489</v>
      </c>
    </row>
    <row r="85" spans="1:17">
      <c r="A85" s="39">
        <f t="shared" si="29"/>
        <v>8</v>
      </c>
      <c r="B85" s="38">
        <f t="shared" si="30"/>
        <v>3.8928571428571428</v>
      </c>
      <c r="C85" s="38">
        <f t="shared" si="30"/>
        <v>3.4360902255639099</v>
      </c>
      <c r="D85" s="38">
        <f t="shared" si="30"/>
        <v>3.5714285714285716</v>
      </c>
      <c r="E85" s="38">
        <f t="shared" si="30"/>
        <v>3.8164556962025311</v>
      </c>
      <c r="F85" s="38">
        <f t="shared" si="30"/>
        <v>1.5265700483091789</v>
      </c>
      <c r="G85" s="38">
        <f t="shared" si="30"/>
        <v>2.5506329113924049</v>
      </c>
      <c r="H85" s="38">
        <f t="shared" si="30"/>
        <v>1.9655172413793103</v>
      </c>
      <c r="I85" s="38">
        <f t="shared" si="30"/>
        <v>1.9597989949748744</v>
      </c>
      <c r="J85" s="38">
        <f t="shared" si="30"/>
        <v>3.8513513513513513</v>
      </c>
      <c r="K85" s="38">
        <f t="shared" si="30"/>
        <v>3.44</v>
      </c>
      <c r="L85" s="38">
        <f t="shared" si="30"/>
        <v>3.568862275449102</v>
      </c>
      <c r="M85" s="38">
        <f t="shared" si="30"/>
        <v>3.7658227848101262</v>
      </c>
      <c r="N85" s="38">
        <f t="shared" si="30"/>
        <v>3.3333333333333335</v>
      </c>
      <c r="O85" s="38">
        <f t="shared" si="30"/>
        <v>3.1436464088397789</v>
      </c>
      <c r="P85" s="38">
        <f t="shared" si="30"/>
        <v>3.193370165745856</v>
      </c>
      <c r="Q85" s="38">
        <f t="shared" si="30"/>
        <v>3.0697674418604652</v>
      </c>
    </row>
  </sheetData>
  <mergeCells count="6">
    <mergeCell ref="N67:Q67"/>
    <mergeCell ref="A41:C41"/>
    <mergeCell ref="A42:D42"/>
    <mergeCell ref="B67:E67"/>
    <mergeCell ref="F67:I67"/>
    <mergeCell ref="J67:M67"/>
  </mergeCells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60"/>
  <sheetViews>
    <sheetView tabSelected="1" topLeftCell="A43" workbookViewId="0">
      <selection activeCell="D55" sqref="D55"/>
    </sheetView>
  </sheetViews>
  <sheetFormatPr baseColWidth="10" defaultRowHeight="13"/>
  <sheetData>
    <row r="1" spans="1:5">
      <c r="A1" s="3" t="s">
        <v>14</v>
      </c>
    </row>
    <row r="2" spans="1:5">
      <c r="B2" s="2" t="s">
        <v>1</v>
      </c>
      <c r="C2" s="2" t="s">
        <v>6</v>
      </c>
      <c r="D2" s="2" t="s">
        <v>7</v>
      </c>
      <c r="E2" s="2" t="s">
        <v>8</v>
      </c>
    </row>
    <row r="3" spans="1:5">
      <c r="A3">
        <v>1</v>
      </c>
      <c r="B3">
        <v>23.43</v>
      </c>
      <c r="C3" s="5">
        <f>B3/$B$3</f>
        <v>1</v>
      </c>
      <c r="D3" s="5">
        <f>1/C3</f>
        <v>1</v>
      </c>
      <c r="E3" s="5">
        <f>D3/A3</f>
        <v>1</v>
      </c>
    </row>
    <row r="4" spans="1:5">
      <c r="A4">
        <v>2</v>
      </c>
      <c r="B4">
        <v>11.84</v>
      </c>
      <c r="C4" s="5">
        <f t="shared" ref="C4:C6" si="0">B4/$B$3</f>
        <v>0.50533504054630818</v>
      </c>
      <c r="D4" s="5">
        <f t="shared" ref="D4:D6" si="1">1/C4</f>
        <v>1.9788851351351351</v>
      </c>
      <c r="E4" s="5">
        <f t="shared" ref="E4:E6" si="2">D4/A4</f>
        <v>0.98944256756756754</v>
      </c>
    </row>
    <row r="5" spans="1:5" hidden="1">
      <c r="A5">
        <v>3</v>
      </c>
      <c r="B5">
        <v>8.9</v>
      </c>
      <c r="C5" s="5">
        <f t="shared" si="0"/>
        <v>0.37985488689714042</v>
      </c>
      <c r="D5" s="5">
        <f t="shared" si="1"/>
        <v>2.6325842696629214</v>
      </c>
      <c r="E5" s="5">
        <f t="shared" si="2"/>
        <v>0.87752808988764042</v>
      </c>
    </row>
    <row r="6" spans="1:5">
      <c r="A6">
        <v>4</v>
      </c>
      <c r="B6">
        <v>6.02</v>
      </c>
      <c r="C6" s="5">
        <f t="shared" si="0"/>
        <v>0.25693555271020058</v>
      </c>
      <c r="D6" s="5">
        <f t="shared" si="1"/>
        <v>3.8920265780730898</v>
      </c>
      <c r="E6" s="5">
        <f t="shared" si="2"/>
        <v>0.97300664451827246</v>
      </c>
    </row>
    <row r="7" spans="1:5">
      <c r="A7" s="3" t="s">
        <v>13</v>
      </c>
    </row>
    <row r="8" spans="1:5">
      <c r="B8" s="2" t="s">
        <v>1</v>
      </c>
      <c r="C8" s="2" t="s">
        <v>6</v>
      </c>
      <c r="D8" s="2" t="s">
        <v>7</v>
      </c>
      <c r="E8" s="2" t="s">
        <v>8</v>
      </c>
    </row>
    <row r="9" spans="1:5">
      <c r="A9">
        <v>1</v>
      </c>
      <c r="B9">
        <v>43</v>
      </c>
      <c r="C9">
        <f>B9/B$9</f>
        <v>1</v>
      </c>
      <c r="D9" s="36">
        <f>1/C9</f>
        <v>1</v>
      </c>
      <c r="E9" s="36">
        <f>D9/A9</f>
        <v>1</v>
      </c>
    </row>
    <row r="10" spans="1:5">
      <c r="A10">
        <v>2</v>
      </c>
      <c r="B10">
        <v>21.9</v>
      </c>
      <c r="C10" s="2">
        <f t="shared" ref="C10:C12" si="3">B10/B$9</f>
        <v>0.50930232558139532</v>
      </c>
      <c r="D10" s="36">
        <f t="shared" ref="D10:D12" si="4">1/C10</f>
        <v>1.9634703196347032</v>
      </c>
      <c r="E10" s="36">
        <f t="shared" ref="E10:E12" si="5">D10/A10</f>
        <v>0.9817351598173516</v>
      </c>
    </row>
    <row r="11" spans="1:5" hidden="1">
      <c r="A11">
        <v>3</v>
      </c>
      <c r="B11">
        <v>16.3</v>
      </c>
      <c r="C11" s="2">
        <f t="shared" si="3"/>
        <v>0.37906976744186049</v>
      </c>
      <c r="D11" s="36">
        <f t="shared" si="4"/>
        <v>2.6380368098159508</v>
      </c>
      <c r="E11" s="36">
        <f t="shared" si="5"/>
        <v>0.87934560327198363</v>
      </c>
    </row>
    <row r="12" spans="1:5">
      <c r="A12">
        <v>4</v>
      </c>
      <c r="B12">
        <v>11</v>
      </c>
      <c r="C12" s="2">
        <f t="shared" si="3"/>
        <v>0.2558139534883721</v>
      </c>
      <c r="D12" s="36">
        <f t="shared" si="4"/>
        <v>3.9090909090909087</v>
      </c>
      <c r="E12" s="36">
        <f t="shared" si="5"/>
        <v>0.97727272727272718</v>
      </c>
    </row>
    <row r="19" spans="2:2">
      <c r="B19" s="8"/>
    </row>
    <row r="39" spans="1:13" s="39" customFormat="1">
      <c r="A39" s="39" t="s">
        <v>20</v>
      </c>
    </row>
    <row r="40" spans="1:13" s="39" customFormat="1"/>
    <row r="41" spans="1:13" s="39" customFormat="1">
      <c r="A41" s="39" t="s">
        <v>17</v>
      </c>
      <c r="B41" s="39">
        <v>800</v>
      </c>
      <c r="C41" s="39">
        <v>400</v>
      </c>
      <c r="D41" s="39">
        <v>200</v>
      </c>
      <c r="E41" s="39">
        <v>100</v>
      </c>
      <c r="F41" s="39">
        <v>80</v>
      </c>
      <c r="G41" s="39">
        <v>40</v>
      </c>
      <c r="H41" s="39">
        <v>20</v>
      </c>
      <c r="I41" s="39">
        <v>10</v>
      </c>
      <c r="J41" s="39">
        <v>20</v>
      </c>
      <c r="K41" s="39">
        <v>10</v>
      </c>
      <c r="L41" s="39">
        <v>8</v>
      </c>
      <c r="M41" s="39">
        <v>4</v>
      </c>
    </row>
    <row r="42" spans="1:13" s="39" customFormat="1" ht="14" thickBot="1">
      <c r="A42" s="39" t="s">
        <v>18</v>
      </c>
      <c r="B42" s="40">
        <f>50*50*1</f>
        <v>2500</v>
      </c>
      <c r="C42" s="41"/>
      <c r="D42" s="41"/>
      <c r="E42" s="45"/>
      <c r="F42" s="40">
        <f>50*50*10</f>
        <v>25000</v>
      </c>
      <c r="G42" s="41"/>
      <c r="H42" s="41"/>
      <c r="I42" s="41"/>
      <c r="J42" s="40">
        <f>50*50*50</f>
        <v>125000</v>
      </c>
      <c r="K42" s="41"/>
      <c r="L42" s="41"/>
      <c r="M42" s="41"/>
    </row>
    <row r="43" spans="1:13" s="39" customFormat="1" ht="15" thickTop="1" thickBot="1">
      <c r="A43" s="39" t="s">
        <v>21</v>
      </c>
      <c r="B43" s="30">
        <v>8</v>
      </c>
      <c r="C43" s="31">
        <v>16</v>
      </c>
      <c r="D43" s="31">
        <v>32</v>
      </c>
      <c r="E43" s="31">
        <v>64</v>
      </c>
      <c r="F43" s="30">
        <v>8</v>
      </c>
      <c r="G43" s="31">
        <v>16</v>
      </c>
      <c r="H43" s="31">
        <v>32</v>
      </c>
      <c r="I43" s="31">
        <v>64</v>
      </c>
      <c r="J43" s="30">
        <v>8</v>
      </c>
      <c r="K43" s="31">
        <v>16</v>
      </c>
      <c r="L43" s="31">
        <v>32</v>
      </c>
      <c r="M43" s="31">
        <v>64</v>
      </c>
    </row>
    <row r="44" spans="1:13" s="39" customFormat="1">
      <c r="A44" s="26" t="s">
        <v>19</v>
      </c>
      <c r="B44" s="35">
        <f>B43*$B42</f>
        <v>20000</v>
      </c>
      <c r="C44" s="35">
        <f t="shared" ref="C44:E44" si="6">C43*$B42</f>
        <v>40000</v>
      </c>
      <c r="D44" s="35">
        <f t="shared" si="6"/>
        <v>80000</v>
      </c>
      <c r="E44" s="35">
        <f t="shared" si="6"/>
        <v>160000</v>
      </c>
      <c r="F44" s="35">
        <f>F43*$F42</f>
        <v>200000</v>
      </c>
      <c r="G44" s="35">
        <f t="shared" ref="G44:I44" si="7">G43*$F42</f>
        <v>400000</v>
      </c>
      <c r="H44" s="35">
        <f t="shared" si="7"/>
        <v>800000</v>
      </c>
      <c r="I44" s="35">
        <f t="shared" si="7"/>
        <v>1600000</v>
      </c>
      <c r="J44" s="35">
        <f>J43*$J42</f>
        <v>1000000</v>
      </c>
      <c r="K44" s="35">
        <f t="shared" ref="K44:M44" si="8">K43*$J42</f>
        <v>2000000</v>
      </c>
      <c r="L44" s="35">
        <f t="shared" si="8"/>
        <v>4000000</v>
      </c>
      <c r="M44" s="35">
        <f t="shared" si="8"/>
        <v>8000000</v>
      </c>
    </row>
    <row r="45" spans="1:13" s="39" customFormat="1">
      <c r="A45" s="39">
        <v>1</v>
      </c>
      <c r="B45" s="39">
        <v>101.6</v>
      </c>
      <c r="C45" s="39">
        <v>101.3</v>
      </c>
      <c r="D45" s="39">
        <v>101.2</v>
      </c>
      <c r="E45" s="39">
        <v>101.3</v>
      </c>
      <c r="F45" s="39">
        <v>121</v>
      </c>
      <c r="G45" s="39">
        <v>121.9</v>
      </c>
      <c r="H45" s="39">
        <f>2*60+2</f>
        <v>122</v>
      </c>
      <c r="I45" s="39">
        <f>2*60+2</f>
        <v>122</v>
      </c>
      <c r="J45" s="39">
        <f>60*2+12.9</f>
        <v>132.9</v>
      </c>
      <c r="K45" s="39">
        <f>2*60+12.9</f>
        <v>132.9</v>
      </c>
      <c r="L45" s="39">
        <f>3*60+32.9</f>
        <v>212.9</v>
      </c>
      <c r="M45" s="39">
        <f>60*3+33.5</f>
        <v>213.5</v>
      </c>
    </row>
    <row r="46" spans="1:13" s="39" customFormat="1">
      <c r="A46" s="39">
        <v>2</v>
      </c>
      <c r="B46" s="39">
        <v>50.8</v>
      </c>
      <c r="C46" s="39">
        <v>50.7</v>
      </c>
      <c r="D46" s="39">
        <v>50.8</v>
      </c>
      <c r="E46" s="26">
        <v>50.8</v>
      </c>
      <c r="F46" s="39">
        <v>61</v>
      </c>
      <c r="G46" s="39">
        <v>61.1</v>
      </c>
      <c r="H46" s="39">
        <v>61.2</v>
      </c>
      <c r="I46" s="39">
        <v>61.5</v>
      </c>
      <c r="J46" s="39">
        <v>66.599999999999994</v>
      </c>
      <c r="K46" s="39">
        <v>66.599999999999994</v>
      </c>
      <c r="L46" s="39">
        <f>60+46.9</f>
        <v>106.9</v>
      </c>
      <c r="M46" s="39">
        <f>60+47.6</f>
        <v>107.6</v>
      </c>
    </row>
    <row r="47" spans="1:13" s="39" customFormat="1">
      <c r="A47" s="39">
        <v>4</v>
      </c>
      <c r="B47" s="39">
        <v>25.5</v>
      </c>
      <c r="C47" s="39">
        <v>25.5</v>
      </c>
      <c r="D47" s="39">
        <v>25.4</v>
      </c>
      <c r="E47" s="26">
        <v>25.5</v>
      </c>
      <c r="F47" s="26">
        <v>30.6</v>
      </c>
      <c r="G47" s="39">
        <v>30.7</v>
      </c>
      <c r="H47" s="39">
        <v>30.8</v>
      </c>
      <c r="I47" s="39">
        <v>31.1</v>
      </c>
      <c r="J47" s="39">
        <v>33.5</v>
      </c>
      <c r="K47" s="39">
        <v>33.5</v>
      </c>
      <c r="L47" s="39">
        <v>53.8</v>
      </c>
      <c r="M47" s="39">
        <v>54.5</v>
      </c>
    </row>
    <row r="48" spans="1:13" s="39" customFormat="1">
      <c r="A48" s="26">
        <v>8</v>
      </c>
      <c r="B48" s="39">
        <v>13.9</v>
      </c>
      <c r="C48" s="39">
        <v>13.5</v>
      </c>
      <c r="D48" s="39">
        <v>13.3</v>
      </c>
      <c r="E48" s="39">
        <v>13.1</v>
      </c>
      <c r="F48" s="26">
        <v>15.9</v>
      </c>
      <c r="G48" s="39">
        <v>16</v>
      </c>
      <c r="H48" s="39">
        <v>16.100000000000001</v>
      </c>
      <c r="I48" s="39">
        <v>16.399999999999999</v>
      </c>
      <c r="J48" s="39">
        <v>17.899999999999999</v>
      </c>
      <c r="K48" s="39">
        <v>17.8</v>
      </c>
      <c r="L48" s="39">
        <v>28.3</v>
      </c>
      <c r="M48" s="39">
        <v>29.1</v>
      </c>
    </row>
    <row r="49" spans="1:13" s="39" customFormat="1">
      <c r="A49" s="39" t="s">
        <v>24</v>
      </c>
    </row>
    <row r="50" spans="1:13" s="39" customFormat="1">
      <c r="A50" s="39" t="s">
        <v>19</v>
      </c>
      <c r="B50" s="32">
        <f t="shared" ref="B50:M50" si="9">B44</f>
        <v>20000</v>
      </c>
      <c r="C50" s="32">
        <f t="shared" si="9"/>
        <v>40000</v>
      </c>
      <c r="D50" s="32">
        <f t="shared" si="9"/>
        <v>80000</v>
      </c>
      <c r="E50" s="32">
        <f t="shared" si="9"/>
        <v>160000</v>
      </c>
      <c r="F50" s="32">
        <f t="shared" si="9"/>
        <v>200000</v>
      </c>
      <c r="G50" s="32">
        <f t="shared" si="9"/>
        <v>400000</v>
      </c>
      <c r="H50" s="32">
        <f t="shared" si="9"/>
        <v>800000</v>
      </c>
      <c r="I50" s="32">
        <f t="shared" si="9"/>
        <v>1600000</v>
      </c>
      <c r="J50" s="32">
        <f t="shared" si="9"/>
        <v>1000000</v>
      </c>
      <c r="K50" s="32">
        <f t="shared" si="9"/>
        <v>2000000</v>
      </c>
      <c r="L50" s="32">
        <f t="shared" si="9"/>
        <v>4000000</v>
      </c>
      <c r="M50" s="32">
        <f t="shared" si="9"/>
        <v>8000000</v>
      </c>
    </row>
    <row r="51" spans="1:13" s="39" customFormat="1">
      <c r="A51" s="39">
        <v>1</v>
      </c>
      <c r="B51" s="28">
        <f t="shared" ref="B51:M51" si="10">B$45/B45/$A45</f>
        <v>1</v>
      </c>
      <c r="C51" s="28">
        <f t="shared" si="10"/>
        <v>1</v>
      </c>
      <c r="D51" s="28">
        <f t="shared" si="10"/>
        <v>1</v>
      </c>
      <c r="E51" s="28">
        <f t="shared" si="10"/>
        <v>1</v>
      </c>
      <c r="F51" s="28">
        <f t="shared" si="10"/>
        <v>1</v>
      </c>
      <c r="G51" s="28">
        <f t="shared" si="10"/>
        <v>1</v>
      </c>
      <c r="H51" s="28">
        <f t="shared" si="10"/>
        <v>1</v>
      </c>
      <c r="I51" s="28">
        <f t="shared" si="10"/>
        <v>1</v>
      </c>
      <c r="J51" s="28">
        <f t="shared" si="10"/>
        <v>1</v>
      </c>
      <c r="K51" s="28">
        <f t="shared" si="10"/>
        <v>1</v>
      </c>
      <c r="L51" s="28">
        <f t="shared" si="10"/>
        <v>1</v>
      </c>
      <c r="M51" s="28">
        <f t="shared" si="10"/>
        <v>1</v>
      </c>
    </row>
    <row r="52" spans="1:13" s="39" customFormat="1">
      <c r="A52" s="39">
        <v>2</v>
      </c>
      <c r="B52" s="28">
        <f t="shared" ref="B52:M54" si="11">B$45/B46/$A46</f>
        <v>1</v>
      </c>
      <c r="C52" s="28">
        <f t="shared" si="11"/>
        <v>0.99901380670611428</v>
      </c>
      <c r="D52" s="28">
        <f t="shared" si="11"/>
        <v>0.99606299212598437</v>
      </c>
      <c r="E52" s="28">
        <f t="shared" si="11"/>
        <v>0.99704724409448819</v>
      </c>
      <c r="F52" s="28">
        <f t="shared" si="11"/>
        <v>0.99180327868852458</v>
      </c>
      <c r="G52" s="28">
        <f t="shared" si="11"/>
        <v>0.99754500818330605</v>
      </c>
      <c r="H52" s="28">
        <f t="shared" si="11"/>
        <v>0.99673202614379075</v>
      </c>
      <c r="I52" s="28">
        <f t="shared" si="11"/>
        <v>0.99186991869918695</v>
      </c>
      <c r="J52" s="28">
        <f t="shared" si="11"/>
        <v>0.99774774774774788</v>
      </c>
      <c r="K52" s="28">
        <f t="shared" si="11"/>
        <v>0.99774774774774788</v>
      </c>
      <c r="L52" s="28">
        <f t="shared" si="11"/>
        <v>0.99579045837231051</v>
      </c>
      <c r="M52" s="28">
        <f t="shared" si="11"/>
        <v>0.992100371747212</v>
      </c>
    </row>
    <row r="53" spans="1:13" s="39" customFormat="1">
      <c r="A53" s="39">
        <v>4</v>
      </c>
      <c r="B53" s="28">
        <f t="shared" si="11"/>
        <v>0.99607843137254892</v>
      </c>
      <c r="C53" s="28">
        <f t="shared" si="11"/>
        <v>0.99313725490196081</v>
      </c>
      <c r="D53" s="28">
        <f t="shared" si="11"/>
        <v>0.99606299212598437</v>
      </c>
      <c r="E53" s="28">
        <f t="shared" si="11"/>
        <v>0.99313725490196081</v>
      </c>
      <c r="F53" s="28">
        <f t="shared" si="11"/>
        <v>0.9885620915032679</v>
      </c>
      <c r="G53" s="28">
        <f t="shared" si="11"/>
        <v>0.99267100977198708</v>
      </c>
      <c r="H53" s="28">
        <f t="shared" si="11"/>
        <v>0.99025974025974028</v>
      </c>
      <c r="I53" s="28">
        <f t="shared" si="11"/>
        <v>0.98070739549839225</v>
      </c>
      <c r="J53" s="28">
        <f t="shared" si="11"/>
        <v>0.99179104477611946</v>
      </c>
      <c r="K53" s="28">
        <f t="shared" si="11"/>
        <v>0.99179104477611946</v>
      </c>
      <c r="L53" s="28">
        <f t="shared" si="11"/>
        <v>0.98931226765799263</v>
      </c>
      <c r="M53" s="28">
        <f t="shared" si="11"/>
        <v>0.97935779816513757</v>
      </c>
    </row>
    <row r="54" spans="1:13" s="39" customFormat="1">
      <c r="A54" s="26">
        <v>8</v>
      </c>
      <c r="B54" s="28">
        <f t="shared" si="11"/>
        <v>0.91366906474820131</v>
      </c>
      <c r="C54" s="28">
        <f t="shared" si="11"/>
        <v>0.93796296296296289</v>
      </c>
      <c r="D54" s="28">
        <f t="shared" si="11"/>
        <v>0.95112781954887216</v>
      </c>
      <c r="E54" s="28">
        <f t="shared" si="11"/>
        <v>0.96660305343511455</v>
      </c>
      <c r="F54" s="28">
        <f t="shared" si="11"/>
        <v>0.95125786163522008</v>
      </c>
      <c r="G54" s="28">
        <f t="shared" si="11"/>
        <v>0.95234375000000004</v>
      </c>
      <c r="H54" s="28">
        <f t="shared" si="11"/>
        <v>0.94720496894409933</v>
      </c>
      <c r="I54" s="28">
        <f t="shared" si="11"/>
        <v>0.92987804878048785</v>
      </c>
      <c r="J54" s="28">
        <f t="shared" si="11"/>
        <v>0.92807262569832416</v>
      </c>
      <c r="K54" s="28">
        <f t="shared" si="11"/>
        <v>0.9332865168539326</v>
      </c>
      <c r="L54" s="28">
        <f t="shared" si="11"/>
        <v>0.94037102473498235</v>
      </c>
      <c r="M54" s="28">
        <f t="shared" si="11"/>
        <v>0.91709621993127144</v>
      </c>
    </row>
    <row r="55" spans="1:13" s="39" customFormat="1">
      <c r="A55" s="39" t="s">
        <v>23</v>
      </c>
    </row>
    <row r="56" spans="1:13" s="39" customFormat="1">
      <c r="M56" s="38"/>
    </row>
    <row r="57" spans="1:13" s="39" customFormat="1">
      <c r="A57" s="26">
        <v>1</v>
      </c>
      <c r="B57" s="39">
        <f t="shared" ref="B57:M57" si="12">B$45/B45</f>
        <v>1</v>
      </c>
      <c r="C57" s="39">
        <f t="shared" si="12"/>
        <v>1</v>
      </c>
      <c r="D57" s="39">
        <f t="shared" si="12"/>
        <v>1</v>
      </c>
      <c r="E57" s="39">
        <f t="shared" si="12"/>
        <v>1</v>
      </c>
      <c r="F57" s="39">
        <f t="shared" si="12"/>
        <v>1</v>
      </c>
      <c r="G57" s="39">
        <f t="shared" si="12"/>
        <v>1</v>
      </c>
      <c r="H57" s="39">
        <f t="shared" si="12"/>
        <v>1</v>
      </c>
      <c r="I57" s="39">
        <f t="shared" si="12"/>
        <v>1</v>
      </c>
      <c r="J57" s="39">
        <f t="shared" si="12"/>
        <v>1</v>
      </c>
      <c r="K57" s="39">
        <f t="shared" si="12"/>
        <v>1</v>
      </c>
      <c r="L57" s="39">
        <f t="shared" si="12"/>
        <v>1</v>
      </c>
      <c r="M57" s="39">
        <f t="shared" si="12"/>
        <v>1</v>
      </c>
    </row>
    <row r="58" spans="1:13" s="39" customFormat="1">
      <c r="A58" s="26">
        <v>2</v>
      </c>
      <c r="B58" s="39">
        <f t="shared" ref="B58:M60" si="13">B$45/B46</f>
        <v>2</v>
      </c>
      <c r="C58" s="39">
        <f t="shared" si="13"/>
        <v>1.9980276134122286</v>
      </c>
      <c r="D58" s="39">
        <f t="shared" si="13"/>
        <v>1.9921259842519687</v>
      </c>
      <c r="E58" s="39">
        <f t="shared" si="13"/>
        <v>1.9940944881889764</v>
      </c>
      <c r="F58" s="39">
        <f t="shared" si="13"/>
        <v>1.9836065573770492</v>
      </c>
      <c r="G58" s="39">
        <f t="shared" si="13"/>
        <v>1.9950900163666121</v>
      </c>
      <c r="H58" s="39">
        <f t="shared" si="13"/>
        <v>1.9934640522875815</v>
      </c>
      <c r="I58" s="39">
        <f t="shared" si="13"/>
        <v>1.9837398373983739</v>
      </c>
      <c r="J58" s="39">
        <f t="shared" si="13"/>
        <v>1.9954954954954958</v>
      </c>
      <c r="K58" s="39">
        <f t="shared" si="13"/>
        <v>1.9954954954954958</v>
      </c>
      <c r="L58" s="39">
        <f t="shared" si="13"/>
        <v>1.991580916744621</v>
      </c>
      <c r="M58" s="39">
        <f t="shared" si="13"/>
        <v>1.984200743494424</v>
      </c>
    </row>
    <row r="59" spans="1:13" s="39" customFormat="1">
      <c r="A59" s="26">
        <v>4</v>
      </c>
      <c r="B59" s="39">
        <f t="shared" si="13"/>
        <v>3.9843137254901957</v>
      </c>
      <c r="C59" s="39">
        <f t="shared" si="13"/>
        <v>3.9725490196078432</v>
      </c>
      <c r="D59" s="39">
        <f t="shared" si="13"/>
        <v>3.9842519685039375</v>
      </c>
      <c r="E59" s="39">
        <f t="shared" si="13"/>
        <v>3.9725490196078432</v>
      </c>
      <c r="F59" s="39">
        <f t="shared" si="13"/>
        <v>3.9542483660130716</v>
      </c>
      <c r="G59" s="39">
        <f t="shared" si="13"/>
        <v>3.9706840390879483</v>
      </c>
      <c r="H59" s="39">
        <f t="shared" si="13"/>
        <v>3.9610389610389611</v>
      </c>
      <c r="I59" s="39">
        <f t="shared" si="13"/>
        <v>3.922829581993569</v>
      </c>
      <c r="J59" s="39">
        <f t="shared" si="13"/>
        <v>3.9671641791044778</v>
      </c>
      <c r="K59" s="39">
        <f t="shared" si="13"/>
        <v>3.9671641791044778</v>
      </c>
      <c r="L59" s="39">
        <f t="shared" si="13"/>
        <v>3.9572490706319705</v>
      </c>
      <c r="M59" s="39">
        <f t="shared" si="13"/>
        <v>3.9174311926605503</v>
      </c>
    </row>
    <row r="60" spans="1:13" s="39" customFormat="1">
      <c r="A60" s="26">
        <v>8</v>
      </c>
      <c r="B60" s="39">
        <f t="shared" si="13"/>
        <v>7.3093525179856105</v>
      </c>
      <c r="C60" s="39">
        <f t="shared" si="13"/>
        <v>7.5037037037037031</v>
      </c>
      <c r="D60" s="39">
        <f t="shared" si="13"/>
        <v>7.6090225563909772</v>
      </c>
      <c r="E60" s="39">
        <f t="shared" si="13"/>
        <v>7.7328244274809164</v>
      </c>
      <c r="F60" s="39">
        <f t="shared" si="13"/>
        <v>7.6100628930817606</v>
      </c>
      <c r="G60" s="39">
        <f t="shared" si="13"/>
        <v>7.6187500000000004</v>
      </c>
      <c r="H60" s="39">
        <f t="shared" si="13"/>
        <v>7.5776397515527947</v>
      </c>
      <c r="I60" s="39">
        <f t="shared" si="13"/>
        <v>7.4390243902439028</v>
      </c>
      <c r="J60" s="39">
        <f t="shared" si="13"/>
        <v>7.4245810055865933</v>
      </c>
      <c r="K60" s="39">
        <f t="shared" si="13"/>
        <v>7.4662921348314608</v>
      </c>
      <c r="L60" s="39">
        <f t="shared" si="13"/>
        <v>7.5229681978798588</v>
      </c>
      <c r="M60" s="39">
        <f t="shared" si="13"/>
        <v>7.3367697594501715</v>
      </c>
    </row>
  </sheetData>
  <mergeCells count="3">
    <mergeCell ref="B42:E42"/>
    <mergeCell ref="F42:I42"/>
    <mergeCell ref="J42:M42"/>
  </mergeCells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134"/>
  <sheetViews>
    <sheetView topLeftCell="A104" workbookViewId="0">
      <selection activeCell="F112" sqref="F112"/>
    </sheetView>
  </sheetViews>
  <sheetFormatPr baseColWidth="10" defaultRowHeight="13"/>
  <cols>
    <col min="1" max="1" width="10.7109375" style="6"/>
    <col min="4" max="4" width="10.7109375" style="6"/>
    <col min="6" max="6" width="10.7109375" style="6"/>
  </cols>
  <sheetData>
    <row r="1" spans="1:10" s="6" customFormat="1">
      <c r="A1" s="6" t="s">
        <v>16</v>
      </c>
      <c r="C1" s="23">
        <v>8</v>
      </c>
      <c r="E1" s="23">
        <v>16</v>
      </c>
      <c r="G1" s="23">
        <v>32</v>
      </c>
      <c r="I1" s="23">
        <v>64</v>
      </c>
    </row>
    <row r="2" spans="1:10">
      <c r="A2" s="6" t="s">
        <v>15</v>
      </c>
      <c r="C2" s="23"/>
      <c r="E2" s="23"/>
      <c r="G2" s="23"/>
      <c r="I2" s="23"/>
    </row>
    <row r="3" spans="1:10" s="6" customFormat="1">
      <c r="C3" s="23"/>
      <c r="D3" s="6">
        <v>4000</v>
      </c>
      <c r="E3" s="23"/>
      <c r="F3" s="6">
        <v>2000</v>
      </c>
      <c r="G3" s="23"/>
      <c r="H3" s="6">
        <v>500</v>
      </c>
      <c r="I3" s="23"/>
      <c r="J3" s="6">
        <v>200</v>
      </c>
    </row>
    <row r="4" spans="1:10">
      <c r="C4" s="24">
        <f>C$1*$A5</f>
        <v>10000</v>
      </c>
      <c r="D4" s="21">
        <f>C4*D3</f>
        <v>40000000</v>
      </c>
      <c r="E4" s="24">
        <f>E$1*$A5</f>
        <v>20000</v>
      </c>
      <c r="F4" s="21">
        <f>E4*F3</f>
        <v>40000000</v>
      </c>
      <c r="G4" s="24">
        <f>G$1*$A5</f>
        <v>40000</v>
      </c>
      <c r="H4" s="21">
        <f>G4*H3</f>
        <v>20000000</v>
      </c>
      <c r="I4" s="24">
        <f>I$1*$A5</f>
        <v>80000</v>
      </c>
      <c r="J4" s="22">
        <v>20000000</v>
      </c>
    </row>
    <row r="5" spans="1:10">
      <c r="A5" s="6">
        <f>50*25</f>
        <v>1250</v>
      </c>
      <c r="B5">
        <v>1</v>
      </c>
      <c r="C5" s="23">
        <v>28.2</v>
      </c>
      <c r="D5" s="6">
        <f>C$5/C5/$B5</f>
        <v>1</v>
      </c>
      <c r="E5" s="23">
        <v>56.6</v>
      </c>
      <c r="F5" s="6">
        <f>E$5/E5/$B5</f>
        <v>1</v>
      </c>
      <c r="G5" s="23">
        <v>57.4</v>
      </c>
      <c r="H5" s="6">
        <f>G$5/G5/$B5</f>
        <v>1</v>
      </c>
      <c r="I5" s="23">
        <f>60+48.3</f>
        <v>108.3</v>
      </c>
      <c r="J5" s="6">
        <f>I$5/I5/$B5</f>
        <v>1</v>
      </c>
    </row>
    <row r="6" spans="1:10">
      <c r="B6">
        <v>2</v>
      </c>
      <c r="C6" s="23">
        <v>15.1</v>
      </c>
      <c r="D6" s="6">
        <f>C$5/C6/$B6</f>
        <v>0.93377483443708609</v>
      </c>
      <c r="E6" s="23">
        <v>29.5</v>
      </c>
      <c r="F6" s="6">
        <f>E$5/E6/$B6</f>
        <v>0.95932203389830506</v>
      </c>
      <c r="G6" s="23">
        <v>30.2</v>
      </c>
      <c r="H6" s="6">
        <f>G$5/G6/$B6</f>
        <v>0.95033112582781454</v>
      </c>
      <c r="I6" s="23">
        <v>56.1</v>
      </c>
      <c r="J6" s="6">
        <f>I$5/I6/$B6</f>
        <v>0.96524064171122992</v>
      </c>
    </row>
    <row r="7" spans="1:10">
      <c r="B7">
        <v>4</v>
      </c>
      <c r="C7" s="23">
        <v>8.1</v>
      </c>
      <c r="D7" s="6">
        <f>C$5/C7/$B7</f>
        <v>0.87037037037037035</v>
      </c>
      <c r="E7" s="23">
        <v>15.8</v>
      </c>
      <c r="F7" s="6">
        <f>E$5/E7/$B7</f>
        <v>0.89556962025316456</v>
      </c>
      <c r="G7" s="23">
        <v>15.5</v>
      </c>
      <c r="H7" s="6">
        <f>G$5/G7/$B7</f>
        <v>0.9258064516129032</v>
      </c>
      <c r="I7" s="23">
        <v>29.7</v>
      </c>
      <c r="J7" s="6">
        <f>I$5/I7/$B7</f>
        <v>0.91161616161616166</v>
      </c>
    </row>
    <row r="8" spans="1:10" s="6" customFormat="1">
      <c r="C8" s="23"/>
      <c r="E8" s="23"/>
      <c r="G8" s="23"/>
      <c r="I8" s="23"/>
    </row>
    <row r="9" spans="1:10" s="6" customFormat="1">
      <c r="C9" s="23"/>
      <c r="D9" s="7">
        <v>2000</v>
      </c>
      <c r="E9" s="23"/>
      <c r="F9" s="7">
        <v>1000</v>
      </c>
      <c r="G9" s="25"/>
      <c r="H9" s="6">
        <v>500</v>
      </c>
      <c r="I9" s="23"/>
      <c r="J9" s="6">
        <v>200</v>
      </c>
    </row>
    <row r="10" spans="1:10" s="6" customFormat="1">
      <c r="C10" s="24">
        <f>C$1*$A11</f>
        <v>20000</v>
      </c>
      <c r="D10" s="21">
        <f>C10*D9</f>
        <v>40000000</v>
      </c>
      <c r="E10" s="24">
        <f>E$1*$A11</f>
        <v>40000</v>
      </c>
      <c r="F10" s="21">
        <f>E10*F9</f>
        <v>40000000</v>
      </c>
      <c r="G10" s="24">
        <f>G$1*$A11</f>
        <v>80000</v>
      </c>
      <c r="H10" s="21">
        <f>G10*H9</f>
        <v>40000000</v>
      </c>
      <c r="I10" s="24">
        <f>I$1*$A11</f>
        <v>160000</v>
      </c>
      <c r="J10" s="21">
        <f>I10*J9</f>
        <v>32000000</v>
      </c>
    </row>
    <row r="11" spans="1:10">
      <c r="A11" s="6">
        <f>50*50*1</f>
        <v>2500</v>
      </c>
      <c r="B11">
        <v>1</v>
      </c>
      <c r="C11" s="23">
        <v>27</v>
      </c>
      <c r="D11" s="6">
        <f>C$11/C11/$B11</f>
        <v>1</v>
      </c>
      <c r="E11" s="23">
        <v>54.3</v>
      </c>
      <c r="F11" s="6">
        <f>E$11/E11/$B11</f>
        <v>1</v>
      </c>
      <c r="G11" s="23">
        <f>60+50.7</f>
        <v>110.7</v>
      </c>
      <c r="H11" s="6">
        <f>G$11/G11/$B11</f>
        <v>1</v>
      </c>
      <c r="I11" s="23">
        <f>60*3+29.6</f>
        <v>209.6</v>
      </c>
      <c r="J11" s="6">
        <f>I$11/I11/$B11</f>
        <v>1</v>
      </c>
    </row>
    <row r="12" spans="1:10">
      <c r="B12">
        <v>2</v>
      </c>
      <c r="C12" s="23">
        <v>14.2</v>
      </c>
      <c r="D12" s="6">
        <f t="shared" ref="D12:F13" si="0">C$11/C12/$B12</f>
        <v>0.95070422535211274</v>
      </c>
      <c r="E12" s="23">
        <v>28</v>
      </c>
      <c r="F12" s="6">
        <f t="shared" si="0"/>
        <v>0.96964285714285714</v>
      </c>
      <c r="G12" s="23">
        <v>56.3</v>
      </c>
      <c r="H12" s="6">
        <f t="shared" ref="H12" si="1">G$11/G12/$B12</f>
        <v>0.98312611012433404</v>
      </c>
      <c r="I12" s="23">
        <f>60+46.9</f>
        <v>106.9</v>
      </c>
      <c r="J12" s="6">
        <f t="shared" ref="J12" si="2">I$11/I12/$B12</f>
        <v>0.98035547240411591</v>
      </c>
    </row>
    <row r="13" spans="1:10">
      <c r="B13">
        <v>4</v>
      </c>
      <c r="C13" s="23">
        <v>7.8</v>
      </c>
      <c r="D13" s="6">
        <f t="shared" si="0"/>
        <v>0.86538461538461542</v>
      </c>
      <c r="E13" s="23">
        <v>14.5</v>
      </c>
      <c r="F13" s="6">
        <f t="shared" si="0"/>
        <v>0.93620689655172407</v>
      </c>
      <c r="G13" s="23">
        <v>29.4</v>
      </c>
      <c r="H13" s="6">
        <f t="shared" ref="H13" si="3">G$11/G13/$B13</f>
        <v>0.94132653061224492</v>
      </c>
      <c r="I13" s="23">
        <v>55.4</v>
      </c>
      <c r="J13" s="6">
        <f t="shared" ref="J13" si="4">I$11/I13/$B13</f>
        <v>0.94584837545126355</v>
      </c>
    </row>
    <row r="14" spans="1:10">
      <c r="C14" s="23"/>
      <c r="E14" s="23"/>
      <c r="G14" s="23"/>
      <c r="I14" s="23"/>
    </row>
    <row r="15" spans="1:10" s="6" customFormat="1">
      <c r="C15" s="23"/>
      <c r="D15" s="6">
        <v>200</v>
      </c>
      <c r="E15" s="23"/>
      <c r="F15" s="6">
        <v>100</v>
      </c>
      <c r="G15" s="23"/>
      <c r="H15" s="6">
        <v>50</v>
      </c>
      <c r="I15" s="23"/>
      <c r="J15" s="6">
        <v>10</v>
      </c>
    </row>
    <row r="16" spans="1:10" s="6" customFormat="1">
      <c r="C16" s="24">
        <f>C$1*$A17</f>
        <v>200000</v>
      </c>
      <c r="D16" s="21">
        <f>C16*D15</f>
        <v>40000000</v>
      </c>
      <c r="E16" s="24">
        <f>E$1*$A17</f>
        <v>400000</v>
      </c>
      <c r="F16" s="21">
        <f>E16*F15</f>
        <v>40000000</v>
      </c>
      <c r="G16" s="24">
        <f>G$1*$A17</f>
        <v>800000</v>
      </c>
      <c r="H16" s="21">
        <f>G16*H15</f>
        <v>40000000</v>
      </c>
      <c r="I16" s="24">
        <f>I$1*$A17</f>
        <v>1600000</v>
      </c>
      <c r="J16" s="21">
        <f>I16*J15</f>
        <v>16000000</v>
      </c>
    </row>
    <row r="17" spans="1:14">
      <c r="A17" s="6">
        <f>50*50*10</f>
        <v>25000</v>
      </c>
      <c r="B17">
        <v>1</v>
      </c>
      <c r="C17" s="25">
        <v>32.9</v>
      </c>
      <c r="D17" s="6">
        <f>C$17/C17/$B17</f>
        <v>1</v>
      </c>
      <c r="E17" s="23">
        <v>67.2</v>
      </c>
      <c r="F17" s="6">
        <f>E$17/E17/$B17</f>
        <v>1</v>
      </c>
      <c r="G17" s="23">
        <f>60*2+15.5</f>
        <v>135.5</v>
      </c>
      <c r="H17" s="6">
        <f>G$17/G17/$B17</f>
        <v>1</v>
      </c>
      <c r="I17" s="23">
        <f>60*2+16</f>
        <v>136</v>
      </c>
      <c r="J17" s="6">
        <f>I$17/I17/$B17</f>
        <v>1</v>
      </c>
    </row>
    <row r="18" spans="1:14">
      <c r="B18">
        <v>2</v>
      </c>
      <c r="C18" s="23">
        <v>17.399999999999999</v>
      </c>
      <c r="D18" s="6">
        <f>C$17/C18/$B18</f>
        <v>0.9454022988505747</v>
      </c>
      <c r="E18" s="23">
        <v>36</v>
      </c>
      <c r="F18" s="6">
        <f>E$17/E18/$B18</f>
        <v>0.93333333333333335</v>
      </c>
      <c r="G18" s="23">
        <v>70.5</v>
      </c>
      <c r="H18" s="6">
        <f t="shared" ref="H18:J18" si="5">G$17/G18/$B18</f>
        <v>0.96099290780141844</v>
      </c>
      <c r="I18" s="23">
        <v>69.5</v>
      </c>
      <c r="J18" s="6">
        <f t="shared" si="5"/>
        <v>0.97841726618705038</v>
      </c>
    </row>
    <row r="19" spans="1:14">
      <c r="B19">
        <v>4</v>
      </c>
      <c r="C19" s="23">
        <f>18/2</f>
        <v>9</v>
      </c>
      <c r="D19" s="6">
        <f>C$17/C19/$B19</f>
        <v>0.91388888888888886</v>
      </c>
      <c r="E19" s="23">
        <v>18.5</v>
      </c>
      <c r="F19" s="6">
        <f>E$17/E19/$B19</f>
        <v>0.90810810810810816</v>
      </c>
      <c r="G19" s="23">
        <v>36.200000000000003</v>
      </c>
      <c r="H19" s="6">
        <f t="shared" ref="H19:J19" si="6">G$17/G19/$B19</f>
        <v>0.93577348066298338</v>
      </c>
      <c r="I19" s="23">
        <v>36.9</v>
      </c>
      <c r="J19" s="6">
        <f t="shared" si="6"/>
        <v>0.92140921409214094</v>
      </c>
    </row>
    <row r="20" spans="1:14" s="6" customFormat="1"/>
    <row r="22" spans="1:14">
      <c r="C22" s="46">
        <v>8</v>
      </c>
      <c r="D22" s="47"/>
      <c r="E22" s="47"/>
      <c r="F22" s="46">
        <v>16</v>
      </c>
      <c r="G22" s="47"/>
      <c r="H22" s="47"/>
      <c r="I22" s="46">
        <v>32</v>
      </c>
      <c r="J22" s="47"/>
      <c r="K22" s="47"/>
      <c r="L22" s="46">
        <v>64</v>
      </c>
      <c r="M22" s="47"/>
      <c r="N22" s="47"/>
    </row>
    <row r="23" spans="1:14">
      <c r="C23" s="15">
        <f>8*1250</f>
        <v>10000</v>
      </c>
      <c r="D23" s="16">
        <f>8*2500</f>
        <v>20000</v>
      </c>
      <c r="E23" s="16">
        <f>8*25000</f>
        <v>200000</v>
      </c>
      <c r="F23" s="15">
        <f>8*1250</f>
        <v>10000</v>
      </c>
      <c r="G23" s="17">
        <f>16*2500</f>
        <v>40000</v>
      </c>
      <c r="H23" s="16">
        <f>16*25000</f>
        <v>400000</v>
      </c>
      <c r="I23" s="18">
        <f>32*1250</f>
        <v>40000</v>
      </c>
      <c r="J23" s="19">
        <f>32*2500</f>
        <v>80000</v>
      </c>
      <c r="K23" s="16">
        <f>32*25000</f>
        <v>800000</v>
      </c>
      <c r="L23" s="20">
        <f>64*1250</f>
        <v>80000</v>
      </c>
      <c r="M23" s="16">
        <f>64*2500</f>
        <v>160000</v>
      </c>
      <c r="N23" s="16">
        <f>64*25000</f>
        <v>1600000</v>
      </c>
    </row>
    <row r="24" spans="1:14">
      <c r="B24">
        <v>1</v>
      </c>
      <c r="C24" s="13">
        <f>D5</f>
        <v>1</v>
      </c>
      <c r="D24" s="10">
        <f>D11</f>
        <v>1</v>
      </c>
      <c r="E24" s="10">
        <f>D17</f>
        <v>1</v>
      </c>
      <c r="F24" s="13">
        <f>F5</f>
        <v>1</v>
      </c>
      <c r="G24" s="14">
        <f>F11</f>
        <v>1</v>
      </c>
      <c r="H24" s="10">
        <f>F17</f>
        <v>1</v>
      </c>
      <c r="I24" s="11">
        <f>H5</f>
        <v>1</v>
      </c>
      <c r="J24" s="12">
        <f>H11</f>
        <v>1</v>
      </c>
      <c r="K24" s="10">
        <f>H17</f>
        <v>1</v>
      </c>
      <c r="L24" s="9">
        <f>J5</f>
        <v>1</v>
      </c>
      <c r="M24" s="10">
        <f>J11</f>
        <v>1</v>
      </c>
      <c r="N24" s="10">
        <f>J17</f>
        <v>1</v>
      </c>
    </row>
    <row r="25" spans="1:14">
      <c r="B25">
        <v>2</v>
      </c>
      <c r="C25" s="13">
        <f>D6</f>
        <v>0.93377483443708609</v>
      </c>
      <c r="D25" s="10">
        <f>D12</f>
        <v>0.95070422535211274</v>
      </c>
      <c r="E25" s="10">
        <f>D18</f>
        <v>0.9454022988505747</v>
      </c>
      <c r="F25" s="13">
        <f>F6</f>
        <v>0.95932203389830506</v>
      </c>
      <c r="G25" s="14">
        <f>F12</f>
        <v>0.96964285714285714</v>
      </c>
      <c r="H25" s="10">
        <f>F18</f>
        <v>0.93333333333333335</v>
      </c>
      <c r="I25" s="11">
        <f>H6</f>
        <v>0.95033112582781454</v>
      </c>
      <c r="J25" s="12">
        <f>H12</f>
        <v>0.98312611012433404</v>
      </c>
      <c r="K25" s="10">
        <f>H18</f>
        <v>0.96099290780141844</v>
      </c>
      <c r="L25" s="9">
        <f>J6</f>
        <v>0.96524064171122992</v>
      </c>
      <c r="M25" s="10">
        <f>J12</f>
        <v>0.98035547240411591</v>
      </c>
      <c r="N25" s="10">
        <f>J18</f>
        <v>0.97841726618705038</v>
      </c>
    </row>
    <row r="26" spans="1:14">
      <c r="B26">
        <v>4</v>
      </c>
      <c r="C26" s="13">
        <f t="shared" ref="C26" si="7">D7</f>
        <v>0.87037037037037035</v>
      </c>
      <c r="D26" s="10">
        <f t="shared" ref="D26" si="8">D13</f>
        <v>0.86538461538461542</v>
      </c>
      <c r="E26" s="10">
        <f t="shared" ref="E26" si="9">D19</f>
        <v>0.91388888888888886</v>
      </c>
      <c r="F26" s="13">
        <f t="shared" ref="F26" si="10">F7</f>
        <v>0.89556962025316456</v>
      </c>
      <c r="G26" s="14">
        <f t="shared" ref="G26" si="11">F13</f>
        <v>0.93620689655172407</v>
      </c>
      <c r="H26" s="10">
        <f t="shared" ref="H26" si="12">F19</f>
        <v>0.90810810810810816</v>
      </c>
      <c r="I26" s="11">
        <f t="shared" ref="I26" si="13">H7</f>
        <v>0.9258064516129032</v>
      </c>
      <c r="J26" s="12">
        <f t="shared" ref="J26" si="14">H13</f>
        <v>0.94132653061224492</v>
      </c>
      <c r="K26" s="10">
        <f t="shared" ref="K26" si="15">H19</f>
        <v>0.93577348066298338</v>
      </c>
      <c r="L26" s="9">
        <f t="shared" ref="L26" si="16">J7</f>
        <v>0.91161616161616166</v>
      </c>
      <c r="M26" s="10">
        <f t="shared" ref="M26" si="17">J13</f>
        <v>0.94584837545126355</v>
      </c>
      <c r="N26" s="10">
        <f t="shared" ref="N26" si="18">J19</f>
        <v>0.92140921409214094</v>
      </c>
    </row>
    <row r="53" spans="1:13">
      <c r="A53" s="6" t="s">
        <v>17</v>
      </c>
      <c r="B53">
        <v>20000</v>
      </c>
      <c r="C53">
        <v>10000</v>
      </c>
      <c r="D53" s="6">
        <v>2000</v>
      </c>
      <c r="E53">
        <v>500</v>
      </c>
      <c r="F53" s="6">
        <v>4000</v>
      </c>
      <c r="G53">
        <v>2000</v>
      </c>
      <c r="H53">
        <v>500</v>
      </c>
      <c r="I53">
        <v>200</v>
      </c>
      <c r="J53">
        <v>400</v>
      </c>
      <c r="K53">
        <v>200</v>
      </c>
      <c r="L53">
        <v>10</v>
      </c>
      <c r="M53">
        <v>5</v>
      </c>
    </row>
    <row r="54" spans="1:13" ht="14" thickBot="1">
      <c r="A54" s="8" t="s">
        <v>18</v>
      </c>
      <c r="B54" s="40">
        <v>500</v>
      </c>
      <c r="C54" s="41"/>
      <c r="D54" s="41"/>
      <c r="E54" s="45"/>
      <c r="F54" s="40">
        <v>2500</v>
      </c>
      <c r="G54" s="41"/>
      <c r="H54" s="41"/>
      <c r="I54" s="45"/>
      <c r="J54" s="40">
        <v>25000</v>
      </c>
      <c r="K54" s="41"/>
      <c r="L54" s="41"/>
      <c r="M54" s="41"/>
    </row>
    <row r="55" spans="1:13" ht="15" thickTop="1" thickBot="1">
      <c r="A55" s="27" t="s">
        <v>21</v>
      </c>
      <c r="B55" s="30">
        <v>8</v>
      </c>
      <c r="C55" s="31">
        <v>16</v>
      </c>
      <c r="D55" s="31">
        <v>32</v>
      </c>
      <c r="E55" s="31">
        <v>64</v>
      </c>
      <c r="F55" s="30">
        <v>8</v>
      </c>
      <c r="G55" s="31">
        <v>16</v>
      </c>
      <c r="H55" s="31">
        <v>32</v>
      </c>
      <c r="I55" s="31">
        <v>64</v>
      </c>
      <c r="J55" s="30">
        <v>8</v>
      </c>
      <c r="K55" s="31">
        <v>16</v>
      </c>
      <c r="L55" s="31">
        <v>32</v>
      </c>
      <c r="M55" s="31">
        <v>64</v>
      </c>
    </row>
    <row r="56" spans="1:13">
      <c r="A56" s="26" t="s">
        <v>19</v>
      </c>
      <c r="B56" s="34">
        <f>B55*$B54</f>
        <v>4000</v>
      </c>
      <c r="C56" s="35">
        <f t="shared" ref="C56:E56" si="19">C55*$B54</f>
        <v>8000</v>
      </c>
      <c r="D56" s="35">
        <f t="shared" si="19"/>
        <v>16000</v>
      </c>
      <c r="E56" s="35">
        <f t="shared" si="19"/>
        <v>32000</v>
      </c>
      <c r="F56" s="35">
        <f>F55*$F54</f>
        <v>20000</v>
      </c>
      <c r="G56" s="35">
        <f t="shared" ref="G56:I56" si="20">G55*$F54</f>
        <v>40000</v>
      </c>
      <c r="H56" s="35">
        <f t="shared" si="20"/>
        <v>80000</v>
      </c>
      <c r="I56" s="35">
        <f t="shared" si="20"/>
        <v>160000</v>
      </c>
      <c r="J56" s="35">
        <f>J55*$J54</f>
        <v>200000</v>
      </c>
      <c r="K56" s="35">
        <f t="shared" ref="K56:M56" si="21">K55*$J54</f>
        <v>400000</v>
      </c>
      <c r="L56" s="35">
        <f t="shared" si="21"/>
        <v>800000</v>
      </c>
      <c r="M56" s="35">
        <f t="shared" si="21"/>
        <v>1600000</v>
      </c>
    </row>
    <row r="57" spans="1:13">
      <c r="A57" s="6">
        <v>1</v>
      </c>
      <c r="B57" s="23">
        <v>63.8</v>
      </c>
      <c r="C57">
        <v>126.6</v>
      </c>
      <c r="D57" s="6">
        <f>60+42.6</f>
        <v>102.6</v>
      </c>
      <c r="E57">
        <f>60+58.8</f>
        <v>118.8</v>
      </c>
      <c r="F57" s="23">
        <v>54</v>
      </c>
      <c r="G57" s="26">
        <f>60+48.4</f>
        <v>108.4</v>
      </c>
      <c r="H57">
        <f>60+50.3</f>
        <v>110.3</v>
      </c>
      <c r="I57">
        <f>60+45.8</f>
        <v>105.8</v>
      </c>
      <c r="J57" s="23">
        <v>65.8</v>
      </c>
      <c r="K57">
        <f>60*2+13.7</f>
        <v>133.69999999999999</v>
      </c>
      <c r="L57">
        <f>60+48.5</f>
        <v>108.5</v>
      </c>
      <c r="M57">
        <v>71.900000000000006</v>
      </c>
    </row>
    <row r="58" spans="1:13">
      <c r="A58" s="6">
        <v>2</v>
      </c>
      <c r="B58" s="23">
        <v>34.5</v>
      </c>
      <c r="C58">
        <v>65.400000000000006</v>
      </c>
      <c r="D58" s="6">
        <v>54</v>
      </c>
      <c r="E58">
        <v>62.4</v>
      </c>
      <c r="F58" s="23">
        <v>30.8</v>
      </c>
      <c r="G58">
        <v>55.8</v>
      </c>
      <c r="H58">
        <v>56.4</v>
      </c>
      <c r="I58">
        <v>54.7</v>
      </c>
      <c r="J58" s="23">
        <v>33.299999999999997</v>
      </c>
      <c r="K58">
        <v>70.2</v>
      </c>
      <c r="L58">
        <v>57</v>
      </c>
      <c r="M58">
        <v>36.200000000000003</v>
      </c>
    </row>
    <row r="59" spans="1:13">
      <c r="A59" s="6">
        <v>4</v>
      </c>
      <c r="B59" s="23">
        <v>20.6</v>
      </c>
      <c r="C59">
        <v>37.1</v>
      </c>
      <c r="D59" s="6">
        <v>28.9</v>
      </c>
      <c r="E59">
        <v>33.6</v>
      </c>
      <c r="F59" s="23">
        <v>16.3</v>
      </c>
      <c r="G59" s="26">
        <v>29.9</v>
      </c>
      <c r="H59" s="26">
        <v>29.4</v>
      </c>
      <c r="I59" s="26">
        <v>28.7</v>
      </c>
      <c r="J59" s="23">
        <v>20.2</v>
      </c>
      <c r="K59">
        <v>36.200000000000003</v>
      </c>
      <c r="L59">
        <v>28.8</v>
      </c>
      <c r="M59">
        <v>20.6</v>
      </c>
    </row>
    <row r="60" spans="1:13" s="6" customFormat="1">
      <c r="B60" s="10"/>
      <c r="F60" s="10"/>
      <c r="G60" s="26"/>
      <c r="H60" s="26"/>
      <c r="I60" s="26"/>
      <c r="J60" s="10"/>
    </row>
    <row r="61" spans="1:13">
      <c r="A61" s="8" t="s">
        <v>19</v>
      </c>
      <c r="B61" s="32">
        <f>B55*$B54</f>
        <v>4000</v>
      </c>
      <c r="C61" s="16">
        <f t="shared" ref="C61:E61" si="22">C55*$B54</f>
        <v>8000</v>
      </c>
      <c r="D61" s="16">
        <f t="shared" si="22"/>
        <v>16000</v>
      </c>
      <c r="E61" s="33">
        <f t="shared" si="22"/>
        <v>32000</v>
      </c>
      <c r="F61" s="32">
        <f>F55*$F54</f>
        <v>20000</v>
      </c>
      <c r="G61" s="16">
        <f t="shared" ref="G61:I61" si="23">G55*$F54</f>
        <v>40000</v>
      </c>
      <c r="H61" s="16">
        <f t="shared" si="23"/>
        <v>80000</v>
      </c>
      <c r="I61" s="16">
        <f t="shared" si="23"/>
        <v>160000</v>
      </c>
      <c r="J61" s="32">
        <f>J55*$J54</f>
        <v>200000</v>
      </c>
      <c r="K61" s="16">
        <f t="shared" ref="K61:M61" si="24">K55*$J54</f>
        <v>400000</v>
      </c>
      <c r="L61" s="16">
        <f t="shared" si="24"/>
        <v>800000</v>
      </c>
      <c r="M61" s="16">
        <f t="shared" si="24"/>
        <v>1600000</v>
      </c>
    </row>
    <row r="62" spans="1:13">
      <c r="A62" s="6">
        <v>1</v>
      </c>
      <c r="B62" s="28">
        <f>B$57/B57/$A57</f>
        <v>1</v>
      </c>
      <c r="C62" s="29">
        <f t="shared" ref="C62:M62" si="25">C$57/C57/$A57</f>
        <v>1</v>
      </c>
      <c r="D62" s="29">
        <f t="shared" si="25"/>
        <v>1</v>
      </c>
      <c r="E62" s="29">
        <f t="shared" si="25"/>
        <v>1</v>
      </c>
      <c r="F62" s="28">
        <f t="shared" si="25"/>
        <v>1</v>
      </c>
      <c r="G62" s="29">
        <f t="shared" si="25"/>
        <v>1</v>
      </c>
      <c r="H62" s="29">
        <f t="shared" si="25"/>
        <v>1</v>
      </c>
      <c r="I62" s="29">
        <f t="shared" si="25"/>
        <v>1</v>
      </c>
      <c r="J62" s="28">
        <f t="shared" si="25"/>
        <v>1</v>
      </c>
      <c r="K62" s="29">
        <f t="shared" si="25"/>
        <v>1</v>
      </c>
      <c r="L62" s="29">
        <f t="shared" si="25"/>
        <v>1</v>
      </c>
      <c r="M62" s="29">
        <f t="shared" si="25"/>
        <v>1</v>
      </c>
    </row>
    <row r="63" spans="1:13">
      <c r="A63" s="6">
        <v>2</v>
      </c>
      <c r="B63" s="28">
        <f>B$57/B58/$A58</f>
        <v>0.92463768115942024</v>
      </c>
      <c r="C63" s="29">
        <f t="shared" ref="C63:M63" si="26">C$57/C58/$A58</f>
        <v>0.96788990825688059</v>
      </c>
      <c r="D63" s="29">
        <f t="shared" si="26"/>
        <v>0.95</v>
      </c>
      <c r="E63" s="29">
        <f t="shared" si="26"/>
        <v>0.95192307692307687</v>
      </c>
      <c r="F63" s="28">
        <f t="shared" si="26"/>
        <v>0.87662337662337664</v>
      </c>
      <c r="G63" s="29">
        <f t="shared" si="26"/>
        <v>0.97132616487455203</v>
      </c>
      <c r="H63" s="29">
        <f t="shared" si="26"/>
        <v>0.9778368794326241</v>
      </c>
      <c r="I63" s="29">
        <f t="shared" si="26"/>
        <v>0.96709323583180984</v>
      </c>
      <c r="J63" s="28">
        <f t="shared" si="26"/>
        <v>0.98798798798798804</v>
      </c>
      <c r="K63" s="29">
        <f t="shared" si="26"/>
        <v>0.95227920227920215</v>
      </c>
      <c r="L63" s="29">
        <f t="shared" si="26"/>
        <v>0.95175438596491224</v>
      </c>
      <c r="M63" s="29">
        <f t="shared" si="26"/>
        <v>0.99309392265193375</v>
      </c>
    </row>
    <row r="64" spans="1:13">
      <c r="A64" s="6">
        <v>4</v>
      </c>
      <c r="B64" s="28">
        <f>B$57/B59/$A59</f>
        <v>0.77427184466019405</v>
      </c>
      <c r="C64" s="29">
        <f t="shared" ref="C64:M64" si="27">C$57/C59/$A59</f>
        <v>0.85309973045822096</v>
      </c>
      <c r="D64" s="29">
        <f t="shared" si="27"/>
        <v>0.88754325259515565</v>
      </c>
      <c r="E64" s="29">
        <f t="shared" si="27"/>
        <v>0.8839285714285714</v>
      </c>
      <c r="F64" s="28">
        <f t="shared" si="27"/>
        <v>0.82822085889570551</v>
      </c>
      <c r="G64" s="29">
        <f t="shared" si="27"/>
        <v>0.90635451505016729</v>
      </c>
      <c r="H64" s="29">
        <f t="shared" si="27"/>
        <v>0.93792517006802723</v>
      </c>
      <c r="I64" s="29">
        <f t="shared" si="27"/>
        <v>0.92160278745644597</v>
      </c>
      <c r="J64" s="28">
        <f t="shared" si="27"/>
        <v>0.8143564356435643</v>
      </c>
      <c r="K64" s="29">
        <f t="shared" si="27"/>
        <v>0.92334254143646399</v>
      </c>
      <c r="L64" s="29">
        <f t="shared" si="27"/>
        <v>0.94184027777777779</v>
      </c>
      <c r="M64" s="29">
        <f t="shared" si="27"/>
        <v>0.87257281553398058</v>
      </c>
    </row>
    <row r="88" spans="1:17">
      <c r="A88" s="27" t="s">
        <v>20</v>
      </c>
    </row>
    <row r="90" spans="1:17">
      <c r="A90" s="27" t="s">
        <v>17</v>
      </c>
      <c r="B90" s="27"/>
      <c r="C90" s="27"/>
      <c r="D90" s="27">
        <v>80</v>
      </c>
      <c r="E90" s="27">
        <v>20</v>
      </c>
      <c r="F90" s="27">
        <v>10000</v>
      </c>
      <c r="G90" s="27">
        <v>4000</v>
      </c>
      <c r="H90" s="27">
        <v>1000</v>
      </c>
      <c r="I90" s="27">
        <v>400</v>
      </c>
      <c r="J90" s="27">
        <v>1000</v>
      </c>
      <c r="K90" s="27">
        <v>300</v>
      </c>
      <c r="L90" s="27">
        <v>80</v>
      </c>
      <c r="M90" s="27">
        <v>25</v>
      </c>
      <c r="N90">
        <v>300</v>
      </c>
      <c r="O90">
        <v>50</v>
      </c>
      <c r="P90">
        <v>10</v>
      </c>
      <c r="Q90">
        <v>5</v>
      </c>
    </row>
    <row r="91" spans="1:17" ht="14" thickBot="1">
      <c r="A91" s="27" t="s">
        <v>18</v>
      </c>
      <c r="B91" s="40">
        <f>30^3</f>
        <v>27000</v>
      </c>
      <c r="C91" s="41"/>
      <c r="D91" s="41"/>
      <c r="E91" s="45"/>
      <c r="F91" s="40">
        <f>50*50*1</f>
        <v>2500</v>
      </c>
      <c r="G91" s="41"/>
      <c r="H91" s="41"/>
      <c r="I91" s="45"/>
      <c r="J91" s="40">
        <f>50*50*10</f>
        <v>25000</v>
      </c>
      <c r="K91" s="41"/>
      <c r="L91" s="41"/>
      <c r="M91" s="41"/>
      <c r="N91" s="40">
        <f>50*50*50</f>
        <v>125000</v>
      </c>
      <c r="O91" s="41"/>
      <c r="P91" s="41"/>
      <c r="Q91" s="41"/>
    </row>
    <row r="92" spans="1:17" ht="15" thickTop="1" thickBot="1">
      <c r="A92" s="27" t="s">
        <v>21</v>
      </c>
      <c r="B92" s="30">
        <v>8</v>
      </c>
      <c r="C92" s="31">
        <v>16</v>
      </c>
      <c r="D92" s="31">
        <v>32</v>
      </c>
      <c r="E92" s="31">
        <v>64</v>
      </c>
      <c r="F92" s="30">
        <v>8</v>
      </c>
      <c r="G92" s="31">
        <v>16</v>
      </c>
      <c r="H92" s="31">
        <v>32</v>
      </c>
      <c r="I92" s="31">
        <v>64</v>
      </c>
      <c r="J92" s="30">
        <v>8</v>
      </c>
      <c r="K92" s="31">
        <v>16</v>
      </c>
      <c r="L92" s="31">
        <v>32</v>
      </c>
      <c r="M92" s="31">
        <v>64</v>
      </c>
      <c r="N92" s="30">
        <v>8</v>
      </c>
      <c r="O92" s="31">
        <v>16</v>
      </c>
      <c r="P92" s="31">
        <v>32</v>
      </c>
      <c r="Q92" s="31">
        <v>64</v>
      </c>
    </row>
    <row r="93" spans="1:17">
      <c r="A93" s="26" t="s">
        <v>19</v>
      </c>
      <c r="B93" s="34">
        <f>B92*$B91</f>
        <v>216000</v>
      </c>
      <c r="C93" s="35">
        <f t="shared" ref="C93:E93" si="28">C92*$B91</f>
        <v>432000</v>
      </c>
      <c r="D93" s="35">
        <f t="shared" si="28"/>
        <v>864000</v>
      </c>
      <c r="E93" s="35">
        <f t="shared" si="28"/>
        <v>1728000</v>
      </c>
      <c r="F93" s="35">
        <f>F92*$F91</f>
        <v>20000</v>
      </c>
      <c r="G93" s="35">
        <f t="shared" ref="G93:I93" si="29">G92*$F91</f>
        <v>40000</v>
      </c>
      <c r="H93" s="35">
        <f t="shared" si="29"/>
        <v>80000</v>
      </c>
      <c r="I93" s="35">
        <f t="shared" si="29"/>
        <v>160000</v>
      </c>
      <c r="J93" s="35">
        <f>J92*$J91</f>
        <v>200000</v>
      </c>
      <c r="K93" s="35">
        <f t="shared" ref="K93:M93" si="30">K92*$J91</f>
        <v>400000</v>
      </c>
      <c r="L93" s="35">
        <f t="shared" si="30"/>
        <v>800000</v>
      </c>
      <c r="M93" s="35">
        <f t="shared" si="30"/>
        <v>1600000</v>
      </c>
      <c r="N93" s="35">
        <f>N92*$N91</f>
        <v>1000000</v>
      </c>
      <c r="O93" s="35">
        <f t="shared" ref="O93:Q93" si="31">O92*$N91</f>
        <v>2000000</v>
      </c>
      <c r="P93" s="35">
        <f t="shared" si="31"/>
        <v>4000000</v>
      </c>
      <c r="Q93" s="35">
        <f t="shared" si="31"/>
        <v>8000000</v>
      </c>
    </row>
    <row r="94" spans="1:17">
      <c r="A94" s="6">
        <v>1</v>
      </c>
      <c r="B94">
        <v>92.8</v>
      </c>
      <c r="C94">
        <f>60*2+30</f>
        <v>150</v>
      </c>
      <c r="D94" s="27">
        <f>60*2+12.6</f>
        <v>132.6</v>
      </c>
      <c r="E94">
        <f>60*2+16.6</f>
        <v>136.6</v>
      </c>
      <c r="F94" s="6">
        <f>60+15</f>
        <v>75</v>
      </c>
      <c r="G94">
        <f>60+59</f>
        <v>119</v>
      </c>
      <c r="H94">
        <v>120</v>
      </c>
      <c r="I94">
        <f>60*3+19</f>
        <v>199</v>
      </c>
      <c r="J94">
        <v>96.5</v>
      </c>
      <c r="K94">
        <f>60+56</f>
        <v>116</v>
      </c>
      <c r="L94">
        <f>60*2+16</f>
        <v>136</v>
      </c>
      <c r="M94">
        <f>60*3+7</f>
        <v>187</v>
      </c>
      <c r="N94">
        <f>60*2+5</f>
        <v>125</v>
      </c>
      <c r="O94" s="27">
        <f>60+24.5</f>
        <v>84.5</v>
      </c>
      <c r="P94" s="27">
        <f>60+12.5</f>
        <v>72.5</v>
      </c>
      <c r="Q94">
        <v>168.7</v>
      </c>
    </row>
    <row r="95" spans="1:17">
      <c r="A95" s="6">
        <v>2</v>
      </c>
      <c r="B95">
        <v>47</v>
      </c>
      <c r="C95">
        <v>77.099999999999994</v>
      </c>
      <c r="D95" s="6">
        <v>66.8</v>
      </c>
      <c r="E95">
        <v>68.3</v>
      </c>
      <c r="F95" s="6">
        <v>40.6</v>
      </c>
      <c r="G95">
        <v>66</v>
      </c>
      <c r="H95">
        <v>67.400000000000006</v>
      </c>
      <c r="I95">
        <f>60+46.7</f>
        <v>106.7</v>
      </c>
      <c r="J95">
        <v>49.6</v>
      </c>
      <c r="K95">
        <v>60</v>
      </c>
      <c r="L95">
        <v>68.599999999999994</v>
      </c>
      <c r="M95">
        <f>60+36.6</f>
        <v>96.6</v>
      </c>
      <c r="N95" s="27">
        <v>63.2</v>
      </c>
      <c r="O95">
        <v>45.1</v>
      </c>
      <c r="P95">
        <v>36.9</v>
      </c>
      <c r="Q95">
        <f>60+26</f>
        <v>86</v>
      </c>
    </row>
    <row r="96" spans="1:17">
      <c r="A96" s="6">
        <v>4</v>
      </c>
      <c r="B96">
        <v>29</v>
      </c>
      <c r="C96">
        <v>41.4</v>
      </c>
      <c r="D96" s="6">
        <v>36.299999999999997</v>
      </c>
      <c r="E96">
        <v>39.6</v>
      </c>
      <c r="F96" s="6">
        <v>27.4</v>
      </c>
      <c r="G96">
        <v>34.5</v>
      </c>
      <c r="H96">
        <v>34.299999999999997</v>
      </c>
      <c r="I96">
        <v>55</v>
      </c>
      <c r="J96">
        <v>28</v>
      </c>
      <c r="K96">
        <v>32.9</v>
      </c>
      <c r="L96">
        <v>36.1</v>
      </c>
      <c r="M96">
        <v>50.9</v>
      </c>
      <c r="N96">
        <v>40.4</v>
      </c>
      <c r="O96">
        <v>23.4</v>
      </c>
      <c r="P96">
        <f>40.2/2</f>
        <v>20.100000000000001</v>
      </c>
      <c r="Q96">
        <v>46.3</v>
      </c>
    </row>
    <row r="97" spans="1:17">
      <c r="A97" s="26">
        <v>8</v>
      </c>
      <c r="B97">
        <v>20</v>
      </c>
      <c r="C97">
        <v>21</v>
      </c>
      <c r="D97" s="6">
        <v>18.3</v>
      </c>
      <c r="E97">
        <v>20.5</v>
      </c>
      <c r="F97" s="6">
        <v>18.600000000000001</v>
      </c>
      <c r="G97">
        <v>18.899999999999999</v>
      </c>
      <c r="H97">
        <v>18.2</v>
      </c>
      <c r="I97">
        <v>28.8</v>
      </c>
      <c r="J97">
        <v>17.5</v>
      </c>
      <c r="K97">
        <v>18</v>
      </c>
      <c r="L97">
        <v>18.2</v>
      </c>
      <c r="M97">
        <v>25.7</v>
      </c>
      <c r="N97">
        <v>22.8</v>
      </c>
      <c r="O97">
        <f>25.9/2</f>
        <v>12.95</v>
      </c>
      <c r="P97">
        <f>21.8/2</f>
        <v>10.9</v>
      </c>
      <c r="Q97">
        <v>24.2</v>
      </c>
    </row>
    <row r="98" spans="1:17">
      <c r="A98" s="39" t="s">
        <v>24</v>
      </c>
    </row>
    <row r="99" spans="1:17">
      <c r="A99" s="27" t="s">
        <v>19</v>
      </c>
      <c r="B99" s="32">
        <f>B93</f>
        <v>216000</v>
      </c>
      <c r="C99" s="32">
        <f t="shared" ref="C99:Q99" si="32">C93</f>
        <v>432000</v>
      </c>
      <c r="D99" s="32">
        <f t="shared" si="32"/>
        <v>864000</v>
      </c>
      <c r="E99" s="32">
        <f t="shared" si="32"/>
        <v>1728000</v>
      </c>
      <c r="F99" s="32">
        <f t="shared" si="32"/>
        <v>20000</v>
      </c>
      <c r="G99" s="32">
        <f t="shared" si="32"/>
        <v>40000</v>
      </c>
      <c r="H99" s="32">
        <f t="shared" si="32"/>
        <v>80000</v>
      </c>
      <c r="I99" s="32">
        <f t="shared" si="32"/>
        <v>160000</v>
      </c>
      <c r="J99" s="32">
        <f t="shared" si="32"/>
        <v>200000</v>
      </c>
      <c r="K99" s="32">
        <f t="shared" si="32"/>
        <v>400000</v>
      </c>
      <c r="L99" s="32">
        <f t="shared" si="32"/>
        <v>800000</v>
      </c>
      <c r="M99" s="32">
        <f t="shared" si="32"/>
        <v>1600000</v>
      </c>
      <c r="N99" s="32">
        <f t="shared" si="32"/>
        <v>1000000</v>
      </c>
      <c r="O99" s="32">
        <f t="shared" si="32"/>
        <v>2000000</v>
      </c>
      <c r="P99" s="32">
        <f t="shared" si="32"/>
        <v>4000000</v>
      </c>
      <c r="Q99" s="32">
        <f t="shared" si="32"/>
        <v>8000000</v>
      </c>
    </row>
    <row r="100" spans="1:17">
      <c r="A100" s="27">
        <v>1</v>
      </c>
      <c r="B100" s="28">
        <f>B$94/B94/$A94</f>
        <v>1</v>
      </c>
      <c r="C100" s="29">
        <f>C$94/C94/$A94</f>
        <v>1</v>
      </c>
      <c r="D100" s="29">
        <f t="shared" ref="D100:I100" si="33">D$94/D94/$A94</f>
        <v>1</v>
      </c>
      <c r="E100" s="29">
        <f t="shared" si="33"/>
        <v>1</v>
      </c>
      <c r="F100" s="28">
        <f t="shared" si="33"/>
        <v>1</v>
      </c>
      <c r="G100" s="29">
        <f t="shared" si="33"/>
        <v>1</v>
      </c>
      <c r="H100" s="29">
        <f t="shared" si="33"/>
        <v>1</v>
      </c>
      <c r="I100" s="29">
        <f t="shared" si="33"/>
        <v>1</v>
      </c>
      <c r="J100" s="28">
        <f t="shared" ref="J100:M100" si="34">J$94/J94/$A94</f>
        <v>1</v>
      </c>
      <c r="K100" s="29">
        <f t="shared" si="34"/>
        <v>1</v>
      </c>
      <c r="L100" s="29">
        <f t="shared" si="34"/>
        <v>1</v>
      </c>
      <c r="M100" s="29">
        <f t="shared" si="34"/>
        <v>1</v>
      </c>
      <c r="N100" s="29">
        <f t="shared" ref="N100:Q100" si="35">N$94/N94/$A94</f>
        <v>1</v>
      </c>
      <c r="O100" s="29">
        <f t="shared" si="35"/>
        <v>1</v>
      </c>
      <c r="P100" s="29">
        <f t="shared" si="35"/>
        <v>1</v>
      </c>
      <c r="Q100" s="29">
        <f t="shared" si="35"/>
        <v>1</v>
      </c>
    </row>
    <row r="101" spans="1:17">
      <c r="A101" s="27">
        <v>2</v>
      </c>
      <c r="B101" s="28">
        <f t="shared" ref="B101:B103" si="36">B$94/B95/$A95</f>
        <v>0.98723404255319147</v>
      </c>
      <c r="C101" s="29">
        <f t="shared" ref="C101:I103" si="37">C$94/C95/$A95</f>
        <v>0.97276264591439698</v>
      </c>
      <c r="D101" s="29">
        <f t="shared" si="37"/>
        <v>0.99251497005988021</v>
      </c>
      <c r="E101" s="29">
        <f t="shared" si="37"/>
        <v>1</v>
      </c>
      <c r="F101" s="28">
        <f t="shared" si="37"/>
        <v>0.92364532019704426</v>
      </c>
      <c r="G101" s="29">
        <f t="shared" si="37"/>
        <v>0.90151515151515149</v>
      </c>
      <c r="H101" s="29">
        <f t="shared" si="37"/>
        <v>0.89020771513353103</v>
      </c>
      <c r="I101" s="29">
        <f t="shared" si="37"/>
        <v>0.93252108716026239</v>
      </c>
      <c r="J101" s="28">
        <f t="shared" ref="J101:M103" si="38">J$94/J95/$A95</f>
        <v>0.97278225806451613</v>
      </c>
      <c r="K101" s="29">
        <f t="shared" si="38"/>
        <v>0.96666666666666667</v>
      </c>
      <c r="L101" s="29">
        <f t="shared" si="38"/>
        <v>0.99125364431486884</v>
      </c>
      <c r="M101" s="29">
        <f t="shared" si="38"/>
        <v>0.96790890269151142</v>
      </c>
      <c r="N101" s="29">
        <f t="shared" ref="N101:Q101" si="39">N$94/N95/$A95</f>
        <v>0.98892405063291133</v>
      </c>
      <c r="O101" s="29">
        <f t="shared" si="39"/>
        <v>0.93680709534368067</v>
      </c>
      <c r="P101" s="29">
        <f t="shared" si="39"/>
        <v>0.98238482384823855</v>
      </c>
      <c r="Q101" s="29">
        <f t="shared" si="39"/>
        <v>0.98081395348837208</v>
      </c>
    </row>
    <row r="102" spans="1:17">
      <c r="A102" s="27">
        <v>4</v>
      </c>
      <c r="B102" s="28">
        <f t="shared" si="36"/>
        <v>0.79999999999999993</v>
      </c>
      <c r="C102" s="29">
        <f t="shared" ref="C102:I102" si="40">C$94/C96/$A96</f>
        <v>0.90579710144927539</v>
      </c>
      <c r="D102" s="29">
        <f t="shared" si="40"/>
        <v>0.91322314049586784</v>
      </c>
      <c r="E102" s="29">
        <f t="shared" si="40"/>
        <v>0.86237373737373735</v>
      </c>
      <c r="F102" s="28">
        <f t="shared" si="40"/>
        <v>0.68430656934306577</v>
      </c>
      <c r="G102" s="29">
        <f t="shared" si="40"/>
        <v>0.8623188405797102</v>
      </c>
      <c r="H102" s="29">
        <f t="shared" si="40"/>
        <v>0.87463556851311963</v>
      </c>
      <c r="I102" s="29">
        <f t="shared" si="40"/>
        <v>0.90454545454545454</v>
      </c>
      <c r="J102" s="28">
        <f t="shared" ref="J102:M102" si="41">J$94/J96/$A96</f>
        <v>0.8616071428571429</v>
      </c>
      <c r="K102" s="29">
        <f t="shared" si="41"/>
        <v>0.88145896656534961</v>
      </c>
      <c r="L102" s="29">
        <f t="shared" si="41"/>
        <v>0.94182825484764543</v>
      </c>
      <c r="M102" s="29">
        <f t="shared" si="41"/>
        <v>0.91846758349705304</v>
      </c>
      <c r="N102" s="29">
        <f t="shared" ref="N102:Q102" si="42">N$94/N96/$A96</f>
        <v>0.77351485148514854</v>
      </c>
      <c r="O102" s="29">
        <f t="shared" si="42"/>
        <v>0.90277777777777779</v>
      </c>
      <c r="P102" s="29">
        <f t="shared" si="42"/>
        <v>0.90174129353233823</v>
      </c>
      <c r="Q102" s="29">
        <f t="shared" si="42"/>
        <v>0.91090712742980562</v>
      </c>
    </row>
    <row r="103" spans="1:17">
      <c r="A103" s="26">
        <v>8</v>
      </c>
      <c r="B103" s="28">
        <f t="shared" si="36"/>
        <v>0.57999999999999996</v>
      </c>
      <c r="C103" s="29">
        <f t="shared" si="37"/>
        <v>0.8928571428571429</v>
      </c>
      <c r="D103" s="29">
        <f t="shared" si="37"/>
        <v>0.90573770491803274</v>
      </c>
      <c r="E103" s="29">
        <f t="shared" si="37"/>
        <v>0.83292682926829265</v>
      </c>
      <c r="F103" s="28">
        <f t="shared" si="37"/>
        <v>0.50403225806451613</v>
      </c>
      <c r="G103" s="29">
        <f t="shared" si="37"/>
        <v>0.78703703703703709</v>
      </c>
      <c r="H103" s="29">
        <f t="shared" si="37"/>
        <v>0.82417582417582425</v>
      </c>
      <c r="I103" s="29">
        <f t="shared" si="37"/>
        <v>0.86371527777777779</v>
      </c>
      <c r="J103" s="28">
        <f t="shared" si="38"/>
        <v>0.68928571428571428</v>
      </c>
      <c r="K103" s="29">
        <f t="shared" si="38"/>
        <v>0.80555555555555558</v>
      </c>
      <c r="L103" s="29">
        <f t="shared" si="38"/>
        <v>0.93406593406593408</v>
      </c>
      <c r="M103" s="29">
        <f t="shared" si="38"/>
        <v>0.90953307392996108</v>
      </c>
      <c r="N103" s="29">
        <f t="shared" ref="N103:Q103" si="43">N$94/N97/$A97</f>
        <v>0.68530701754385959</v>
      </c>
      <c r="O103" s="29">
        <f t="shared" si="43"/>
        <v>0.81563706563706573</v>
      </c>
      <c r="P103" s="29">
        <f t="shared" si="43"/>
        <v>0.83142201834862384</v>
      </c>
      <c r="Q103" s="29">
        <f t="shared" si="43"/>
        <v>0.87138429752066116</v>
      </c>
    </row>
    <row r="104" spans="1:17">
      <c r="A104" s="39" t="s">
        <v>23</v>
      </c>
    </row>
    <row r="105" spans="1:17">
      <c r="Q105" s="29"/>
    </row>
    <row r="106" spans="1:17">
      <c r="A106" s="26">
        <v>1</v>
      </c>
      <c r="B106">
        <f>B$94/B94</f>
        <v>1</v>
      </c>
      <c r="C106" s="39">
        <f>C$94/C94</f>
        <v>1</v>
      </c>
      <c r="D106" s="39">
        <f t="shared" ref="D106:Q106" si="44">D$94/D94</f>
        <v>1</v>
      </c>
      <c r="E106" s="39">
        <f t="shared" si="44"/>
        <v>1</v>
      </c>
      <c r="F106" s="39">
        <f t="shared" si="44"/>
        <v>1</v>
      </c>
      <c r="G106" s="39">
        <f t="shared" si="44"/>
        <v>1</v>
      </c>
      <c r="H106" s="39">
        <f t="shared" si="44"/>
        <v>1</v>
      </c>
      <c r="I106" s="39">
        <f t="shared" si="44"/>
        <v>1</v>
      </c>
      <c r="J106" s="39">
        <f t="shared" si="44"/>
        <v>1</v>
      </c>
      <c r="K106" s="39">
        <f t="shared" si="44"/>
        <v>1</v>
      </c>
      <c r="L106" s="39">
        <f t="shared" si="44"/>
        <v>1</v>
      </c>
      <c r="M106" s="39">
        <f t="shared" si="44"/>
        <v>1</v>
      </c>
      <c r="N106" s="39">
        <f t="shared" si="44"/>
        <v>1</v>
      </c>
      <c r="O106" s="39">
        <f t="shared" si="44"/>
        <v>1</v>
      </c>
      <c r="P106" s="39">
        <f t="shared" si="44"/>
        <v>1</v>
      </c>
      <c r="Q106" s="39">
        <f t="shared" si="44"/>
        <v>1</v>
      </c>
    </row>
    <row r="107" spans="1:17">
      <c r="A107" s="26">
        <v>2</v>
      </c>
      <c r="B107" s="39">
        <f t="shared" ref="B107:C109" si="45">B$94/B95</f>
        <v>1.9744680851063829</v>
      </c>
      <c r="C107" s="39">
        <f t="shared" si="45"/>
        <v>1.945525291828794</v>
      </c>
      <c r="D107" s="39">
        <f t="shared" ref="D107:Q107" si="46">D$94/D95</f>
        <v>1.9850299401197604</v>
      </c>
      <c r="E107" s="39">
        <f t="shared" si="46"/>
        <v>2</v>
      </c>
      <c r="F107" s="39">
        <f t="shared" si="46"/>
        <v>1.8472906403940885</v>
      </c>
      <c r="G107" s="39">
        <f t="shared" si="46"/>
        <v>1.803030303030303</v>
      </c>
      <c r="H107" s="39">
        <f t="shared" si="46"/>
        <v>1.7804154302670621</v>
      </c>
      <c r="I107" s="39">
        <f t="shared" si="46"/>
        <v>1.8650421743205248</v>
      </c>
      <c r="J107" s="39">
        <f t="shared" si="46"/>
        <v>1.9455645161290323</v>
      </c>
      <c r="K107" s="39">
        <f t="shared" si="46"/>
        <v>1.9333333333333333</v>
      </c>
      <c r="L107" s="39">
        <f t="shared" si="46"/>
        <v>1.9825072886297377</v>
      </c>
      <c r="M107" s="39">
        <f t="shared" si="46"/>
        <v>1.9358178053830228</v>
      </c>
      <c r="N107" s="39">
        <f t="shared" si="46"/>
        <v>1.9778481012658227</v>
      </c>
      <c r="O107" s="39">
        <f t="shared" si="46"/>
        <v>1.8736141906873613</v>
      </c>
      <c r="P107" s="39">
        <f t="shared" si="46"/>
        <v>1.9647696476964771</v>
      </c>
      <c r="Q107" s="39">
        <f t="shared" si="46"/>
        <v>1.9616279069767442</v>
      </c>
    </row>
    <row r="108" spans="1:17">
      <c r="A108" s="26">
        <v>4</v>
      </c>
      <c r="B108" s="39">
        <f t="shared" si="45"/>
        <v>3.1999999999999997</v>
      </c>
      <c r="C108" s="39">
        <f t="shared" si="45"/>
        <v>3.6231884057971016</v>
      </c>
      <c r="D108" s="39">
        <f t="shared" ref="D108:Q108" si="47">D$94/D96</f>
        <v>3.6528925619834713</v>
      </c>
      <c r="E108" s="39">
        <f t="shared" si="47"/>
        <v>3.4494949494949494</v>
      </c>
      <c r="F108" s="39">
        <f t="shared" si="47"/>
        <v>2.7372262773722631</v>
      </c>
      <c r="G108" s="39">
        <f t="shared" si="47"/>
        <v>3.4492753623188408</v>
      </c>
      <c r="H108" s="39">
        <f t="shared" si="47"/>
        <v>3.4985422740524785</v>
      </c>
      <c r="I108" s="39">
        <f t="shared" si="47"/>
        <v>3.6181818181818182</v>
      </c>
      <c r="J108" s="39">
        <f t="shared" si="47"/>
        <v>3.4464285714285716</v>
      </c>
      <c r="K108" s="39">
        <f t="shared" si="47"/>
        <v>3.5258358662613984</v>
      </c>
      <c r="L108" s="39">
        <f t="shared" si="47"/>
        <v>3.7673130193905817</v>
      </c>
      <c r="M108" s="39">
        <f t="shared" si="47"/>
        <v>3.6738703339882122</v>
      </c>
      <c r="N108" s="39">
        <f t="shared" si="47"/>
        <v>3.0940594059405941</v>
      </c>
      <c r="O108" s="39">
        <f t="shared" si="47"/>
        <v>3.6111111111111112</v>
      </c>
      <c r="P108" s="39">
        <f t="shared" si="47"/>
        <v>3.6069651741293529</v>
      </c>
      <c r="Q108" s="39">
        <f t="shared" si="47"/>
        <v>3.6436285097192225</v>
      </c>
    </row>
    <row r="109" spans="1:17">
      <c r="A109" s="26">
        <v>8</v>
      </c>
      <c r="B109" s="39">
        <f t="shared" si="45"/>
        <v>4.6399999999999997</v>
      </c>
      <c r="C109" s="39">
        <f t="shared" si="45"/>
        <v>7.1428571428571432</v>
      </c>
      <c r="D109" s="39">
        <f t="shared" ref="D109:Q109" si="48">D$94/D97</f>
        <v>7.2459016393442619</v>
      </c>
      <c r="E109" s="39">
        <f t="shared" si="48"/>
        <v>6.6634146341463412</v>
      </c>
      <c r="F109" s="39">
        <f t="shared" si="48"/>
        <v>4.032258064516129</v>
      </c>
      <c r="G109" s="39">
        <f t="shared" si="48"/>
        <v>6.2962962962962967</v>
      </c>
      <c r="H109" s="39">
        <f t="shared" si="48"/>
        <v>6.593406593406594</v>
      </c>
      <c r="I109" s="39">
        <f t="shared" si="48"/>
        <v>6.9097222222222223</v>
      </c>
      <c r="J109" s="39">
        <f t="shared" si="48"/>
        <v>5.5142857142857142</v>
      </c>
      <c r="K109" s="39">
        <f t="shared" si="48"/>
        <v>6.4444444444444446</v>
      </c>
      <c r="L109" s="39">
        <f t="shared" si="48"/>
        <v>7.4725274725274726</v>
      </c>
      <c r="M109" s="39">
        <f t="shared" si="48"/>
        <v>7.2762645914396886</v>
      </c>
      <c r="N109" s="39">
        <f t="shared" si="48"/>
        <v>5.4824561403508767</v>
      </c>
      <c r="O109" s="39">
        <f t="shared" si="48"/>
        <v>6.5250965250965258</v>
      </c>
      <c r="P109" s="39">
        <f t="shared" si="48"/>
        <v>6.6513761467889907</v>
      </c>
      <c r="Q109" s="39">
        <f t="shared" si="48"/>
        <v>6.9710743801652892</v>
      </c>
    </row>
    <row r="110" spans="1:17">
      <c r="M110">
        <f>25^3</f>
        <v>15625</v>
      </c>
      <c r="N110">
        <f>20^3</f>
        <v>8000</v>
      </c>
    </row>
    <row r="111" spans="1:17">
      <c r="M111">
        <f>50^2*10</f>
        <v>25000</v>
      </c>
      <c r="N111">
        <f>M111^(1/3)</f>
        <v>29.24017738212866</v>
      </c>
    </row>
    <row r="125" spans="4:6">
      <c r="D125"/>
      <c r="F125"/>
    </row>
    <row r="126" spans="4:6">
      <c r="D126"/>
      <c r="F126"/>
    </row>
    <row r="127" spans="4:6">
      <c r="D127"/>
      <c r="F127"/>
    </row>
    <row r="128" spans="4:6">
      <c r="D128"/>
      <c r="F128"/>
    </row>
    <row r="129" spans="4:6">
      <c r="D129"/>
      <c r="F129"/>
    </row>
    <row r="130" spans="4:6">
      <c r="D130"/>
      <c r="F130"/>
    </row>
    <row r="131" spans="4:6">
      <c r="D131"/>
      <c r="F131"/>
    </row>
    <row r="132" spans="4:6">
      <c r="D132"/>
      <c r="F132"/>
    </row>
    <row r="133" spans="4:6">
      <c r="D133"/>
      <c r="F133"/>
    </row>
    <row r="134" spans="4:6">
      <c r="D134"/>
      <c r="F134"/>
    </row>
  </sheetData>
  <mergeCells count="11">
    <mergeCell ref="B91:E91"/>
    <mergeCell ref="F91:I91"/>
    <mergeCell ref="J91:M91"/>
    <mergeCell ref="N91:Q91"/>
    <mergeCell ref="C22:E22"/>
    <mergeCell ref="F22:H22"/>
    <mergeCell ref="I22:K22"/>
    <mergeCell ref="L22:N22"/>
    <mergeCell ref="B54:E54"/>
    <mergeCell ref="F54:I54"/>
    <mergeCell ref="J54:M54"/>
  </mergeCells>
  <phoneticPr fontId="2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DiffusionTest</vt:lpstr>
      <vt:lpstr>SourceTermTest</vt:lpstr>
      <vt:lpstr>CoupledSources</vt:lpstr>
    </vt:vector>
  </TitlesOfParts>
  <Company>University of Utah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Sutherland</dc:creator>
  <cp:lastModifiedBy>James Sutherland</cp:lastModifiedBy>
  <dcterms:created xsi:type="dcterms:W3CDTF">2009-06-09T16:05:48Z</dcterms:created>
  <dcterms:modified xsi:type="dcterms:W3CDTF">2009-07-17T22:08:32Z</dcterms:modified>
</cp:coreProperties>
</file>