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65" yWindow="5970" windowWidth="28800" windowHeight="6885" tabRatio="599" activeTab="15"/>
  </bookViews>
  <sheets>
    <sheet name="TOPS" sheetId="6" r:id="rId1"/>
    <sheet name="Foodland" sheetId="11" r:id="rId2"/>
    <sheet name="B2S " sheetId="20" r:id="rId3"/>
    <sheet name="Big-c" sheetId="27" r:id="rId4"/>
    <sheet name="CP ALL" sheetId="28" r:id="rId5"/>
    <sheet name="เซ็นทรัล แฟมิลี่มาร์ท" sheetId="3" r:id="rId6"/>
    <sheet name="Makro" sheetId="14" r:id="rId7"/>
    <sheet name="The Mall" sheetId="15" r:id="rId8"/>
    <sheet name="โลตัส" sheetId="2" r:id="rId9"/>
    <sheet name="ไทยC" sheetId="9" state="hidden" r:id="rId10"/>
    <sheet name="Aeon" sheetId="8" r:id="rId11"/>
    <sheet name="วิลล่า" sheetId="10" r:id="rId12"/>
    <sheet name="สหลอร์" sheetId="23" r:id="rId13"/>
    <sheet name="Chart1" sheetId="30" state="hidden" r:id="rId14"/>
    <sheet name="Boot" sheetId="25" r:id="rId15"/>
    <sheet name="CJ" sheetId="26" r:id="rId16"/>
    <sheet name="Watson" sheetId="21" r:id="rId17"/>
    <sheet name="PT" sheetId="29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2">'B2S '!#REF!</definedName>
    <definedName name="_xlnm.Print_Area" localSheetId="14">Boot!$A$99:$J$114</definedName>
    <definedName name="_xlnm.Print_Area" localSheetId="1">Foodland!#REF!</definedName>
    <definedName name="_xlnm.Print_Area" localSheetId="0">TOPS!#REF!</definedName>
    <definedName name="_xlnm.Print_Area" localSheetId="5">'เซ็นทรัล แฟมิลี่มาร์ท'!$A$182:$H$193</definedName>
  </definedNames>
  <calcPr calcId="144525"/>
</workbook>
</file>

<file path=xl/calcChain.xml><?xml version="1.0" encoding="utf-8"?>
<calcChain xmlns="http://schemas.openxmlformats.org/spreadsheetml/2006/main">
  <c r="G186" i="21" l="1"/>
  <c r="H186" i="21"/>
  <c r="H239" i="14"/>
  <c r="F239" i="14"/>
  <c r="E239" i="14"/>
  <c r="D239" i="14"/>
  <c r="B239" i="14"/>
  <c r="H238" i="14"/>
  <c r="F238" i="14"/>
  <c r="E238" i="14"/>
  <c r="D238" i="14"/>
  <c r="B238" i="14"/>
  <c r="J237" i="14"/>
  <c r="J238" i="14" s="1"/>
  <c r="H237" i="14"/>
  <c r="G237" i="14"/>
  <c r="I237" i="14" s="1"/>
  <c r="E237" i="14"/>
  <c r="I236" i="14"/>
  <c r="H236" i="14"/>
  <c r="G236" i="14"/>
  <c r="F236" i="14"/>
  <c r="E236" i="14"/>
  <c r="D236" i="14"/>
  <c r="B236" i="14"/>
  <c r="J235" i="14"/>
  <c r="J236" i="14" s="1"/>
  <c r="K236" i="14" s="1"/>
  <c r="I235" i="14"/>
  <c r="G235" i="14"/>
  <c r="D235" i="14"/>
  <c r="K234" i="14"/>
  <c r="J234" i="14"/>
  <c r="I234" i="14"/>
  <c r="G234" i="14"/>
  <c r="J239" i="14" l="1"/>
  <c r="K238" i="14"/>
  <c r="K237" i="14"/>
  <c r="K235" i="14"/>
  <c r="G238" i="14"/>
  <c r="F281" i="2"/>
  <c r="G280" i="2"/>
  <c r="J280" i="2" s="1"/>
  <c r="K280" i="2" s="1"/>
  <c r="H279" i="2"/>
  <c r="H281" i="2" s="1"/>
  <c r="I281" i="2" s="1"/>
  <c r="F279" i="2"/>
  <c r="E279" i="2"/>
  <c r="E281" i="2" s="1"/>
  <c r="D279" i="2"/>
  <c r="D281" i="2" s="1"/>
  <c r="B279" i="2"/>
  <c r="B281" i="2" s="1"/>
  <c r="G278" i="2"/>
  <c r="J278" i="2" s="1"/>
  <c r="K278" i="2" s="1"/>
  <c r="G277" i="2"/>
  <c r="G279" i="2" s="1"/>
  <c r="G281" i="2" s="1"/>
  <c r="G239" i="14" l="1"/>
  <c r="I239" i="14" s="1"/>
  <c r="I238" i="14"/>
  <c r="K239" i="14"/>
  <c r="I277" i="2"/>
  <c r="I278" i="2"/>
  <c r="J277" i="2"/>
  <c r="I279" i="2"/>
  <c r="I280" i="2"/>
  <c r="C190" i="28"/>
  <c r="G182" i="28"/>
  <c r="E182" i="28"/>
  <c r="D182" i="28"/>
  <c r="C181" i="28"/>
  <c r="C180" i="28"/>
  <c r="J279" i="2" l="1"/>
  <c r="K277" i="2"/>
  <c r="C182" i="28"/>
  <c r="J281" i="2" l="1"/>
  <c r="K281" i="2" s="1"/>
  <c r="K279" i="2"/>
  <c r="C284" i="27"/>
  <c r="C276" i="27"/>
  <c r="C274" i="27"/>
  <c r="C268" i="27"/>
  <c r="E265" i="27"/>
  <c r="C265" i="27"/>
  <c r="G264" i="27"/>
  <c r="E264" i="27"/>
  <c r="E269" i="27" s="1"/>
  <c r="D264" i="27"/>
  <c r="D269" i="27" s="1"/>
  <c r="C264" i="27"/>
  <c r="C269" i="27" l="1"/>
  <c r="C278" i="27"/>
  <c r="G269" i="27"/>
  <c r="C236" i="20" l="1"/>
  <c r="G224" i="20"/>
  <c r="E224" i="20"/>
  <c r="D224" i="20"/>
  <c r="C223" i="20"/>
  <c r="C224" i="20" s="1"/>
  <c r="C246" i="10" l="1"/>
  <c r="H242" i="10"/>
  <c r="F242" i="10"/>
  <c r="D242" i="10"/>
  <c r="B242" i="10"/>
  <c r="G241" i="10"/>
  <c r="G240" i="10"/>
  <c r="G239" i="10"/>
  <c r="G238" i="10"/>
  <c r="G237" i="10"/>
  <c r="G236" i="10"/>
  <c r="G235" i="10"/>
  <c r="G234" i="10"/>
  <c r="G233" i="10"/>
  <c r="G232" i="10"/>
  <c r="G231" i="10"/>
  <c r="J231" i="10" s="1"/>
  <c r="I239" i="10" l="1"/>
  <c r="J239" i="10"/>
  <c r="K239" i="10" s="1"/>
  <c r="J236" i="10"/>
  <c r="K236" i="10" s="1"/>
  <c r="I236" i="10"/>
  <c r="I241" i="10"/>
  <c r="J241" i="10"/>
  <c r="K241" i="10" s="1"/>
  <c r="I232" i="10"/>
  <c r="J232" i="10"/>
  <c r="K232" i="10" s="1"/>
  <c r="I240" i="10"/>
  <c r="J240" i="10"/>
  <c r="K240" i="10" s="1"/>
  <c r="J233" i="10"/>
  <c r="K233" i="10" s="1"/>
  <c r="I233" i="10"/>
  <c r="I235" i="10"/>
  <c r="J235" i="10"/>
  <c r="K235" i="10" s="1"/>
  <c r="I234" i="10"/>
  <c r="J234" i="10"/>
  <c r="K234" i="10" s="1"/>
  <c r="J237" i="10"/>
  <c r="K237" i="10" s="1"/>
  <c r="I237" i="10"/>
  <c r="J238" i="10"/>
  <c r="K238" i="10" s="1"/>
  <c r="I238" i="10"/>
  <c r="G242" i="10"/>
  <c r="I242" i="10" s="1"/>
  <c r="K231" i="10"/>
  <c r="I231" i="10"/>
  <c r="C210" i="6"/>
  <c r="E194" i="6"/>
  <c r="D194" i="6"/>
  <c r="B194" i="6"/>
  <c r="G193" i="6"/>
  <c r="F193" i="6"/>
  <c r="G192" i="6"/>
  <c r="C192" i="6"/>
  <c r="F192" i="6" s="1"/>
  <c r="J242" i="10" l="1"/>
  <c r="K242" i="10" s="1"/>
  <c r="I192" i="6"/>
  <c r="J192" i="6" s="1"/>
  <c r="I193" i="6"/>
  <c r="J193" i="6" s="1"/>
  <c r="I194" i="6"/>
  <c r="H192" i="6"/>
  <c r="H193" i="6"/>
  <c r="C194" i="6"/>
  <c r="F194" i="6" s="1"/>
  <c r="G194" i="6"/>
  <c r="C218" i="25"/>
  <c r="C217" i="25"/>
  <c r="C219" i="25"/>
  <c r="C220" i="25"/>
  <c r="G213" i="25"/>
  <c r="E213" i="25"/>
  <c r="D213" i="25"/>
  <c r="C213" i="25"/>
  <c r="B213" i="25"/>
  <c r="F212" i="25"/>
  <c r="H212" i="25" s="1"/>
  <c r="F211" i="25"/>
  <c r="I211" i="25" s="1"/>
  <c r="C220" i="8"/>
  <c r="F207" i="8"/>
  <c r="G209" i="8"/>
  <c r="E209" i="8"/>
  <c r="D209" i="8"/>
  <c r="F209" i="8" l="1"/>
  <c r="J194" i="6"/>
  <c r="H194" i="6"/>
  <c r="C222" i="25"/>
  <c r="I212" i="25"/>
  <c r="J212" i="25" s="1"/>
  <c r="J211" i="25"/>
  <c r="I213" i="25"/>
  <c r="F213" i="25"/>
  <c r="H213" i="25" s="1"/>
  <c r="H211" i="25"/>
  <c r="J213" i="25" l="1"/>
  <c r="G212" i="8" l="1"/>
  <c r="E212" i="8"/>
  <c r="D212" i="8"/>
  <c r="C212" i="8"/>
  <c r="B212" i="8"/>
  <c r="F211" i="8"/>
  <c r="I211" i="8" s="1"/>
  <c r="G210" i="8"/>
  <c r="E210" i="8"/>
  <c r="D210" i="8"/>
  <c r="C210" i="8"/>
  <c r="B210" i="8"/>
  <c r="I209" i="8"/>
  <c r="I207" i="8"/>
  <c r="J207" i="8" s="1"/>
  <c r="E213" i="8" l="1"/>
  <c r="B213" i="8"/>
  <c r="D213" i="8"/>
  <c r="F212" i="8"/>
  <c r="H212" i="8" s="1"/>
  <c r="C213" i="8"/>
  <c r="I210" i="8"/>
  <c r="J209" i="8"/>
  <c r="H209" i="8"/>
  <c r="J211" i="8"/>
  <c r="I212" i="8"/>
  <c r="H207" i="8"/>
  <c r="H211" i="8"/>
  <c r="F210" i="8"/>
  <c r="G213" i="8"/>
  <c r="C250" i="29"/>
  <c r="C248" i="29"/>
  <c r="G242" i="29"/>
  <c r="E242" i="29"/>
  <c r="D242" i="29"/>
  <c r="D243" i="29" s="1"/>
  <c r="C242" i="29"/>
  <c r="B242" i="29"/>
  <c r="F241" i="29"/>
  <c r="I241" i="29" s="1"/>
  <c r="G239" i="29"/>
  <c r="E239" i="29"/>
  <c r="C239" i="29"/>
  <c r="B239" i="29"/>
  <c r="F238" i="29"/>
  <c r="I238" i="29" s="1"/>
  <c r="F213" i="8" l="1"/>
  <c r="C251" i="29"/>
  <c r="F239" i="29"/>
  <c r="H239" i="29"/>
  <c r="B243" i="29"/>
  <c r="C243" i="29"/>
  <c r="E243" i="29"/>
  <c r="G243" i="29"/>
  <c r="H213" i="8"/>
  <c r="I213" i="8"/>
  <c r="J213" i="8" s="1"/>
  <c r="J212" i="8"/>
  <c r="H210" i="8"/>
  <c r="J210" i="8"/>
  <c r="I242" i="29"/>
  <c r="J241" i="29"/>
  <c r="I239" i="29"/>
  <c r="J239" i="29" s="1"/>
  <c r="J238" i="29"/>
  <c r="F242" i="29"/>
  <c r="F243" i="29" s="1"/>
  <c r="H238" i="29"/>
  <c r="H241" i="29"/>
  <c r="C230" i="29"/>
  <c r="C228" i="29"/>
  <c r="G222" i="29"/>
  <c r="E222" i="29"/>
  <c r="D222" i="29"/>
  <c r="D223" i="29" s="1"/>
  <c r="C222" i="29"/>
  <c r="B222" i="29"/>
  <c r="F221" i="29"/>
  <c r="I221" i="29" s="1"/>
  <c r="G219" i="29"/>
  <c r="E219" i="29"/>
  <c r="C219" i="29"/>
  <c r="B219" i="29"/>
  <c r="F218" i="29"/>
  <c r="I218" i="29" s="1"/>
  <c r="C210" i="29"/>
  <c r="C208" i="29"/>
  <c r="G201" i="29"/>
  <c r="E201" i="29"/>
  <c r="D201" i="29"/>
  <c r="D202" i="29" s="1"/>
  <c r="C201" i="29"/>
  <c r="B201" i="29"/>
  <c r="F200" i="29"/>
  <c r="I200" i="29" s="1"/>
  <c r="G198" i="29"/>
  <c r="E198" i="29"/>
  <c r="C198" i="29"/>
  <c r="B198" i="29"/>
  <c r="F197" i="29"/>
  <c r="H197" i="29" s="1"/>
  <c r="F219" i="29" l="1"/>
  <c r="B223" i="29"/>
  <c r="E202" i="29"/>
  <c r="H219" i="29"/>
  <c r="C211" i="29"/>
  <c r="H243" i="29"/>
  <c r="B202" i="29"/>
  <c r="C202" i="29"/>
  <c r="C223" i="29"/>
  <c r="E223" i="29"/>
  <c r="G202" i="29"/>
  <c r="G223" i="29"/>
  <c r="C231" i="29"/>
  <c r="H242" i="29"/>
  <c r="I243" i="29"/>
  <c r="J243" i="29" s="1"/>
  <c r="J242" i="29"/>
  <c r="I201" i="29"/>
  <c r="J200" i="29"/>
  <c r="I222" i="29"/>
  <c r="J221" i="29"/>
  <c r="J218" i="29"/>
  <c r="I219" i="29"/>
  <c r="J219" i="29" s="1"/>
  <c r="F201" i="29"/>
  <c r="H200" i="29"/>
  <c r="F222" i="29"/>
  <c r="F223" i="29" s="1"/>
  <c r="I197" i="29"/>
  <c r="H218" i="29"/>
  <c r="H221" i="29"/>
  <c r="F198" i="29"/>
  <c r="H198" i="29" s="1"/>
  <c r="H222" i="29"/>
  <c r="C173" i="26"/>
  <c r="E163" i="26"/>
  <c r="D163" i="26"/>
  <c r="B163" i="26"/>
  <c r="G162" i="26"/>
  <c r="F162" i="26"/>
  <c r="I162" i="26" s="1"/>
  <c r="J162" i="26" s="1"/>
  <c r="G161" i="26"/>
  <c r="C161" i="26"/>
  <c r="F161" i="26" s="1"/>
  <c r="F202" i="29" l="1"/>
  <c r="H202" i="29" s="1"/>
  <c r="H162" i="26"/>
  <c r="H201" i="29"/>
  <c r="H223" i="29"/>
  <c r="J201" i="29"/>
  <c r="J197" i="29"/>
  <c r="I198" i="29"/>
  <c r="J198" i="29" s="1"/>
  <c r="I223" i="29"/>
  <c r="J223" i="29" s="1"/>
  <c r="J222" i="29"/>
  <c r="F163" i="26"/>
  <c r="I161" i="26"/>
  <c r="H161" i="26"/>
  <c r="C163" i="26"/>
  <c r="G163" i="26"/>
  <c r="H163" i="26" s="1"/>
  <c r="C198" i="11"/>
  <c r="C199" i="11" s="1"/>
  <c r="G192" i="11"/>
  <c r="E192" i="11"/>
  <c r="D192" i="11"/>
  <c r="D193" i="11" s="1"/>
  <c r="C192" i="11"/>
  <c r="B192" i="11"/>
  <c r="F191" i="11"/>
  <c r="H191" i="11" s="1"/>
  <c r="G189" i="11"/>
  <c r="E189" i="11"/>
  <c r="C189" i="11"/>
  <c r="C193" i="11" s="1"/>
  <c r="B189" i="11"/>
  <c r="F188" i="11"/>
  <c r="F189" i="11" s="1"/>
  <c r="E193" i="11" l="1"/>
  <c r="G193" i="11"/>
  <c r="I191" i="11"/>
  <c r="I192" i="11" s="1"/>
  <c r="I202" i="29"/>
  <c r="J202" i="29" s="1"/>
  <c r="B193" i="11"/>
  <c r="I188" i="11"/>
  <c r="I163" i="26"/>
  <c r="J163" i="26" s="1"/>
  <c r="J161" i="26"/>
  <c r="F192" i="11"/>
  <c r="H192" i="11" s="1"/>
  <c r="H188" i="11"/>
  <c r="H189" i="11"/>
  <c r="J191" i="11"/>
  <c r="J192" i="11" l="1"/>
  <c r="F193" i="11"/>
  <c r="H193" i="11" s="1"/>
  <c r="J188" i="11"/>
  <c r="I189" i="11"/>
  <c r="J189" i="11" l="1"/>
  <c r="I193" i="11"/>
  <c r="J193" i="11" s="1"/>
  <c r="D256" i="3"/>
  <c r="D251" i="3"/>
  <c r="E239" i="3"/>
  <c r="D239" i="3"/>
  <c r="C239" i="3"/>
  <c r="B239" i="3"/>
  <c r="G238" i="3"/>
  <c r="F238" i="3"/>
  <c r="G237" i="3"/>
  <c r="F237" i="3"/>
  <c r="F239" i="3" s="1"/>
  <c r="G239" i="3" l="1"/>
  <c r="I238" i="3"/>
  <c r="H237" i="3"/>
  <c r="I237" i="3"/>
  <c r="J237" i="3" s="1"/>
  <c r="H239" i="3"/>
  <c r="H238" i="3"/>
  <c r="J238" i="3"/>
  <c r="C152" i="23"/>
  <c r="E147" i="23"/>
  <c r="C147" i="23"/>
  <c r="B147" i="23"/>
  <c r="G146" i="23"/>
  <c r="F146" i="23"/>
  <c r="I146" i="23" s="1"/>
  <c r="J146" i="23" s="1"/>
  <c r="G145" i="23"/>
  <c r="F145" i="23"/>
  <c r="E205" i="15"/>
  <c r="C205" i="15"/>
  <c r="B205" i="15"/>
  <c r="G204" i="15"/>
  <c r="F204" i="15"/>
  <c r="G203" i="15"/>
  <c r="F203" i="15"/>
  <c r="I239" i="3" l="1"/>
  <c r="J239" i="3" s="1"/>
  <c r="F147" i="23"/>
  <c r="H146" i="23"/>
  <c r="I204" i="15"/>
  <c r="C212" i="15" s="1"/>
  <c r="F205" i="15"/>
  <c r="G147" i="23"/>
  <c r="H147" i="23" s="1"/>
  <c r="G205" i="15"/>
  <c r="H145" i="23"/>
  <c r="I145" i="23"/>
  <c r="H203" i="15"/>
  <c r="I203" i="15"/>
  <c r="H204" i="15"/>
  <c r="D189" i="21"/>
  <c r="F186" i="21"/>
  <c r="E186" i="21"/>
  <c r="D186" i="21"/>
  <c r="B186" i="21"/>
  <c r="H185" i="21"/>
  <c r="G185" i="21"/>
  <c r="G184" i="21"/>
  <c r="J184" i="21" s="1"/>
  <c r="K184" i="21" s="1"/>
  <c r="G183" i="21"/>
  <c r="J183" i="21" s="1"/>
  <c r="K183" i="21" s="1"/>
  <c r="G182" i="21"/>
  <c r="G181" i="21"/>
  <c r="I181" i="21" s="1"/>
  <c r="G180" i="21"/>
  <c r="J180" i="21" s="1"/>
  <c r="K180" i="21" s="1"/>
  <c r="G179" i="21"/>
  <c r="J179" i="21" s="1"/>
  <c r="K179" i="21" s="1"/>
  <c r="J182" i="21" l="1"/>
  <c r="J204" i="15"/>
  <c r="H205" i="15"/>
  <c r="I179" i="21"/>
  <c r="I182" i="21"/>
  <c r="J145" i="23"/>
  <c r="I147" i="23"/>
  <c r="J147" i="23" s="1"/>
  <c r="C208" i="15"/>
  <c r="J203" i="15"/>
  <c r="I205" i="15"/>
  <c r="J205" i="15" s="1"/>
  <c r="I180" i="21"/>
  <c r="J185" i="21"/>
  <c r="K185" i="21" s="1"/>
  <c r="I183" i="21"/>
  <c r="I185" i="21"/>
  <c r="I184" i="21"/>
  <c r="J181" i="21"/>
  <c r="K181" i="21" s="1"/>
  <c r="I186" i="21"/>
  <c r="C201" i="25"/>
  <c r="C200" i="25"/>
  <c r="C199" i="25"/>
  <c r="C198" i="25"/>
  <c r="G194" i="25"/>
  <c r="E194" i="25"/>
  <c r="D194" i="25"/>
  <c r="C194" i="25"/>
  <c r="B194" i="25"/>
  <c r="F193" i="25"/>
  <c r="I193" i="25" s="1"/>
  <c r="J193" i="25" s="1"/>
  <c r="F192" i="25"/>
  <c r="I192" i="25" s="1"/>
  <c r="G193" i="8"/>
  <c r="E193" i="8"/>
  <c r="D193" i="8"/>
  <c r="C193" i="8"/>
  <c r="B193" i="8"/>
  <c r="F192" i="8"/>
  <c r="I192" i="8" s="1"/>
  <c r="C191" i="8"/>
  <c r="B191" i="8"/>
  <c r="G190" i="8"/>
  <c r="G191" i="8" s="1"/>
  <c r="E190" i="8"/>
  <c r="E191" i="8" s="1"/>
  <c r="D190" i="8"/>
  <c r="F188" i="8"/>
  <c r="I188" i="8" s="1"/>
  <c r="J188" i="8" s="1"/>
  <c r="K182" i="21" l="1"/>
  <c r="J186" i="21"/>
  <c r="K186" i="21" s="1"/>
  <c r="C194" i="8"/>
  <c r="F190" i="8"/>
  <c r="B194" i="8"/>
  <c r="C202" i="25"/>
  <c r="I194" i="25"/>
  <c r="J192" i="25"/>
  <c r="F194" i="25"/>
  <c r="H194" i="25" s="1"/>
  <c r="H192" i="25"/>
  <c r="H193" i="25"/>
  <c r="I190" i="8"/>
  <c r="F191" i="8"/>
  <c r="I193" i="8"/>
  <c r="J192" i="8"/>
  <c r="E194" i="8"/>
  <c r="H191" i="8"/>
  <c r="G194" i="8"/>
  <c r="H190" i="8"/>
  <c r="F193" i="8"/>
  <c r="H188" i="8"/>
  <c r="D191" i="8"/>
  <c r="D194" i="8" s="1"/>
  <c r="H192" i="8"/>
  <c r="H193" i="8"/>
  <c r="J194" i="25" l="1"/>
  <c r="J193" i="8"/>
  <c r="F194" i="8"/>
  <c r="H194" i="8" s="1"/>
  <c r="I191" i="8"/>
  <c r="J191" i="8" s="1"/>
  <c r="J190" i="8"/>
  <c r="C262" i="2"/>
  <c r="G259" i="2"/>
  <c r="I259" i="2" s="1"/>
  <c r="F258" i="2"/>
  <c r="F260" i="2" s="1"/>
  <c r="E258" i="2"/>
  <c r="E260" i="2" s="1"/>
  <c r="D258" i="2"/>
  <c r="D260" i="2" s="1"/>
  <c r="B258" i="2"/>
  <c r="B260" i="2" s="1"/>
  <c r="G257" i="2"/>
  <c r="J257" i="2" s="1"/>
  <c r="H258" i="2"/>
  <c r="G256" i="2"/>
  <c r="J256" i="2" s="1"/>
  <c r="H216" i="14"/>
  <c r="F216" i="14"/>
  <c r="E216" i="14"/>
  <c r="D216" i="14"/>
  <c r="B216" i="14"/>
  <c r="B217" i="14" s="1"/>
  <c r="G215" i="14"/>
  <c r="I215" i="14" s="1"/>
  <c r="H214" i="14"/>
  <c r="F214" i="14"/>
  <c r="E214" i="14"/>
  <c r="D214" i="14"/>
  <c r="B214" i="14"/>
  <c r="G213" i="14"/>
  <c r="J213" i="14" s="1"/>
  <c r="K213" i="14" s="1"/>
  <c r="G212" i="14"/>
  <c r="J212" i="14" s="1"/>
  <c r="I194" i="8" l="1"/>
  <c r="J194" i="8" s="1"/>
  <c r="K257" i="2"/>
  <c r="J259" i="2"/>
  <c r="K259" i="2" s="1"/>
  <c r="I257" i="2"/>
  <c r="H260" i="2"/>
  <c r="J258" i="2"/>
  <c r="K256" i="2"/>
  <c r="I256" i="2"/>
  <c r="G258" i="2"/>
  <c r="G260" i="2" s="1"/>
  <c r="H217" i="14"/>
  <c r="E217" i="14"/>
  <c r="D217" i="14"/>
  <c r="J215" i="14"/>
  <c r="J216" i="14" s="1"/>
  <c r="G214" i="14"/>
  <c r="I214" i="14" s="1"/>
  <c r="F217" i="14"/>
  <c r="J214" i="14"/>
  <c r="K212" i="14"/>
  <c r="I212" i="14"/>
  <c r="I213" i="14"/>
  <c r="G216" i="14"/>
  <c r="C258" i="27"/>
  <c r="C251" i="27"/>
  <c r="E241" i="27"/>
  <c r="C240" i="27"/>
  <c r="G236" i="27"/>
  <c r="D236" i="27"/>
  <c r="D241" i="27" s="1"/>
  <c r="C236" i="27"/>
  <c r="C241" i="27" l="1"/>
  <c r="J260" i="2"/>
  <c r="K260" i="2" s="1"/>
  <c r="K258" i="2"/>
  <c r="I258" i="2"/>
  <c r="I260" i="2"/>
  <c r="K215" i="14"/>
  <c r="K214" i="14"/>
  <c r="G217" i="14"/>
  <c r="I217" i="14" s="1"/>
  <c r="I216" i="14"/>
  <c r="K216" i="14"/>
  <c r="J217" i="14"/>
  <c r="G241" i="27"/>
  <c r="E134" i="23"/>
  <c r="C134" i="23"/>
  <c r="B134" i="23"/>
  <c r="G133" i="23"/>
  <c r="F133" i="23"/>
  <c r="G132" i="23"/>
  <c r="F132" i="23"/>
  <c r="E189" i="15"/>
  <c r="C189" i="15"/>
  <c r="B189" i="15"/>
  <c r="G188" i="15"/>
  <c r="F188" i="15"/>
  <c r="G187" i="15"/>
  <c r="F187" i="15"/>
  <c r="I133" i="23" l="1"/>
  <c r="C138" i="23" s="1"/>
  <c r="F189" i="15"/>
  <c r="G134" i="23"/>
  <c r="I188" i="15"/>
  <c r="K217" i="14"/>
  <c r="H133" i="23"/>
  <c r="H188" i="15"/>
  <c r="G189" i="15"/>
  <c r="H189" i="15" s="1"/>
  <c r="F134" i="23"/>
  <c r="H187" i="15"/>
  <c r="H132" i="23"/>
  <c r="I132" i="23"/>
  <c r="C137" i="23" s="1"/>
  <c r="I187" i="15"/>
  <c r="C139" i="23" l="1"/>
  <c r="J133" i="23"/>
  <c r="J188" i="15"/>
  <c r="C196" i="15"/>
  <c r="H134" i="23"/>
  <c r="J132" i="23"/>
  <c r="I134" i="23"/>
  <c r="J134" i="23" s="1"/>
  <c r="C192" i="15"/>
  <c r="J187" i="15"/>
  <c r="I189" i="15"/>
  <c r="J189" i="15" s="1"/>
  <c r="D231" i="3" l="1"/>
  <c r="D227" i="3"/>
  <c r="E216" i="3"/>
  <c r="D216" i="3"/>
  <c r="C216" i="3"/>
  <c r="B216" i="3"/>
  <c r="G215" i="3"/>
  <c r="F215" i="3"/>
  <c r="I215" i="3" s="1"/>
  <c r="G214" i="3"/>
  <c r="F214" i="3"/>
  <c r="I214" i="3" l="1"/>
  <c r="I216" i="3" s="1"/>
  <c r="H215" i="3"/>
  <c r="G216" i="3"/>
  <c r="J215" i="3"/>
  <c r="F216" i="3"/>
  <c r="H214" i="3"/>
  <c r="C217" i="20"/>
  <c r="G204" i="20"/>
  <c r="E204" i="20"/>
  <c r="D204" i="20"/>
  <c r="C204" i="20"/>
  <c r="J214" i="3" l="1"/>
  <c r="H216" i="3"/>
  <c r="J216" i="3"/>
  <c r="C174" i="28"/>
  <c r="G167" i="28"/>
  <c r="E167" i="28"/>
  <c r="D167" i="28"/>
  <c r="C166" i="28"/>
  <c r="C165" i="28"/>
  <c r="C167" i="28" l="1"/>
  <c r="C225" i="10"/>
  <c r="H221" i="10"/>
  <c r="F221" i="10"/>
  <c r="D221" i="10"/>
  <c r="B221" i="10"/>
  <c r="G220" i="10"/>
  <c r="I220" i="10" s="1"/>
  <c r="G219" i="10"/>
  <c r="I219" i="10" s="1"/>
  <c r="G218" i="10"/>
  <c r="I218" i="10" s="1"/>
  <c r="G217" i="10"/>
  <c r="K217" i="10" s="1"/>
  <c r="G216" i="10"/>
  <c r="J216" i="10" s="1"/>
  <c r="K216" i="10" s="1"/>
  <c r="G215" i="10"/>
  <c r="J215" i="10" s="1"/>
  <c r="K215" i="10" s="1"/>
  <c r="G214" i="10"/>
  <c r="J214" i="10" s="1"/>
  <c r="K214" i="10" s="1"/>
  <c r="G213" i="10"/>
  <c r="I213" i="10" s="1"/>
  <c r="G212" i="10"/>
  <c r="J212" i="10" s="1"/>
  <c r="K212" i="10" s="1"/>
  <c r="G211" i="10"/>
  <c r="I211" i="10" s="1"/>
  <c r="G210" i="10"/>
  <c r="J210" i="10" s="1"/>
  <c r="J220" i="10" l="1"/>
  <c r="K220" i="10" s="1"/>
  <c r="J218" i="10"/>
  <c r="K218" i="10" s="1"/>
  <c r="J219" i="10"/>
  <c r="K219" i="10" s="1"/>
  <c r="K210" i="10"/>
  <c r="I210" i="10"/>
  <c r="I212" i="10"/>
  <c r="I214" i="10"/>
  <c r="I215" i="10"/>
  <c r="J211" i="10"/>
  <c r="K211" i="10" s="1"/>
  <c r="J213" i="10"/>
  <c r="K213" i="10" s="1"/>
  <c r="I216" i="10"/>
  <c r="G221" i="10"/>
  <c r="I221" i="10" s="1"/>
  <c r="C155" i="26"/>
  <c r="E148" i="26"/>
  <c r="D148" i="26"/>
  <c r="B148" i="26"/>
  <c r="G147" i="26"/>
  <c r="F147" i="26"/>
  <c r="G146" i="26"/>
  <c r="C146" i="26"/>
  <c r="C148" i="26" s="1"/>
  <c r="G163" i="6"/>
  <c r="G162" i="6"/>
  <c r="G164" i="6" s="1"/>
  <c r="I147" i="26" l="1"/>
  <c r="J147" i="26" s="1"/>
  <c r="G148" i="26"/>
  <c r="F146" i="26"/>
  <c r="I146" i="26" s="1"/>
  <c r="J146" i="26" s="1"/>
  <c r="H147" i="26"/>
  <c r="J221" i="10"/>
  <c r="K221" i="10" s="1"/>
  <c r="C185" i="6"/>
  <c r="E164" i="6"/>
  <c r="D164" i="6"/>
  <c r="B164" i="6"/>
  <c r="F163" i="6"/>
  <c r="H163" i="6" s="1"/>
  <c r="C162" i="6"/>
  <c r="C164" i="6" s="1"/>
  <c r="I148" i="26" l="1"/>
  <c r="F148" i="26"/>
  <c r="H148" i="26" s="1"/>
  <c r="H146" i="26"/>
  <c r="I163" i="6"/>
  <c r="J163" i="6" s="1"/>
  <c r="F162" i="6"/>
  <c r="F164" i="6" s="1"/>
  <c r="H164" i="6" s="1"/>
  <c r="F173" i="21"/>
  <c r="E173" i="21"/>
  <c r="D173" i="21"/>
  <c r="B173" i="21"/>
  <c r="H172" i="21"/>
  <c r="G172" i="21"/>
  <c r="G171" i="21"/>
  <c r="I171" i="21" s="1"/>
  <c r="G170" i="21"/>
  <c r="J170" i="21" s="1"/>
  <c r="K170" i="21" s="1"/>
  <c r="G169" i="21"/>
  <c r="J169" i="21" s="1"/>
  <c r="K169" i="21" s="1"/>
  <c r="G168" i="21"/>
  <c r="I168" i="21" s="1"/>
  <c r="G167" i="21"/>
  <c r="J167" i="21" s="1"/>
  <c r="K167" i="21" s="1"/>
  <c r="G166" i="21"/>
  <c r="J168" i="21" l="1"/>
  <c r="K168" i="21" s="1"/>
  <c r="J171" i="21"/>
  <c r="K171" i="21" s="1"/>
  <c r="G173" i="21"/>
  <c r="J172" i="21"/>
  <c r="K172" i="21" s="1"/>
  <c r="J148" i="26"/>
  <c r="I172" i="21"/>
  <c r="H173" i="21"/>
  <c r="J173" i="21" s="1"/>
  <c r="K173" i="21" s="1"/>
  <c r="H162" i="6"/>
  <c r="I162" i="6"/>
  <c r="I167" i="21"/>
  <c r="I170" i="21"/>
  <c r="I166" i="21"/>
  <c r="I169" i="21"/>
  <c r="J166" i="21"/>
  <c r="K166" i="21" s="1"/>
  <c r="C181" i="11"/>
  <c r="C179" i="11"/>
  <c r="G173" i="11"/>
  <c r="E173" i="11"/>
  <c r="D173" i="11"/>
  <c r="D174" i="11" s="1"/>
  <c r="C173" i="11"/>
  <c r="B173" i="11"/>
  <c r="F172" i="11"/>
  <c r="I172" i="11" s="1"/>
  <c r="G170" i="11"/>
  <c r="E170" i="11"/>
  <c r="C170" i="11"/>
  <c r="B170" i="11"/>
  <c r="F169" i="11"/>
  <c r="I169" i="11" s="1"/>
  <c r="B174" i="11" l="1"/>
  <c r="G174" i="11"/>
  <c r="C174" i="11"/>
  <c r="I173" i="21"/>
  <c r="J162" i="6"/>
  <c r="I164" i="6"/>
  <c r="J164" i="6" s="1"/>
  <c r="C182" i="11"/>
  <c r="F170" i="11"/>
  <c r="H170" i="11" s="1"/>
  <c r="E174" i="11"/>
  <c r="I170" i="11"/>
  <c r="J169" i="11"/>
  <c r="I173" i="11"/>
  <c r="J172" i="11"/>
  <c r="F173" i="11"/>
  <c r="H169" i="11"/>
  <c r="H172" i="11"/>
  <c r="C182" i="25"/>
  <c r="G177" i="25"/>
  <c r="E177" i="25"/>
  <c r="D177" i="25"/>
  <c r="C177" i="25"/>
  <c r="B177" i="25"/>
  <c r="F176" i="25"/>
  <c r="I176" i="25" s="1"/>
  <c r="F175" i="25"/>
  <c r="H175" i="25" s="1"/>
  <c r="C167" i="25"/>
  <c r="C166" i="25"/>
  <c r="C165" i="25"/>
  <c r="C164" i="25"/>
  <c r="G160" i="25"/>
  <c r="E160" i="25"/>
  <c r="D160" i="25"/>
  <c r="C160" i="25"/>
  <c r="F159" i="25"/>
  <c r="I159" i="25" s="1"/>
  <c r="B158" i="25"/>
  <c r="F158" i="25" s="1"/>
  <c r="F174" i="11" l="1"/>
  <c r="H174" i="11" s="1"/>
  <c r="J175" i="25"/>
  <c r="J173" i="11"/>
  <c r="H173" i="11"/>
  <c r="I174" i="11"/>
  <c r="J170" i="11"/>
  <c r="H158" i="25"/>
  <c r="F160" i="25"/>
  <c r="H160" i="25" s="1"/>
  <c r="J158" i="25"/>
  <c r="I177" i="25"/>
  <c r="J176" i="25"/>
  <c r="I160" i="25"/>
  <c r="J160" i="25" s="1"/>
  <c r="J159" i="25"/>
  <c r="B160" i="25"/>
  <c r="F177" i="25"/>
  <c r="H177" i="25" s="1"/>
  <c r="H159" i="25"/>
  <c r="H176" i="25"/>
  <c r="E121" i="23"/>
  <c r="C121" i="23"/>
  <c r="B121" i="23"/>
  <c r="G120" i="23"/>
  <c r="F120" i="23"/>
  <c r="G119" i="23"/>
  <c r="F119" i="23"/>
  <c r="E176" i="15"/>
  <c r="C176" i="15"/>
  <c r="B176" i="15"/>
  <c r="G175" i="15"/>
  <c r="F175" i="15"/>
  <c r="G174" i="15"/>
  <c r="F174" i="15"/>
  <c r="J174" i="11" l="1"/>
  <c r="I120" i="23"/>
  <c r="C125" i="23" s="1"/>
  <c r="I119" i="23"/>
  <c r="H174" i="15"/>
  <c r="F176" i="15"/>
  <c r="H120" i="23"/>
  <c r="G176" i="15"/>
  <c r="I174" i="15"/>
  <c r="J174" i="15" s="1"/>
  <c r="H119" i="23"/>
  <c r="J177" i="25"/>
  <c r="F121" i="23"/>
  <c r="G121" i="23"/>
  <c r="H175" i="15"/>
  <c r="I175" i="15"/>
  <c r="J120" i="23" l="1"/>
  <c r="J119" i="23"/>
  <c r="C124" i="23"/>
  <c r="C126" i="23" s="1"/>
  <c r="C179" i="15"/>
  <c r="I121" i="23"/>
  <c r="J121" i="23" s="1"/>
  <c r="H121" i="23"/>
  <c r="H176" i="15"/>
  <c r="J175" i="15"/>
  <c r="I176" i="15"/>
  <c r="J176" i="15" s="1"/>
  <c r="D208" i="3" l="1"/>
  <c r="D203" i="3"/>
  <c r="E192" i="3"/>
  <c r="D192" i="3"/>
  <c r="C192" i="3"/>
  <c r="B192" i="3"/>
  <c r="G191" i="3"/>
  <c r="F191" i="3"/>
  <c r="G190" i="3"/>
  <c r="F190" i="3"/>
  <c r="I191" i="3" l="1"/>
  <c r="I190" i="3"/>
  <c r="J190" i="3" s="1"/>
  <c r="G192" i="3"/>
  <c r="H191" i="3"/>
  <c r="F192" i="3"/>
  <c r="H190" i="3"/>
  <c r="I192" i="3" l="1"/>
  <c r="J192" i="3" s="1"/>
  <c r="J191" i="3"/>
  <c r="H192" i="3"/>
  <c r="C159" i="28" l="1"/>
  <c r="G151" i="28"/>
  <c r="E151" i="28"/>
  <c r="D151" i="28"/>
  <c r="C150" i="28"/>
  <c r="C149" i="28"/>
  <c r="C143" i="28"/>
  <c r="G135" i="28"/>
  <c r="E135" i="28"/>
  <c r="D135" i="28"/>
  <c r="C134" i="28"/>
  <c r="C133" i="28"/>
  <c r="C127" i="28"/>
  <c r="G120" i="28"/>
  <c r="E120" i="28"/>
  <c r="D120" i="28"/>
  <c r="C119" i="28"/>
  <c r="C118" i="28"/>
  <c r="C112" i="28"/>
  <c r="G103" i="28"/>
  <c r="E103" i="28"/>
  <c r="D103" i="28"/>
  <c r="C102" i="28"/>
  <c r="C101" i="28"/>
  <c r="C95" i="28"/>
  <c r="G87" i="28"/>
  <c r="E87" i="28"/>
  <c r="D87" i="28"/>
  <c r="C86" i="28"/>
  <c r="C85" i="28"/>
  <c r="C79" i="28"/>
  <c r="G71" i="28"/>
  <c r="E71" i="28"/>
  <c r="D71" i="28"/>
  <c r="C70" i="28"/>
  <c r="C69" i="28"/>
  <c r="C63" i="28"/>
  <c r="G55" i="28"/>
  <c r="E55" i="28"/>
  <c r="D55" i="28"/>
  <c r="C54" i="28"/>
  <c r="C53" i="28"/>
  <c r="C47" i="28"/>
  <c r="G39" i="28"/>
  <c r="E39" i="28"/>
  <c r="D39" i="28"/>
  <c r="C38" i="28"/>
  <c r="C37" i="28"/>
  <c r="C31" i="28"/>
  <c r="E22" i="28"/>
  <c r="D22" i="28"/>
  <c r="C21" i="28"/>
  <c r="G20" i="28"/>
  <c r="G22" i="28" s="1"/>
  <c r="C20" i="28"/>
  <c r="C14" i="28"/>
  <c r="G6" i="28"/>
  <c r="D6" i="28"/>
  <c r="C5" i="28"/>
  <c r="B5" i="28"/>
  <c r="F5" i="28" s="1"/>
  <c r="E4" i="28"/>
  <c r="E6" i="28" s="1"/>
  <c r="C4" i="28"/>
  <c r="B4" i="28"/>
  <c r="C230" i="27"/>
  <c r="C223" i="27"/>
  <c r="C212" i="27"/>
  <c r="C209" i="27"/>
  <c r="G208" i="27"/>
  <c r="G213" i="27" s="1"/>
  <c r="E208" i="27"/>
  <c r="E213" i="27" s="1"/>
  <c r="D208" i="27"/>
  <c r="D213" i="27" s="1"/>
  <c r="C208" i="27"/>
  <c r="C202" i="27"/>
  <c r="C196" i="27"/>
  <c r="E187" i="27"/>
  <c r="C186" i="27"/>
  <c r="C183" i="27"/>
  <c r="G182" i="27"/>
  <c r="G187" i="27" s="1"/>
  <c r="D182" i="27"/>
  <c r="D187" i="27" s="1"/>
  <c r="C182" i="27"/>
  <c r="C176" i="27"/>
  <c r="C170" i="27"/>
  <c r="E160" i="27"/>
  <c r="D159" i="27"/>
  <c r="C159" i="27"/>
  <c r="C156" i="27"/>
  <c r="G155" i="27"/>
  <c r="D155" i="27"/>
  <c r="C155" i="27"/>
  <c r="C144" i="27"/>
  <c r="C149" i="27" s="1"/>
  <c r="E137" i="27"/>
  <c r="C136" i="27"/>
  <c r="C135" i="27"/>
  <c r="F135" i="27" s="1"/>
  <c r="H135" i="27" s="1"/>
  <c r="C133" i="27"/>
  <c r="G132" i="27"/>
  <c r="D132" i="27"/>
  <c r="D137" i="27" s="1"/>
  <c r="C132" i="27"/>
  <c r="C126" i="27"/>
  <c r="E114" i="27"/>
  <c r="C113" i="27"/>
  <c r="C111" i="27"/>
  <c r="G110" i="27"/>
  <c r="G114" i="27" s="1"/>
  <c r="D110" i="27"/>
  <c r="D114" i="27" s="1"/>
  <c r="C110" i="27"/>
  <c r="C104" i="27"/>
  <c r="E93" i="27"/>
  <c r="C92" i="27"/>
  <c r="C90" i="27"/>
  <c r="G89" i="27"/>
  <c r="G93" i="27" s="1"/>
  <c r="D89" i="27"/>
  <c r="D93" i="27" s="1"/>
  <c r="C89" i="27"/>
  <c r="C83" i="27"/>
  <c r="E71" i="27"/>
  <c r="C68" i="27"/>
  <c r="G67" i="27"/>
  <c r="D67" i="27"/>
  <c r="D71" i="27" s="1"/>
  <c r="C67" i="27"/>
  <c r="C61" i="27"/>
  <c r="E51" i="27"/>
  <c r="C48" i="27"/>
  <c r="G47" i="27"/>
  <c r="G51" i="27" s="1"/>
  <c r="D47" i="27"/>
  <c r="D51" i="27" s="1"/>
  <c r="C47" i="27"/>
  <c r="C41" i="27"/>
  <c r="C37" i="27"/>
  <c r="E29" i="27"/>
  <c r="D29" i="27"/>
  <c r="C28" i="27"/>
  <c r="C26" i="27"/>
  <c r="G25" i="27"/>
  <c r="G29" i="27" s="1"/>
  <c r="C25" i="27"/>
  <c r="C19" i="27"/>
  <c r="C15" i="27"/>
  <c r="E8" i="27"/>
  <c r="D7" i="27"/>
  <c r="C7" i="27"/>
  <c r="B7" i="27"/>
  <c r="C5" i="27"/>
  <c r="B5" i="27"/>
  <c r="G4" i="27"/>
  <c r="G8" i="27" s="1"/>
  <c r="D4" i="27"/>
  <c r="D8" i="27" s="1"/>
  <c r="C4" i="27"/>
  <c r="B4" i="27"/>
  <c r="C197" i="20"/>
  <c r="G185" i="20"/>
  <c r="E185" i="20"/>
  <c r="D185" i="20"/>
  <c r="C184" i="20"/>
  <c r="C185" i="20" s="1"/>
  <c r="C178" i="20"/>
  <c r="G164" i="20"/>
  <c r="E164" i="20"/>
  <c r="D164" i="20"/>
  <c r="C163" i="20"/>
  <c r="C164" i="20" s="1"/>
  <c r="C157" i="20"/>
  <c r="G145" i="20"/>
  <c r="E145" i="20"/>
  <c r="D145" i="20"/>
  <c r="C144" i="20"/>
  <c r="C145" i="20" s="1"/>
  <c r="C138" i="20"/>
  <c r="G126" i="20"/>
  <c r="E126" i="20"/>
  <c r="D125" i="20"/>
  <c r="D126" i="20" s="1"/>
  <c r="C125" i="20"/>
  <c r="C126" i="20" s="1"/>
  <c r="C119" i="20"/>
  <c r="G107" i="20"/>
  <c r="E107" i="20"/>
  <c r="D107" i="20"/>
  <c r="C106" i="20"/>
  <c r="C107" i="20" s="1"/>
  <c r="C100" i="20"/>
  <c r="G86" i="20"/>
  <c r="E86" i="20"/>
  <c r="D86" i="20"/>
  <c r="C85" i="20"/>
  <c r="C86" i="20" s="1"/>
  <c r="C79" i="20"/>
  <c r="E65" i="20"/>
  <c r="D65" i="20"/>
  <c r="G64" i="20"/>
  <c r="G65" i="20" s="1"/>
  <c r="C64" i="20"/>
  <c r="C65" i="20" s="1"/>
  <c r="C58" i="20"/>
  <c r="G45" i="20"/>
  <c r="D45" i="20"/>
  <c r="E44" i="20"/>
  <c r="E45" i="20" s="1"/>
  <c r="C44" i="20"/>
  <c r="C45" i="20" s="1"/>
  <c r="C38" i="20"/>
  <c r="G24" i="20"/>
  <c r="D24" i="20"/>
  <c r="E23" i="20"/>
  <c r="E24" i="20" s="1"/>
  <c r="C23" i="20"/>
  <c r="C24" i="20" s="1"/>
  <c r="C17" i="20"/>
  <c r="G5" i="20"/>
  <c r="D5" i="20"/>
  <c r="E4" i="20"/>
  <c r="E5" i="20" s="1"/>
  <c r="C4" i="20"/>
  <c r="C5" i="20" s="1"/>
  <c r="B4" i="20"/>
  <c r="B5" i="20" s="1"/>
  <c r="F7" i="27" l="1"/>
  <c r="F132" i="27"/>
  <c r="C187" i="27"/>
  <c r="F5" i="27"/>
  <c r="I5" i="27" s="1"/>
  <c r="B26" i="27" s="1"/>
  <c r="F26" i="27" s="1"/>
  <c r="C39" i="28"/>
  <c r="C71" i="28"/>
  <c r="C103" i="28"/>
  <c r="C135" i="28"/>
  <c r="C213" i="27"/>
  <c r="D160" i="27"/>
  <c r="C6" i="28"/>
  <c r="C29" i="27"/>
  <c r="C160" i="27"/>
  <c r="C51" i="27"/>
  <c r="C55" i="28"/>
  <c r="C87" i="28"/>
  <c r="C120" i="28"/>
  <c r="C151" i="28"/>
  <c r="F4" i="27"/>
  <c r="I4" i="27" s="1"/>
  <c r="J4" i="27" s="1"/>
  <c r="C71" i="27"/>
  <c r="C93" i="27"/>
  <c r="C8" i="27"/>
  <c r="C22" i="28"/>
  <c r="F4" i="28"/>
  <c r="H4" i="28" s="1"/>
  <c r="I135" i="27"/>
  <c r="B158" i="27" s="1"/>
  <c r="F158" i="27" s="1"/>
  <c r="I158" i="27" s="1"/>
  <c r="C114" i="27"/>
  <c r="B8" i="27"/>
  <c r="B6" i="28"/>
  <c r="I5" i="28"/>
  <c r="H5" i="28"/>
  <c r="I7" i="27"/>
  <c r="H7" i="27"/>
  <c r="I132" i="27"/>
  <c r="H132" i="27"/>
  <c r="C137" i="27"/>
  <c r="G137" i="27"/>
  <c r="G160" i="27"/>
  <c r="G71" i="27"/>
  <c r="F4" i="20"/>
  <c r="H5" i="27" l="1"/>
  <c r="J135" i="27"/>
  <c r="J5" i="27"/>
  <c r="H158" i="27"/>
  <c r="B25" i="27"/>
  <c r="I8" i="27"/>
  <c r="F8" i="27"/>
  <c r="H8" i="27" s="1"/>
  <c r="F6" i="28"/>
  <c r="H6" i="28" s="1"/>
  <c r="H4" i="27"/>
  <c r="I4" i="28"/>
  <c r="B20" i="28" s="1"/>
  <c r="J5" i="28"/>
  <c r="B21" i="28"/>
  <c r="F21" i="28" s="1"/>
  <c r="I26" i="27"/>
  <c r="H26" i="27"/>
  <c r="B185" i="27"/>
  <c r="F185" i="27" s="1"/>
  <c r="J158" i="27"/>
  <c r="B155" i="27"/>
  <c r="J132" i="27"/>
  <c r="J7" i="27"/>
  <c r="B28" i="27"/>
  <c r="F28" i="27" s="1"/>
  <c r="F25" i="27"/>
  <c r="I4" i="20"/>
  <c r="H4" i="20"/>
  <c r="F5" i="20"/>
  <c r="H5" i="20" s="1"/>
  <c r="C163" i="11"/>
  <c r="I6" i="28" l="1"/>
  <c r="J6" i="28" s="1"/>
  <c r="J8" i="27"/>
  <c r="J4" i="28"/>
  <c r="B22" i="28"/>
  <c r="F20" i="28"/>
  <c r="H21" i="28"/>
  <c r="I21" i="28"/>
  <c r="H28" i="27"/>
  <c r="I28" i="27"/>
  <c r="F29" i="27"/>
  <c r="H29" i="27" s="1"/>
  <c r="I25" i="27"/>
  <c r="H25" i="27"/>
  <c r="J26" i="27"/>
  <c r="B48" i="27"/>
  <c r="F48" i="27" s="1"/>
  <c r="B29" i="27"/>
  <c r="H185" i="27"/>
  <c r="I185" i="27"/>
  <c r="F155" i="27"/>
  <c r="I5" i="20"/>
  <c r="J5" i="20" s="1"/>
  <c r="B23" i="20"/>
  <c r="J4" i="20"/>
  <c r="B192" i="14"/>
  <c r="B193" i="14" s="1"/>
  <c r="C203" i="14"/>
  <c r="C197" i="14"/>
  <c r="H192" i="14"/>
  <c r="F192" i="14"/>
  <c r="E192" i="14"/>
  <c r="D192" i="14"/>
  <c r="G191" i="14"/>
  <c r="I191" i="14" s="1"/>
  <c r="H190" i="14"/>
  <c r="F190" i="14"/>
  <c r="E190" i="14"/>
  <c r="D190" i="14"/>
  <c r="B190" i="14"/>
  <c r="G189" i="14"/>
  <c r="J189" i="14" s="1"/>
  <c r="K189" i="14" s="1"/>
  <c r="G188" i="14"/>
  <c r="J188" i="14" s="1"/>
  <c r="C239" i="2"/>
  <c r="G236" i="2"/>
  <c r="J236" i="2" s="1"/>
  <c r="K236" i="2" s="1"/>
  <c r="F235" i="2"/>
  <c r="F237" i="2" s="1"/>
  <c r="E235" i="2"/>
  <c r="E237" i="2" s="1"/>
  <c r="D235" i="2"/>
  <c r="D237" i="2" s="1"/>
  <c r="B235" i="2"/>
  <c r="B237" i="2" s="1"/>
  <c r="H234" i="2"/>
  <c r="G234" i="2"/>
  <c r="K234" i="2" s="1"/>
  <c r="H233" i="2"/>
  <c r="G233" i="2"/>
  <c r="C227" i="2"/>
  <c r="C224" i="2"/>
  <c r="C222" i="2"/>
  <c r="C215" i="2" s="1"/>
  <c r="G212" i="2"/>
  <c r="I212" i="2" s="1"/>
  <c r="B211" i="2"/>
  <c r="B213" i="2" s="1"/>
  <c r="H210" i="2"/>
  <c r="E210" i="2"/>
  <c r="E211" i="2" s="1"/>
  <c r="E213" i="2" s="1"/>
  <c r="D210" i="2"/>
  <c r="D211" i="2" s="1"/>
  <c r="D213" i="2" s="1"/>
  <c r="H209" i="2"/>
  <c r="F209" i="2"/>
  <c r="F211" i="2" s="1"/>
  <c r="F213" i="2" s="1"/>
  <c r="H193" i="14" l="1"/>
  <c r="D193" i="14"/>
  <c r="G235" i="2"/>
  <c r="I234" i="2"/>
  <c r="G192" i="14"/>
  <c r="E193" i="14"/>
  <c r="H235" i="2"/>
  <c r="H237" i="2" s="1"/>
  <c r="F193" i="14"/>
  <c r="I236" i="2"/>
  <c r="J233" i="2"/>
  <c r="K233" i="2" s="1"/>
  <c r="G237" i="2"/>
  <c r="G209" i="2"/>
  <c r="I209" i="2" s="1"/>
  <c r="J191" i="14"/>
  <c r="J192" i="14" s="1"/>
  <c r="F22" i="28"/>
  <c r="H22" i="28" s="1"/>
  <c r="I20" i="28"/>
  <c r="H20" i="28"/>
  <c r="B38" i="28"/>
  <c r="F38" i="28" s="1"/>
  <c r="J21" i="28"/>
  <c r="I48" i="27"/>
  <c r="H48" i="27"/>
  <c r="B211" i="27"/>
  <c r="F211" i="27" s="1"/>
  <c r="J185" i="27"/>
  <c r="B47" i="27"/>
  <c r="I29" i="27"/>
  <c r="J29" i="27" s="1"/>
  <c r="J25" i="27"/>
  <c r="I155" i="27"/>
  <c r="H155" i="27"/>
  <c r="B50" i="27"/>
  <c r="F50" i="27" s="1"/>
  <c r="J28" i="27"/>
  <c r="B24" i="20"/>
  <c r="F23" i="20"/>
  <c r="J190" i="14"/>
  <c r="K188" i="14"/>
  <c r="G190" i="14"/>
  <c r="I190" i="14" s="1"/>
  <c r="I188" i="14"/>
  <c r="I189" i="14"/>
  <c r="G210" i="2"/>
  <c r="J212" i="2"/>
  <c r="K212" i="2" s="1"/>
  <c r="H211" i="2"/>
  <c r="I233" i="2"/>
  <c r="C183" i="8"/>
  <c r="G172" i="8"/>
  <c r="E172" i="8"/>
  <c r="D172" i="8"/>
  <c r="C172" i="8"/>
  <c r="B172" i="8"/>
  <c r="F171" i="8"/>
  <c r="F172" i="8" s="1"/>
  <c r="E170" i="8"/>
  <c r="C170" i="8"/>
  <c r="B170" i="8"/>
  <c r="G169" i="8"/>
  <c r="G170" i="8" s="1"/>
  <c r="D169" i="8"/>
  <c r="F169" i="8" s="1"/>
  <c r="D167" i="8"/>
  <c r="F167" i="8" s="1"/>
  <c r="I167" i="8" s="1"/>
  <c r="J167" i="8" s="1"/>
  <c r="J235" i="2" l="1"/>
  <c r="J237" i="2" s="1"/>
  <c r="K237" i="2" s="1"/>
  <c r="K191" i="14"/>
  <c r="J209" i="2"/>
  <c r="K209" i="2" s="1"/>
  <c r="E173" i="8"/>
  <c r="B173" i="8"/>
  <c r="I235" i="2"/>
  <c r="K192" i="14"/>
  <c r="I192" i="14"/>
  <c r="I169" i="8"/>
  <c r="I170" i="8" s="1"/>
  <c r="G211" i="2"/>
  <c r="G213" i="2" s="1"/>
  <c r="J193" i="14"/>
  <c r="I237" i="2"/>
  <c r="I171" i="8"/>
  <c r="I172" i="8" s="1"/>
  <c r="J172" i="8" s="1"/>
  <c r="G193" i="14"/>
  <c r="I193" i="14" s="1"/>
  <c r="J20" i="28"/>
  <c r="I22" i="28"/>
  <c r="J22" i="28" s="1"/>
  <c r="B37" i="28"/>
  <c r="I38" i="28"/>
  <c r="H38" i="28"/>
  <c r="I50" i="27"/>
  <c r="H50" i="27"/>
  <c r="B182" i="27"/>
  <c r="J155" i="27"/>
  <c r="B51" i="27"/>
  <c r="F47" i="27"/>
  <c r="B68" i="27"/>
  <c r="F68" i="27" s="1"/>
  <c r="J48" i="27"/>
  <c r="I211" i="27"/>
  <c r="H211" i="27"/>
  <c r="I23" i="20"/>
  <c r="H23" i="20"/>
  <c r="F24" i="20"/>
  <c r="H24" i="20" s="1"/>
  <c r="K190" i="14"/>
  <c r="H213" i="2"/>
  <c r="J210" i="2"/>
  <c r="K210" i="2" s="1"/>
  <c r="I210" i="2"/>
  <c r="G173" i="8"/>
  <c r="C173" i="8"/>
  <c r="H171" i="8"/>
  <c r="D170" i="8"/>
  <c r="D173" i="8" s="1"/>
  <c r="H172" i="8"/>
  <c r="F170" i="8"/>
  <c r="H170" i="8" s="1"/>
  <c r="H167" i="8"/>
  <c r="H169" i="8"/>
  <c r="K235" i="2" l="1"/>
  <c r="I211" i="2"/>
  <c r="K193" i="14"/>
  <c r="J211" i="27"/>
  <c r="B239" i="27"/>
  <c r="F239" i="27" s="1"/>
  <c r="I173" i="8"/>
  <c r="I213" i="2"/>
  <c r="J171" i="8"/>
  <c r="J169" i="8"/>
  <c r="J211" i="2"/>
  <c r="K211" i="2" s="1"/>
  <c r="F37" i="28"/>
  <c r="B39" i="28"/>
  <c r="J38" i="28"/>
  <c r="B54" i="28"/>
  <c r="F54" i="28" s="1"/>
  <c r="I47" i="27"/>
  <c r="H47" i="27"/>
  <c r="F51" i="27"/>
  <c r="H51" i="27" s="1"/>
  <c r="F182" i="27"/>
  <c r="J50" i="27"/>
  <c r="B70" i="27"/>
  <c r="F70" i="27" s="1"/>
  <c r="I68" i="27"/>
  <c r="H68" i="27"/>
  <c r="B44" i="20"/>
  <c r="I24" i="20"/>
  <c r="J24" i="20" s="1"/>
  <c r="J23" i="20"/>
  <c r="J213" i="2"/>
  <c r="K213" i="2" s="1"/>
  <c r="F173" i="8"/>
  <c r="H173" i="8" s="1"/>
  <c r="J170" i="8"/>
  <c r="I239" i="27" l="1"/>
  <c r="H239" i="27"/>
  <c r="H37" i="28"/>
  <c r="F39" i="28"/>
  <c r="H39" i="28" s="1"/>
  <c r="I37" i="28"/>
  <c r="I54" i="28"/>
  <c r="H54" i="28"/>
  <c r="I70" i="27"/>
  <c r="H70" i="27"/>
  <c r="I51" i="27"/>
  <c r="J51" i="27" s="1"/>
  <c r="B67" i="27"/>
  <c r="J47" i="27"/>
  <c r="B90" i="27"/>
  <c r="F90" i="27" s="1"/>
  <c r="J68" i="27"/>
  <c r="I182" i="27"/>
  <c r="H182" i="27"/>
  <c r="B45" i="20"/>
  <c r="F44" i="20"/>
  <c r="J173" i="8"/>
  <c r="J239" i="27" l="1"/>
  <c r="B267" i="27"/>
  <c r="F267" i="27" s="1"/>
  <c r="I39" i="28"/>
  <c r="J39" i="28" s="1"/>
  <c r="B53" i="28"/>
  <c r="J37" i="28"/>
  <c r="B70" i="28"/>
  <c r="F70" i="28" s="1"/>
  <c r="J54" i="28"/>
  <c r="I90" i="27"/>
  <c r="H90" i="27"/>
  <c r="B92" i="27"/>
  <c r="F92" i="27" s="1"/>
  <c r="J70" i="27"/>
  <c r="B208" i="27"/>
  <c r="J182" i="27"/>
  <c r="B71" i="27"/>
  <c r="F67" i="27"/>
  <c r="H44" i="20"/>
  <c r="F45" i="20"/>
  <c r="H45" i="20" s="1"/>
  <c r="I44" i="20"/>
  <c r="C156" i="6"/>
  <c r="E145" i="6"/>
  <c r="D145" i="6"/>
  <c r="B145" i="6"/>
  <c r="F144" i="6"/>
  <c r="H144" i="6" s="1"/>
  <c r="G143" i="6"/>
  <c r="G145" i="6" s="1"/>
  <c r="C143" i="6"/>
  <c r="C145" i="6" s="1"/>
  <c r="I267" i="27" l="1"/>
  <c r="J267" i="27" s="1"/>
  <c r="H267" i="27"/>
  <c r="B55" i="28"/>
  <c r="F53" i="28"/>
  <c r="I70" i="28"/>
  <c r="H70" i="28"/>
  <c r="I92" i="27"/>
  <c r="H92" i="27"/>
  <c r="F71" i="27"/>
  <c r="H71" i="27" s="1"/>
  <c r="I67" i="27"/>
  <c r="H67" i="27"/>
  <c r="F208" i="27"/>
  <c r="B111" i="27"/>
  <c r="F111" i="27" s="1"/>
  <c r="J90" i="27"/>
  <c r="I45" i="20"/>
  <c r="J45" i="20" s="1"/>
  <c r="J44" i="20"/>
  <c r="B64" i="20"/>
  <c r="F143" i="6"/>
  <c r="I143" i="6" s="1"/>
  <c r="F145" i="6"/>
  <c r="H145" i="6" s="1"/>
  <c r="I144" i="6"/>
  <c r="J144" i="6" s="1"/>
  <c r="C139" i="26"/>
  <c r="E132" i="26"/>
  <c r="D132" i="26"/>
  <c r="C132" i="26"/>
  <c r="B132" i="26"/>
  <c r="G131" i="26"/>
  <c r="F131" i="26"/>
  <c r="G130" i="26"/>
  <c r="F130" i="26"/>
  <c r="I145" i="6" l="1"/>
  <c r="J145" i="6" s="1"/>
  <c r="J70" i="28"/>
  <c r="B86" i="28"/>
  <c r="F86" i="28" s="1"/>
  <c r="F55" i="28"/>
  <c r="H55" i="28" s="1"/>
  <c r="I53" i="28"/>
  <c r="H53" i="28"/>
  <c r="I208" i="27"/>
  <c r="B236" i="27" s="1"/>
  <c r="H208" i="27"/>
  <c r="B113" i="27"/>
  <c r="F113" i="27" s="1"/>
  <c r="J92" i="27"/>
  <c r="I111" i="27"/>
  <c r="H111" i="27"/>
  <c r="B89" i="27"/>
  <c r="J67" i="27"/>
  <c r="I71" i="27"/>
  <c r="J71" i="27" s="1"/>
  <c r="B65" i="20"/>
  <c r="F64" i="20"/>
  <c r="H143" i="6"/>
  <c r="I131" i="26"/>
  <c r="J131" i="26" s="1"/>
  <c r="I130" i="26"/>
  <c r="J130" i="26" s="1"/>
  <c r="J143" i="6"/>
  <c r="H131" i="26"/>
  <c r="G132" i="26"/>
  <c r="H130" i="26"/>
  <c r="F132" i="26"/>
  <c r="D160" i="21"/>
  <c r="F156" i="21"/>
  <c r="E156" i="21"/>
  <c r="D156" i="21"/>
  <c r="B156" i="21"/>
  <c r="H155" i="21"/>
  <c r="G155" i="21"/>
  <c r="G154" i="21"/>
  <c r="I154" i="21" s="1"/>
  <c r="G153" i="21"/>
  <c r="J153" i="21" s="1"/>
  <c r="K153" i="21" s="1"/>
  <c r="G152" i="21"/>
  <c r="J152" i="21" s="1"/>
  <c r="K152" i="21" s="1"/>
  <c r="G151" i="21"/>
  <c r="I151" i="21" s="1"/>
  <c r="G150" i="21"/>
  <c r="J150" i="21" s="1"/>
  <c r="K150" i="21" s="1"/>
  <c r="G149" i="21"/>
  <c r="J149" i="21" s="1"/>
  <c r="K149" i="21" s="1"/>
  <c r="I132" i="26" l="1"/>
  <c r="J132" i="26" s="1"/>
  <c r="F236" i="27"/>
  <c r="H132" i="26"/>
  <c r="I152" i="21"/>
  <c r="J53" i="28"/>
  <c r="I55" i="28"/>
  <c r="J55" i="28" s="1"/>
  <c r="B69" i="28"/>
  <c r="H86" i="28"/>
  <c r="I86" i="28"/>
  <c r="B133" i="27"/>
  <c r="J111" i="27"/>
  <c r="J208" i="27"/>
  <c r="B93" i="27"/>
  <c r="F89" i="27"/>
  <c r="I113" i="27"/>
  <c r="H113" i="27"/>
  <c r="I64" i="20"/>
  <c r="H64" i="20"/>
  <c r="F65" i="20"/>
  <c r="H65" i="20" s="1"/>
  <c r="I155" i="21"/>
  <c r="G156" i="21"/>
  <c r="I149" i="21"/>
  <c r="J155" i="21"/>
  <c r="K155" i="21" s="1"/>
  <c r="J151" i="21"/>
  <c r="K151" i="21" s="1"/>
  <c r="J154" i="21"/>
  <c r="K154" i="21" s="1"/>
  <c r="H156" i="21"/>
  <c r="I150" i="21"/>
  <c r="I153" i="21"/>
  <c r="H236" i="27" l="1"/>
  <c r="I236" i="27"/>
  <c r="B264" i="27" s="1"/>
  <c r="F69" i="28"/>
  <c r="B71" i="28"/>
  <c r="B102" i="28"/>
  <c r="F102" i="28" s="1"/>
  <c r="J86" i="28"/>
  <c r="B136" i="27"/>
  <c r="F136" i="27" s="1"/>
  <c r="J113" i="27"/>
  <c r="F93" i="27"/>
  <c r="H93" i="27" s="1"/>
  <c r="I89" i="27"/>
  <c r="H89" i="27"/>
  <c r="F133" i="27"/>
  <c r="I65" i="20"/>
  <c r="J65" i="20" s="1"/>
  <c r="J64" i="20"/>
  <c r="B85" i="20"/>
  <c r="I156" i="21"/>
  <c r="J156" i="21"/>
  <c r="K156" i="21" s="1"/>
  <c r="F264" i="27" l="1"/>
  <c r="J236" i="27"/>
  <c r="B137" i="27"/>
  <c r="I102" i="28"/>
  <c r="H102" i="28"/>
  <c r="H69" i="28"/>
  <c r="F71" i="28"/>
  <c r="H71" i="28" s="1"/>
  <c r="I69" i="28"/>
  <c r="I133" i="27"/>
  <c r="H133" i="27"/>
  <c r="F137" i="27"/>
  <c r="H137" i="27" s="1"/>
  <c r="I136" i="27"/>
  <c r="H136" i="27"/>
  <c r="I93" i="27"/>
  <c r="J93" i="27" s="1"/>
  <c r="J89" i="27"/>
  <c r="B110" i="27"/>
  <c r="B86" i="20"/>
  <c r="F85" i="20"/>
  <c r="C205" i="10"/>
  <c r="H201" i="10"/>
  <c r="F201" i="10"/>
  <c r="D201" i="10"/>
  <c r="B201" i="10"/>
  <c r="G200" i="10"/>
  <c r="I200" i="10" s="1"/>
  <c r="G199" i="10"/>
  <c r="J199" i="10" s="1"/>
  <c r="K199" i="10" s="1"/>
  <c r="G198" i="10"/>
  <c r="J198" i="10" s="1"/>
  <c r="K198" i="10" s="1"/>
  <c r="G197" i="10"/>
  <c r="K197" i="10" s="1"/>
  <c r="G196" i="10"/>
  <c r="I196" i="10" s="1"/>
  <c r="G195" i="10"/>
  <c r="J195" i="10" s="1"/>
  <c r="K195" i="10" s="1"/>
  <c r="G194" i="10"/>
  <c r="I194" i="10" s="1"/>
  <c r="G193" i="10"/>
  <c r="J193" i="10" s="1"/>
  <c r="K193" i="10" s="1"/>
  <c r="G192" i="10"/>
  <c r="J192" i="10" s="1"/>
  <c r="K192" i="10" s="1"/>
  <c r="G191" i="10"/>
  <c r="I191" i="10" s="1"/>
  <c r="G190" i="10"/>
  <c r="I190" i="10" s="1"/>
  <c r="H264" i="27" l="1"/>
  <c r="I264" i="27"/>
  <c r="I71" i="28"/>
  <c r="J71" i="28" s="1"/>
  <c r="B85" i="28"/>
  <c r="J69" i="28"/>
  <c r="J102" i="28"/>
  <c r="B119" i="28"/>
  <c r="F119" i="28" s="1"/>
  <c r="J133" i="27"/>
  <c r="B156" i="27"/>
  <c r="I137" i="27"/>
  <c r="J137" i="27" s="1"/>
  <c r="B114" i="27"/>
  <c r="F110" i="27"/>
  <c r="J136" i="27"/>
  <c r="B159" i="27"/>
  <c r="F159" i="27" s="1"/>
  <c r="I85" i="20"/>
  <c r="H85" i="20"/>
  <c r="F86" i="20"/>
  <c r="H86" i="20" s="1"/>
  <c r="I199" i="10"/>
  <c r="J194" i="10"/>
  <c r="K194" i="10" s="1"/>
  <c r="J190" i="10"/>
  <c r="K190" i="10" s="1"/>
  <c r="G201" i="10"/>
  <c r="I201" i="10" s="1"/>
  <c r="J191" i="10"/>
  <c r="K191" i="10" s="1"/>
  <c r="J200" i="10"/>
  <c r="K200" i="10" s="1"/>
  <c r="J196" i="10"/>
  <c r="K196" i="10" s="1"/>
  <c r="I195" i="10"/>
  <c r="I198" i="10"/>
  <c r="I192" i="10"/>
  <c r="I193" i="10"/>
  <c r="G157" i="11"/>
  <c r="E157" i="11"/>
  <c r="D157" i="11"/>
  <c r="D158" i="11" s="1"/>
  <c r="C157" i="11"/>
  <c r="B157" i="11"/>
  <c r="F156" i="11"/>
  <c r="I156" i="11" s="1"/>
  <c r="G154" i="11"/>
  <c r="E154" i="11"/>
  <c r="C154" i="11"/>
  <c r="B154" i="11"/>
  <c r="F153" i="11"/>
  <c r="I153" i="11" s="1"/>
  <c r="J264" i="27" l="1"/>
  <c r="C158" i="11"/>
  <c r="E158" i="11"/>
  <c r="G158" i="11"/>
  <c r="H119" i="28"/>
  <c r="I119" i="28"/>
  <c r="B87" i="28"/>
  <c r="F85" i="28"/>
  <c r="I159" i="27"/>
  <c r="H159" i="27"/>
  <c r="F156" i="27"/>
  <c r="B160" i="27"/>
  <c r="I110" i="27"/>
  <c r="H110" i="27"/>
  <c r="F114" i="27"/>
  <c r="H114" i="27" s="1"/>
  <c r="I86" i="20"/>
  <c r="J86" i="20" s="1"/>
  <c r="J85" i="20"/>
  <c r="B106" i="20"/>
  <c r="B158" i="11"/>
  <c r="F157" i="11"/>
  <c r="H157" i="11" s="1"/>
  <c r="F154" i="11"/>
  <c r="J201" i="10"/>
  <c r="K201" i="10" s="1"/>
  <c r="I154" i="11"/>
  <c r="J153" i="11"/>
  <c r="J156" i="11"/>
  <c r="I157" i="11"/>
  <c r="H156" i="11"/>
  <c r="H153" i="11"/>
  <c r="F158" i="11" l="1"/>
  <c r="H158" i="11" s="1"/>
  <c r="J157" i="11"/>
  <c r="H154" i="11"/>
  <c r="B134" i="28"/>
  <c r="F134" i="28" s="1"/>
  <c r="J119" i="28"/>
  <c r="F87" i="28"/>
  <c r="H87" i="28" s="1"/>
  <c r="I85" i="28"/>
  <c r="H85" i="28"/>
  <c r="I156" i="27"/>
  <c r="H156" i="27"/>
  <c r="F160" i="27"/>
  <c r="H160" i="27" s="1"/>
  <c r="I114" i="27"/>
  <c r="J114" i="27" s="1"/>
  <c r="J110" i="27"/>
  <c r="J159" i="27"/>
  <c r="B186" i="27"/>
  <c r="F186" i="27" s="1"/>
  <c r="B107" i="20"/>
  <c r="F106" i="20"/>
  <c r="I158" i="11"/>
  <c r="J154" i="11"/>
  <c r="C138" i="6"/>
  <c r="E128" i="6"/>
  <c r="D128" i="6"/>
  <c r="B128" i="6"/>
  <c r="G127" i="6"/>
  <c r="F127" i="6"/>
  <c r="G126" i="6"/>
  <c r="C126" i="6"/>
  <c r="F126" i="6" s="1"/>
  <c r="J158" i="11" l="1"/>
  <c r="I126" i="6"/>
  <c r="I134" i="28"/>
  <c r="H134" i="28"/>
  <c r="J85" i="28"/>
  <c r="I87" i="28"/>
  <c r="J87" i="28" s="1"/>
  <c r="B101" i="28"/>
  <c r="I186" i="27"/>
  <c r="H186" i="27"/>
  <c r="B183" i="27"/>
  <c r="J156" i="27"/>
  <c r="I160" i="27"/>
  <c r="J160" i="27" s="1"/>
  <c r="I106" i="20"/>
  <c r="H106" i="20"/>
  <c r="F107" i="20"/>
  <c r="H107" i="20" s="1"/>
  <c r="I127" i="6"/>
  <c r="J127" i="6" s="1"/>
  <c r="C128" i="6"/>
  <c r="F128" i="6" s="1"/>
  <c r="H127" i="6"/>
  <c r="H126" i="6"/>
  <c r="J126" i="6"/>
  <c r="G128" i="6"/>
  <c r="C124" i="26"/>
  <c r="E116" i="26"/>
  <c r="D116" i="26"/>
  <c r="C116" i="26"/>
  <c r="B116" i="26"/>
  <c r="G115" i="26"/>
  <c r="F115" i="26"/>
  <c r="G114" i="26"/>
  <c r="F114" i="26"/>
  <c r="I114" i="26" l="1"/>
  <c r="J114" i="26" s="1"/>
  <c r="F101" i="28"/>
  <c r="B103" i="28"/>
  <c r="J134" i="28"/>
  <c r="B150" i="28"/>
  <c r="F150" i="28" s="1"/>
  <c r="F183" i="27"/>
  <c r="B187" i="27"/>
  <c r="B212" i="27"/>
  <c r="F212" i="27" s="1"/>
  <c r="J186" i="27"/>
  <c r="B125" i="20"/>
  <c r="I107" i="20"/>
  <c r="J107" i="20" s="1"/>
  <c r="J106" i="20"/>
  <c r="I128" i="6"/>
  <c r="J128" i="6" s="1"/>
  <c r="G116" i="26"/>
  <c r="H114" i="26"/>
  <c r="I115" i="26"/>
  <c r="J115" i="26" s="1"/>
  <c r="H128" i="6"/>
  <c r="H115" i="26"/>
  <c r="F116" i="26"/>
  <c r="H101" i="28" l="1"/>
  <c r="F103" i="28"/>
  <c r="H103" i="28" s="1"/>
  <c r="I101" i="28"/>
  <c r="H150" i="28"/>
  <c r="I150" i="28"/>
  <c r="I212" i="27"/>
  <c r="H212" i="27"/>
  <c r="I183" i="27"/>
  <c r="H183" i="27"/>
  <c r="F187" i="27"/>
  <c r="H187" i="27" s="1"/>
  <c r="B126" i="20"/>
  <c r="F125" i="20"/>
  <c r="H116" i="26"/>
  <c r="I116" i="26"/>
  <c r="J116" i="26" s="1"/>
  <c r="J212" i="27" l="1"/>
  <c r="B240" i="27"/>
  <c r="F240" i="27" s="1"/>
  <c r="J150" i="28"/>
  <c r="B166" i="28"/>
  <c r="F166" i="28" s="1"/>
  <c r="I103" i="28"/>
  <c r="J103" i="28" s="1"/>
  <c r="B118" i="28"/>
  <c r="J101" i="28"/>
  <c r="B209" i="27"/>
  <c r="J183" i="27"/>
  <c r="I187" i="27"/>
  <c r="J187" i="27" s="1"/>
  <c r="F126" i="20"/>
  <c r="H126" i="20" s="1"/>
  <c r="I125" i="20"/>
  <c r="H125" i="20"/>
  <c r="C185" i="10"/>
  <c r="H240" i="27" l="1"/>
  <c r="I240" i="27"/>
  <c r="I166" i="28"/>
  <c r="H166" i="28"/>
  <c r="B120" i="28"/>
  <c r="F118" i="28"/>
  <c r="F209" i="27"/>
  <c r="B213" i="27"/>
  <c r="I126" i="20"/>
  <c r="J126" i="20" s="1"/>
  <c r="J125" i="20"/>
  <c r="B144" i="20"/>
  <c r="H180" i="10"/>
  <c r="F180" i="10"/>
  <c r="D180" i="10"/>
  <c r="B180" i="10"/>
  <c r="G179" i="10"/>
  <c r="I179" i="10" s="1"/>
  <c r="G178" i="10"/>
  <c r="J178" i="10" s="1"/>
  <c r="K178" i="10" s="1"/>
  <c r="G177" i="10"/>
  <c r="J177" i="10" s="1"/>
  <c r="K177" i="10" s="1"/>
  <c r="G176" i="10"/>
  <c r="K176" i="10" s="1"/>
  <c r="G175" i="10"/>
  <c r="I175" i="10" s="1"/>
  <c r="G174" i="10"/>
  <c r="I174" i="10" s="1"/>
  <c r="G173" i="10"/>
  <c r="I173" i="10" s="1"/>
  <c r="G172" i="10"/>
  <c r="J172" i="10" s="1"/>
  <c r="K172" i="10" s="1"/>
  <c r="G171" i="10"/>
  <c r="J171" i="10" s="1"/>
  <c r="K171" i="10" s="1"/>
  <c r="G170" i="10"/>
  <c r="J170" i="10" s="1"/>
  <c r="K170" i="10" s="1"/>
  <c r="G169" i="10"/>
  <c r="J166" i="28" l="1"/>
  <c r="B181" i="28"/>
  <c r="F181" i="28" s="1"/>
  <c r="J240" i="27"/>
  <c r="B268" i="27"/>
  <c r="F268" i="27" s="1"/>
  <c r="F120" i="28"/>
  <c r="H120" i="28" s="1"/>
  <c r="I118" i="28"/>
  <c r="H118" i="28"/>
  <c r="H209" i="27"/>
  <c r="I209" i="27"/>
  <c r="B237" i="27" s="1"/>
  <c r="F213" i="27"/>
  <c r="H213" i="27" s="1"/>
  <c r="B145" i="20"/>
  <c r="F144" i="20"/>
  <c r="J179" i="10"/>
  <c r="K179" i="10" s="1"/>
  <c r="I177" i="10"/>
  <c r="I178" i="10"/>
  <c r="J173" i="10"/>
  <c r="K173" i="10" s="1"/>
  <c r="G180" i="10"/>
  <c r="I180" i="10" s="1"/>
  <c r="I170" i="10"/>
  <c r="J169" i="10"/>
  <c r="K169" i="10" s="1"/>
  <c r="I169" i="10"/>
  <c r="J174" i="10"/>
  <c r="K174" i="10" s="1"/>
  <c r="I171" i="10"/>
  <c r="J175" i="10"/>
  <c r="K175" i="10" s="1"/>
  <c r="I172" i="10"/>
  <c r="C113" i="23"/>
  <c r="E106" i="23"/>
  <c r="C106" i="23"/>
  <c r="B106" i="23"/>
  <c r="G105" i="23"/>
  <c r="F105" i="23"/>
  <c r="G104" i="23"/>
  <c r="F104" i="23"/>
  <c r="E157" i="15"/>
  <c r="C157" i="15"/>
  <c r="B157" i="15"/>
  <c r="G156" i="15"/>
  <c r="F156" i="15"/>
  <c r="G155" i="15"/>
  <c r="F155" i="15"/>
  <c r="I181" i="28" l="1"/>
  <c r="J181" i="28" s="1"/>
  <c r="H181" i="28"/>
  <c r="I268" i="27"/>
  <c r="J268" i="27" s="1"/>
  <c r="H268" i="27"/>
  <c r="F237" i="27"/>
  <c r="B241" i="27"/>
  <c r="I105" i="23"/>
  <c r="J105" i="23" s="1"/>
  <c r="I156" i="15"/>
  <c r="J156" i="15" s="1"/>
  <c r="J118" i="28"/>
  <c r="I120" i="28"/>
  <c r="J120" i="28" s="1"/>
  <c r="B133" i="28"/>
  <c r="J209" i="27"/>
  <c r="I213" i="27"/>
  <c r="J213" i="27" s="1"/>
  <c r="H144" i="20"/>
  <c r="F145" i="20"/>
  <c r="H145" i="20" s="1"/>
  <c r="I144" i="20"/>
  <c r="F157" i="15"/>
  <c r="G106" i="23"/>
  <c r="F106" i="23"/>
  <c r="H155" i="15"/>
  <c r="I155" i="15"/>
  <c r="J155" i="15" s="1"/>
  <c r="H105" i="23"/>
  <c r="J180" i="10"/>
  <c r="K180" i="10" s="1"/>
  <c r="H104" i="23"/>
  <c r="I104" i="23"/>
  <c r="H156" i="15"/>
  <c r="G157" i="15"/>
  <c r="C166" i="15" l="1"/>
  <c r="I237" i="27"/>
  <c r="B265" i="27" s="1"/>
  <c r="H237" i="27"/>
  <c r="F241" i="27"/>
  <c r="H241" i="27" s="1"/>
  <c r="H157" i="15"/>
  <c r="F133" i="28"/>
  <c r="B135" i="28"/>
  <c r="I145" i="20"/>
  <c r="J145" i="20" s="1"/>
  <c r="J144" i="20"/>
  <c r="B163" i="20"/>
  <c r="C160" i="15"/>
  <c r="H106" i="23"/>
  <c r="I157" i="15"/>
  <c r="J157" i="15" s="1"/>
  <c r="J104" i="23"/>
  <c r="I106" i="23"/>
  <c r="J106" i="23" s="1"/>
  <c r="D184" i="3"/>
  <c r="D175" i="3"/>
  <c r="D180" i="3" s="1"/>
  <c r="E171" i="3"/>
  <c r="D171" i="3"/>
  <c r="C171" i="3"/>
  <c r="B171" i="3"/>
  <c r="G170" i="3"/>
  <c r="F170" i="3"/>
  <c r="G169" i="3"/>
  <c r="F169" i="3"/>
  <c r="F265" i="27" l="1"/>
  <c r="B269" i="27"/>
  <c r="I170" i="3"/>
  <c r="J170" i="3" s="1"/>
  <c r="J237" i="27"/>
  <c r="I241" i="27"/>
  <c r="J241" i="27" s="1"/>
  <c r="H133" i="28"/>
  <c r="F135" i="28"/>
  <c r="H135" i="28" s="1"/>
  <c r="I133" i="28"/>
  <c r="B164" i="20"/>
  <c r="F163" i="20"/>
  <c r="G171" i="3"/>
  <c r="F171" i="3"/>
  <c r="H169" i="3"/>
  <c r="H170" i="3"/>
  <c r="I169" i="3"/>
  <c r="I265" i="27" l="1"/>
  <c r="H265" i="27"/>
  <c r="F269" i="27"/>
  <c r="H269" i="27" s="1"/>
  <c r="H171" i="3"/>
  <c r="I135" i="28"/>
  <c r="J135" i="28" s="1"/>
  <c r="B149" i="28"/>
  <c r="J133" i="28"/>
  <c r="H163" i="20"/>
  <c r="F164" i="20"/>
  <c r="H164" i="20" s="1"/>
  <c r="I163" i="20"/>
  <c r="I171" i="3"/>
  <c r="J171" i="3" s="1"/>
  <c r="J169" i="3"/>
  <c r="J265" i="27" l="1"/>
  <c r="I269" i="27"/>
  <c r="J269" i="27" s="1"/>
  <c r="B151" i="28"/>
  <c r="F149" i="28"/>
  <c r="I164" i="20"/>
  <c r="J164" i="20" s="1"/>
  <c r="J163" i="20"/>
  <c r="B184" i="20"/>
  <c r="H132" i="11"/>
  <c r="C147" i="11"/>
  <c r="G140" i="11"/>
  <c r="E140" i="11"/>
  <c r="D140" i="11"/>
  <c r="D141" i="11" s="1"/>
  <c r="C140" i="11"/>
  <c r="B140" i="11"/>
  <c r="F139" i="11"/>
  <c r="I139" i="11" s="1"/>
  <c r="G137" i="11"/>
  <c r="E137" i="11"/>
  <c r="C137" i="11"/>
  <c r="B137" i="11"/>
  <c r="F136" i="11"/>
  <c r="I136" i="11" s="1"/>
  <c r="C130" i="11"/>
  <c r="G123" i="11"/>
  <c r="E123" i="11"/>
  <c r="D123" i="11"/>
  <c r="D124" i="11" s="1"/>
  <c r="C123" i="11"/>
  <c r="B123" i="11"/>
  <c r="F122" i="11"/>
  <c r="F123" i="11" s="1"/>
  <c r="G120" i="11"/>
  <c r="E120" i="11"/>
  <c r="C120" i="11"/>
  <c r="B120" i="11"/>
  <c r="F119" i="11"/>
  <c r="I119" i="11" s="1"/>
  <c r="E124" i="11" l="1"/>
  <c r="E141" i="11"/>
  <c r="F151" i="28"/>
  <c r="H151" i="28" s="1"/>
  <c r="I149" i="28"/>
  <c r="B165" i="28" s="1"/>
  <c r="H149" i="28"/>
  <c r="B185" i="20"/>
  <c r="F184" i="20"/>
  <c r="C124" i="11"/>
  <c r="C141" i="11"/>
  <c r="B124" i="11"/>
  <c r="B141" i="11"/>
  <c r="G141" i="11"/>
  <c r="G124" i="11"/>
  <c r="F120" i="11"/>
  <c r="F124" i="11" s="1"/>
  <c r="F140" i="11"/>
  <c r="H140" i="11" s="1"/>
  <c r="F137" i="11"/>
  <c r="J119" i="11"/>
  <c r="I120" i="11"/>
  <c r="I137" i="11"/>
  <c r="J136" i="11"/>
  <c r="J139" i="11"/>
  <c r="I140" i="11"/>
  <c r="H123" i="11"/>
  <c r="H122" i="11"/>
  <c r="I122" i="11"/>
  <c r="H119" i="11"/>
  <c r="H139" i="11"/>
  <c r="H136" i="11"/>
  <c r="H124" i="11" l="1"/>
  <c r="F165" i="28"/>
  <c r="B167" i="28"/>
  <c r="F141" i="11"/>
  <c r="H120" i="11"/>
  <c r="J149" i="28"/>
  <c r="I151" i="28"/>
  <c r="J151" i="28" s="1"/>
  <c r="H184" i="20"/>
  <c r="F185" i="20"/>
  <c r="H185" i="20" s="1"/>
  <c r="I184" i="20"/>
  <c r="B203" i="20" s="1"/>
  <c r="J140" i="11"/>
  <c r="H141" i="11"/>
  <c r="H137" i="11"/>
  <c r="J122" i="11"/>
  <c r="I123" i="11"/>
  <c r="J123" i="11" s="1"/>
  <c r="I141" i="11"/>
  <c r="J141" i="11" s="1"/>
  <c r="J137" i="11"/>
  <c r="J120" i="11"/>
  <c r="F203" i="20" l="1"/>
  <c r="B204" i="20"/>
  <c r="I165" i="28"/>
  <c r="B180" i="28" s="1"/>
  <c r="F167" i="28"/>
  <c r="H167" i="28" s="1"/>
  <c r="H165" i="28"/>
  <c r="I185" i="20"/>
  <c r="J185" i="20" s="1"/>
  <c r="J184" i="20"/>
  <c r="I124" i="11"/>
  <c r="J124" i="11" s="1"/>
  <c r="C189" i="29"/>
  <c r="C187" i="29"/>
  <c r="G180" i="29"/>
  <c r="E180" i="29"/>
  <c r="D180" i="29"/>
  <c r="D181" i="29" s="1"/>
  <c r="C180" i="29"/>
  <c r="B180" i="29"/>
  <c r="F179" i="29"/>
  <c r="F180" i="29" s="1"/>
  <c r="G177" i="29"/>
  <c r="E177" i="29"/>
  <c r="C177" i="29"/>
  <c r="B177" i="29"/>
  <c r="F176" i="29"/>
  <c r="I176" i="29" s="1"/>
  <c r="B182" i="28" l="1"/>
  <c r="F180" i="28"/>
  <c r="E181" i="29"/>
  <c r="I203" i="20"/>
  <c r="F204" i="20"/>
  <c r="H204" i="20" s="1"/>
  <c r="H203" i="20"/>
  <c r="I167" i="28"/>
  <c r="J167" i="28" s="1"/>
  <c r="J165" i="28"/>
  <c r="C181" i="29"/>
  <c r="F177" i="29"/>
  <c r="H177" i="29" s="1"/>
  <c r="B181" i="29"/>
  <c r="C190" i="29"/>
  <c r="G181" i="29"/>
  <c r="J176" i="29"/>
  <c r="I177" i="29"/>
  <c r="H180" i="29"/>
  <c r="H179" i="29"/>
  <c r="I179" i="29"/>
  <c r="H176" i="29"/>
  <c r="C179" i="14"/>
  <c r="C175" i="14"/>
  <c r="H170" i="14"/>
  <c r="F170" i="14"/>
  <c r="E170" i="14"/>
  <c r="D170" i="14"/>
  <c r="G169" i="14"/>
  <c r="I169" i="14" s="1"/>
  <c r="H168" i="14"/>
  <c r="F168" i="14"/>
  <c r="E168" i="14"/>
  <c r="D168" i="14"/>
  <c r="H180" i="28" l="1"/>
  <c r="F182" i="28"/>
  <c r="H182" i="28" s="1"/>
  <c r="I180" i="28"/>
  <c r="I204" i="20"/>
  <c r="J203" i="20"/>
  <c r="F181" i="29"/>
  <c r="H181" i="29" s="1"/>
  <c r="F171" i="14"/>
  <c r="D171" i="14"/>
  <c r="E171" i="14"/>
  <c r="J177" i="29"/>
  <c r="J169" i="14"/>
  <c r="K169" i="14" s="1"/>
  <c r="H171" i="14"/>
  <c r="I180" i="29"/>
  <c r="J179" i="29"/>
  <c r="G170" i="14"/>
  <c r="I182" i="28" l="1"/>
  <c r="J182" i="28" s="1"/>
  <c r="J180" i="28"/>
  <c r="J204" i="20"/>
  <c r="B223" i="20"/>
  <c r="J170" i="14"/>
  <c r="K170" i="14" s="1"/>
  <c r="I181" i="29"/>
  <c r="J181" i="29" s="1"/>
  <c r="J180" i="29"/>
  <c r="I170" i="14"/>
  <c r="B224" i="20" l="1"/>
  <c r="F223" i="20"/>
  <c r="D144" i="21"/>
  <c r="F141" i="21"/>
  <c r="E141" i="21"/>
  <c r="D141" i="21"/>
  <c r="B141" i="21"/>
  <c r="H140" i="21"/>
  <c r="H141" i="21" s="1"/>
  <c r="G140" i="21"/>
  <c r="G139" i="21"/>
  <c r="J139" i="21" s="1"/>
  <c r="K139" i="21" s="1"/>
  <c r="G138" i="21"/>
  <c r="I138" i="21" s="1"/>
  <c r="G137" i="21"/>
  <c r="J137" i="21" s="1"/>
  <c r="K137" i="21" s="1"/>
  <c r="G136" i="21"/>
  <c r="J136" i="21" s="1"/>
  <c r="K136" i="21" s="1"/>
  <c r="G135" i="21"/>
  <c r="I135" i="21" s="1"/>
  <c r="G134" i="21"/>
  <c r="F224" i="20" l="1"/>
  <c r="H224" i="20" s="1"/>
  <c r="I223" i="20"/>
  <c r="H223" i="20"/>
  <c r="J135" i="21"/>
  <c r="K135" i="21" s="1"/>
  <c r="J138" i="21"/>
  <c r="K138" i="21" s="1"/>
  <c r="G141" i="21"/>
  <c r="I141" i="21" s="1"/>
  <c r="J140" i="21"/>
  <c r="K140" i="21" s="1"/>
  <c r="I134" i="21"/>
  <c r="I137" i="21"/>
  <c r="J134" i="21"/>
  <c r="K134" i="21" s="1"/>
  <c r="I140" i="21"/>
  <c r="I136" i="21"/>
  <c r="I139" i="21"/>
  <c r="C121" i="6"/>
  <c r="C113" i="6"/>
  <c r="E110" i="6"/>
  <c r="D110" i="6"/>
  <c r="B110" i="6"/>
  <c r="F109" i="6"/>
  <c r="I109" i="6" s="1"/>
  <c r="J109" i="6" s="1"/>
  <c r="G108" i="6"/>
  <c r="G110" i="6" s="1"/>
  <c r="C108" i="6"/>
  <c r="C110" i="6" s="1"/>
  <c r="I224" i="20" l="1"/>
  <c r="J224" i="20" s="1"/>
  <c r="J223" i="20"/>
  <c r="J141" i="21"/>
  <c r="K141" i="21" s="1"/>
  <c r="F108" i="6"/>
  <c r="I108" i="6" s="1"/>
  <c r="I110" i="6" s="1"/>
  <c r="F110" i="6"/>
  <c r="H110" i="6" s="1"/>
  <c r="H109" i="6"/>
  <c r="H108" i="6" l="1"/>
  <c r="J108" i="6"/>
  <c r="J110" i="6"/>
  <c r="F147" i="8" l="1"/>
  <c r="H147" i="8" s="1"/>
  <c r="C156" i="8" l="1"/>
  <c r="G152" i="8"/>
  <c r="E152" i="8"/>
  <c r="D152" i="8"/>
  <c r="C152" i="8"/>
  <c r="B152" i="8"/>
  <c r="F151" i="8"/>
  <c r="F152" i="8" s="1"/>
  <c r="E150" i="8"/>
  <c r="D150" i="8"/>
  <c r="C150" i="8"/>
  <c r="B150" i="8"/>
  <c r="B153" i="8" s="1"/>
  <c r="G149" i="8"/>
  <c r="G150" i="8" s="1"/>
  <c r="F149" i="8"/>
  <c r="I147" i="8"/>
  <c r="J147" i="8" s="1"/>
  <c r="I149" i="8" l="1"/>
  <c r="J149" i="8" s="1"/>
  <c r="E153" i="8"/>
  <c r="C153" i="8"/>
  <c r="I151" i="8"/>
  <c r="I152" i="8" s="1"/>
  <c r="J152" i="8" s="1"/>
  <c r="H151" i="8"/>
  <c r="D153" i="8"/>
  <c r="G153" i="8"/>
  <c r="H152" i="8"/>
  <c r="F150" i="8"/>
  <c r="H150" i="8" s="1"/>
  <c r="H149" i="8"/>
  <c r="I150" i="8" l="1"/>
  <c r="I153" i="8" s="1"/>
  <c r="J151" i="8"/>
  <c r="F153" i="8"/>
  <c r="H153" i="8" s="1"/>
  <c r="J150" i="8" l="1"/>
  <c r="J153" i="8"/>
  <c r="C109" i="26" l="1"/>
  <c r="E100" i="26"/>
  <c r="D100" i="26"/>
  <c r="B100" i="26"/>
  <c r="G99" i="26"/>
  <c r="C99" i="26"/>
  <c r="F99" i="26" s="1"/>
  <c r="H99" i="26" s="1"/>
  <c r="G98" i="26"/>
  <c r="C98" i="26"/>
  <c r="G100" i="26" l="1"/>
  <c r="C100" i="26"/>
  <c r="F98" i="26"/>
  <c r="F100" i="26" s="1"/>
  <c r="I99" i="26"/>
  <c r="J99" i="26" s="1"/>
  <c r="C190" i="2"/>
  <c r="G186" i="2"/>
  <c r="I186" i="2" s="1"/>
  <c r="H185" i="2"/>
  <c r="H187" i="2" s="1"/>
  <c r="F185" i="2"/>
  <c r="F187" i="2" s="1"/>
  <c r="E185" i="2"/>
  <c r="E187" i="2" s="1"/>
  <c r="D185" i="2"/>
  <c r="D187" i="2" s="1"/>
  <c r="G184" i="2"/>
  <c r="I184" i="2" s="1"/>
  <c r="G183" i="2"/>
  <c r="I183" i="2" s="1"/>
  <c r="H149" i="14"/>
  <c r="C158" i="14"/>
  <c r="H151" i="14"/>
  <c r="F151" i="14"/>
  <c r="E151" i="14"/>
  <c r="D151" i="14"/>
  <c r="G150" i="14"/>
  <c r="I150" i="14" s="1"/>
  <c r="F149" i="14"/>
  <c r="E149" i="14"/>
  <c r="D149" i="14"/>
  <c r="B149" i="14"/>
  <c r="B152" i="14" s="1"/>
  <c r="G148" i="14"/>
  <c r="J148" i="14" s="1"/>
  <c r="G147" i="14"/>
  <c r="G149" i="14" l="1"/>
  <c r="I149" i="14" s="1"/>
  <c r="H100" i="26"/>
  <c r="H98" i="26"/>
  <c r="K148" i="14"/>
  <c r="B167" i="14"/>
  <c r="E152" i="14"/>
  <c r="I147" i="14"/>
  <c r="I98" i="26"/>
  <c r="J98" i="26" s="1"/>
  <c r="I148" i="14"/>
  <c r="K186" i="2"/>
  <c r="D152" i="14"/>
  <c r="J147" i="14"/>
  <c r="B166" i="14" s="1"/>
  <c r="G166" i="14" s="1"/>
  <c r="J184" i="2"/>
  <c r="K184" i="2" s="1"/>
  <c r="G185" i="2"/>
  <c r="G187" i="2" s="1"/>
  <c r="I187" i="2" s="1"/>
  <c r="F152" i="14"/>
  <c r="H152" i="14"/>
  <c r="J183" i="2"/>
  <c r="K183" i="2" s="1"/>
  <c r="J150" i="14"/>
  <c r="G151" i="14"/>
  <c r="G152" i="14" l="1"/>
  <c r="I152" i="14" s="1"/>
  <c r="I100" i="26"/>
  <c r="J100" i="26" s="1"/>
  <c r="J166" i="14"/>
  <c r="I166" i="14"/>
  <c r="I151" i="14"/>
  <c r="B168" i="14"/>
  <c r="G167" i="14"/>
  <c r="J185" i="2"/>
  <c r="J187" i="2" s="1"/>
  <c r="K187" i="2" s="1"/>
  <c r="I185" i="2"/>
  <c r="J149" i="14"/>
  <c r="K149" i="14" s="1"/>
  <c r="K147" i="14"/>
  <c r="K185" i="2"/>
  <c r="K150" i="14"/>
  <c r="J151" i="14"/>
  <c r="J167" i="14" l="1"/>
  <c r="K167" i="14" s="1"/>
  <c r="I167" i="14"/>
  <c r="B171" i="14"/>
  <c r="G168" i="14"/>
  <c r="K166" i="14"/>
  <c r="J152" i="14"/>
  <c r="K152" i="14" s="1"/>
  <c r="K151" i="14"/>
  <c r="J168" i="14" l="1"/>
  <c r="K168" i="14" s="1"/>
  <c r="I168" i="14"/>
  <c r="G171" i="14"/>
  <c r="I171" i="14" s="1"/>
  <c r="C164" i="10"/>
  <c r="H160" i="10"/>
  <c r="F160" i="10"/>
  <c r="D160" i="10"/>
  <c r="B160" i="10"/>
  <c r="G159" i="10"/>
  <c r="I159" i="10" s="1"/>
  <c r="G158" i="10"/>
  <c r="J158" i="10" s="1"/>
  <c r="K158" i="10" s="1"/>
  <c r="G157" i="10"/>
  <c r="J157" i="10" s="1"/>
  <c r="K157" i="10" s="1"/>
  <c r="G156" i="10"/>
  <c r="K156" i="10" s="1"/>
  <c r="G155" i="10"/>
  <c r="J155" i="10" s="1"/>
  <c r="K155" i="10" s="1"/>
  <c r="G154" i="10"/>
  <c r="J154" i="10" s="1"/>
  <c r="K154" i="10" s="1"/>
  <c r="G153" i="10"/>
  <c r="I153" i="10" s="1"/>
  <c r="G152" i="10"/>
  <c r="J152" i="10" s="1"/>
  <c r="K152" i="10" s="1"/>
  <c r="G151" i="10"/>
  <c r="J151" i="10" s="1"/>
  <c r="K151" i="10" s="1"/>
  <c r="G150" i="10"/>
  <c r="G149" i="10"/>
  <c r="J149" i="10" s="1"/>
  <c r="J171" i="14" l="1"/>
  <c r="K171" i="14" s="1"/>
  <c r="J153" i="10"/>
  <c r="K153" i="10" s="1"/>
  <c r="I149" i="10"/>
  <c r="G160" i="10"/>
  <c r="I160" i="10" s="1"/>
  <c r="I154" i="10"/>
  <c r="J159" i="10"/>
  <c r="K159" i="10" s="1"/>
  <c r="K149" i="10"/>
  <c r="I158" i="10"/>
  <c r="I150" i="10"/>
  <c r="J150" i="10"/>
  <c r="K150" i="10" s="1"/>
  <c r="I151" i="10"/>
  <c r="I155" i="10"/>
  <c r="I152" i="10"/>
  <c r="I157" i="10"/>
  <c r="J160" i="10" l="1"/>
  <c r="K160" i="10" s="1"/>
  <c r="C145" i="25" l="1"/>
  <c r="F137" i="25"/>
  <c r="C153" i="25" l="1"/>
  <c r="F138" i="25"/>
  <c r="C139" i="25"/>
  <c r="C147" i="25"/>
  <c r="G139" i="25"/>
  <c r="E139" i="25"/>
  <c r="D139" i="25"/>
  <c r="B139" i="25"/>
  <c r="I137" i="25"/>
  <c r="J137" i="25" l="1"/>
  <c r="H137" i="25"/>
  <c r="F139" i="25"/>
  <c r="H139" i="25" s="1"/>
  <c r="H138" i="25" l="1"/>
  <c r="I138" i="25"/>
  <c r="J138" i="25" l="1"/>
  <c r="I139" i="25"/>
  <c r="J139" i="25" s="1"/>
  <c r="C137" i="8"/>
  <c r="E129" i="8"/>
  <c r="D129" i="8"/>
  <c r="C129" i="8"/>
  <c r="G128" i="8"/>
  <c r="G129" i="8" s="1"/>
  <c r="F126" i="8" l="1"/>
  <c r="H126" i="8" s="1"/>
  <c r="G131" i="8"/>
  <c r="E131" i="8"/>
  <c r="D131" i="8"/>
  <c r="C131" i="8"/>
  <c r="B131" i="8"/>
  <c r="F130" i="8"/>
  <c r="F131" i="8" s="1"/>
  <c r="B129" i="8"/>
  <c r="B132" i="8" s="1"/>
  <c r="I126" i="8" l="1"/>
  <c r="J126" i="8" s="1"/>
  <c r="E132" i="8"/>
  <c r="H130" i="8"/>
  <c r="I130" i="8"/>
  <c r="I131" i="8" s="1"/>
  <c r="J131" i="8" s="1"/>
  <c r="G132" i="8"/>
  <c r="D132" i="8"/>
  <c r="C132" i="8"/>
  <c r="H131" i="8"/>
  <c r="F128" i="8"/>
  <c r="F129" i="8" s="1"/>
  <c r="H129" i="8" s="1"/>
  <c r="J130" i="8" l="1"/>
  <c r="H128" i="8"/>
  <c r="I128" i="8"/>
  <c r="C168" i="29"/>
  <c r="C166" i="29"/>
  <c r="G158" i="29"/>
  <c r="E158" i="29"/>
  <c r="D158" i="29"/>
  <c r="D159" i="29" s="1"/>
  <c r="C158" i="29"/>
  <c r="B158" i="29"/>
  <c r="F157" i="29"/>
  <c r="F158" i="29" s="1"/>
  <c r="G155" i="29"/>
  <c r="E155" i="29"/>
  <c r="C155" i="29"/>
  <c r="B155" i="29"/>
  <c r="F154" i="29"/>
  <c r="I154" i="29" s="1"/>
  <c r="C169" i="29" l="1"/>
  <c r="B159" i="29"/>
  <c r="F155" i="29"/>
  <c r="F159" i="29" s="1"/>
  <c r="E159" i="29"/>
  <c r="C159" i="29"/>
  <c r="I129" i="8"/>
  <c r="J129" i="8" s="1"/>
  <c r="J128" i="8"/>
  <c r="F132" i="8"/>
  <c r="H132" i="8" s="1"/>
  <c r="J154" i="29"/>
  <c r="I155" i="29"/>
  <c r="H158" i="29"/>
  <c r="H157" i="29"/>
  <c r="I157" i="29"/>
  <c r="G159" i="29"/>
  <c r="H154" i="29"/>
  <c r="D128" i="21"/>
  <c r="F125" i="21"/>
  <c r="E125" i="21"/>
  <c r="D125" i="21"/>
  <c r="B125" i="21"/>
  <c r="H124" i="21"/>
  <c r="H125" i="21" s="1"/>
  <c r="G124" i="21"/>
  <c r="G123" i="21"/>
  <c r="J123" i="21" s="1"/>
  <c r="K123" i="21" s="1"/>
  <c r="G122" i="21"/>
  <c r="J122" i="21" s="1"/>
  <c r="K122" i="21" s="1"/>
  <c r="G121" i="21"/>
  <c r="J121" i="21" s="1"/>
  <c r="K121" i="21" s="1"/>
  <c r="G120" i="21"/>
  <c r="J120" i="21" s="1"/>
  <c r="K120" i="21" s="1"/>
  <c r="G119" i="21"/>
  <c r="I119" i="21" s="1"/>
  <c r="G118" i="21"/>
  <c r="H155" i="29" l="1"/>
  <c r="J155" i="29"/>
  <c r="H159" i="29"/>
  <c r="J119" i="21"/>
  <c r="K119" i="21" s="1"/>
  <c r="I132" i="8"/>
  <c r="J132" i="8" s="1"/>
  <c r="J157" i="29"/>
  <c r="I158" i="29"/>
  <c r="I122" i="21"/>
  <c r="J124" i="21"/>
  <c r="K124" i="21" s="1"/>
  <c r="G125" i="21"/>
  <c r="I125" i="21" s="1"/>
  <c r="I118" i="21"/>
  <c r="I121" i="21"/>
  <c r="J118" i="21"/>
  <c r="K118" i="21" s="1"/>
  <c r="I124" i="21"/>
  <c r="I120" i="21"/>
  <c r="I123" i="21"/>
  <c r="E79" i="23"/>
  <c r="D79" i="23"/>
  <c r="C79" i="23"/>
  <c r="E117" i="15"/>
  <c r="C117" i="15"/>
  <c r="B117" i="15"/>
  <c r="G96" i="6"/>
  <c r="J125" i="21" l="1"/>
  <c r="K125" i="21" s="1"/>
  <c r="J158" i="29"/>
  <c r="I159" i="29"/>
  <c r="J159" i="29" s="1"/>
  <c r="C127" i="25"/>
  <c r="C132" i="25" s="1"/>
  <c r="G119" i="25"/>
  <c r="E119" i="25"/>
  <c r="D119" i="25"/>
  <c r="C119" i="25"/>
  <c r="F117" i="25"/>
  <c r="I117" i="25" s="1"/>
  <c r="C112" i="25"/>
  <c r="G104" i="25"/>
  <c r="E104" i="25"/>
  <c r="D104" i="25"/>
  <c r="C104" i="25"/>
  <c r="J117" i="25" l="1"/>
  <c r="H117" i="25"/>
  <c r="C102" i="6"/>
  <c r="E96" i="6"/>
  <c r="D96" i="6"/>
  <c r="B96" i="6"/>
  <c r="F95" i="6"/>
  <c r="I95" i="6" s="1"/>
  <c r="J95" i="6" s="1"/>
  <c r="C94" i="6"/>
  <c r="C96" i="6" s="1"/>
  <c r="C92" i="26"/>
  <c r="E84" i="26"/>
  <c r="D84" i="26"/>
  <c r="B84" i="26"/>
  <c r="C83" i="26"/>
  <c r="F83" i="26" s="1"/>
  <c r="G82" i="26"/>
  <c r="F82" i="26"/>
  <c r="H82" i="26" l="1"/>
  <c r="I82" i="26"/>
  <c r="H95" i="6"/>
  <c r="C84" i="26"/>
  <c r="F84" i="26"/>
  <c r="F94" i="6"/>
  <c r="F96" i="6" s="1"/>
  <c r="H96" i="6" s="1"/>
  <c r="I83" i="26"/>
  <c r="J83" i="26" s="1"/>
  <c r="H83" i="26"/>
  <c r="G84" i="26"/>
  <c r="J82" i="26"/>
  <c r="C163" i="2"/>
  <c r="D159" i="2"/>
  <c r="G159" i="2" s="1"/>
  <c r="I159" i="2" s="1"/>
  <c r="H158" i="2"/>
  <c r="H160" i="2" s="1"/>
  <c r="F158" i="2"/>
  <c r="F160" i="2" s="1"/>
  <c r="E158" i="2"/>
  <c r="E160" i="2" s="1"/>
  <c r="D158" i="2"/>
  <c r="B158" i="2"/>
  <c r="B160" i="2" s="1"/>
  <c r="G157" i="2"/>
  <c r="I157" i="2" s="1"/>
  <c r="G156" i="2"/>
  <c r="I156" i="2" s="1"/>
  <c r="D152" i="2"/>
  <c r="H151" i="2"/>
  <c r="H153" i="2" s="1"/>
  <c r="F151" i="2"/>
  <c r="F153" i="2" s="1"/>
  <c r="E151" i="2"/>
  <c r="E153" i="2" s="1"/>
  <c r="D151" i="2"/>
  <c r="D160" i="2" l="1"/>
  <c r="H84" i="26"/>
  <c r="J156" i="2"/>
  <c r="K156" i="2" s="1"/>
  <c r="J157" i="2"/>
  <c r="K157" i="2" s="1"/>
  <c r="I84" i="26"/>
  <c r="J84" i="26" s="1"/>
  <c r="H94" i="6"/>
  <c r="I94" i="6"/>
  <c r="D153" i="2"/>
  <c r="G158" i="2"/>
  <c r="K159" i="2"/>
  <c r="C84" i="23"/>
  <c r="B79" i="23"/>
  <c r="G78" i="23"/>
  <c r="F78" i="23"/>
  <c r="G77" i="23"/>
  <c r="F77" i="23"/>
  <c r="G116" i="15"/>
  <c r="F116" i="15"/>
  <c r="G115" i="15"/>
  <c r="F115" i="15"/>
  <c r="I116" i="15" l="1"/>
  <c r="C126" i="15" s="1"/>
  <c r="G79" i="23"/>
  <c r="F79" i="23"/>
  <c r="H115" i="15"/>
  <c r="F117" i="15"/>
  <c r="G117" i="15"/>
  <c r="H78" i="23"/>
  <c r="I78" i="23"/>
  <c r="J78" i="23" s="1"/>
  <c r="J158" i="2"/>
  <c r="J160" i="2" s="1"/>
  <c r="I96" i="6"/>
  <c r="J96" i="6" s="1"/>
  <c r="J94" i="6"/>
  <c r="G160" i="2"/>
  <c r="I160" i="2" s="1"/>
  <c r="I158" i="2"/>
  <c r="I77" i="23"/>
  <c r="H77" i="23"/>
  <c r="I115" i="15"/>
  <c r="H116" i="15"/>
  <c r="I117" i="15" l="1"/>
  <c r="J117" i="15" s="1"/>
  <c r="J116" i="15"/>
  <c r="I79" i="23"/>
  <c r="J79" i="23" s="1"/>
  <c r="K158" i="2"/>
  <c r="H79" i="23"/>
  <c r="H117" i="15"/>
  <c r="K160" i="2"/>
  <c r="J77" i="23"/>
  <c r="J115" i="15"/>
  <c r="C120" i="15"/>
  <c r="D134" i="3" l="1"/>
  <c r="D140" i="3" s="1"/>
  <c r="E130" i="3"/>
  <c r="D130" i="3"/>
  <c r="C130" i="3"/>
  <c r="B130" i="3"/>
  <c r="G129" i="3"/>
  <c r="F129" i="3"/>
  <c r="G128" i="3"/>
  <c r="F128" i="3"/>
  <c r="I129" i="3" l="1"/>
  <c r="J129" i="3" s="1"/>
  <c r="G130" i="3"/>
  <c r="H129" i="3"/>
  <c r="I128" i="3"/>
  <c r="H128" i="3"/>
  <c r="F130" i="3"/>
  <c r="H130" i="3" s="1"/>
  <c r="I130" i="3" l="1"/>
  <c r="J130" i="3" s="1"/>
  <c r="J128" i="3"/>
  <c r="C137" i="14" l="1"/>
  <c r="H132" i="14"/>
  <c r="F132" i="14"/>
  <c r="E132" i="14"/>
  <c r="D132" i="14"/>
  <c r="G131" i="14"/>
  <c r="G132" i="14" s="1"/>
  <c r="H130" i="14"/>
  <c r="D130" i="14"/>
  <c r="F129" i="14"/>
  <c r="E129" i="14"/>
  <c r="E130" i="14" s="1"/>
  <c r="F128" i="14"/>
  <c r="G128" i="14" s="1"/>
  <c r="J128" i="14" s="1"/>
  <c r="H133" i="14" l="1"/>
  <c r="D133" i="14"/>
  <c r="E133" i="14"/>
  <c r="F130" i="14"/>
  <c r="F133" i="14" s="1"/>
  <c r="K128" i="14"/>
  <c r="I128" i="14"/>
  <c r="I131" i="14"/>
  <c r="I132" i="14"/>
  <c r="J131" i="14"/>
  <c r="K131" i="14" l="1"/>
  <c r="J132" i="14"/>
  <c r="K132" i="14" l="1"/>
  <c r="C116" i="8" l="1"/>
  <c r="E112" i="8"/>
  <c r="D112" i="8"/>
  <c r="B112" i="8"/>
  <c r="C110" i="8"/>
  <c r="G110" i="8"/>
  <c r="G112" i="8"/>
  <c r="F111" i="8"/>
  <c r="F112" i="8" s="1"/>
  <c r="G113" i="8" l="1"/>
  <c r="C112" i="8"/>
  <c r="C113" i="8" s="1"/>
  <c r="I111" i="8"/>
  <c r="J111" i="8" s="1"/>
  <c r="H111" i="8"/>
  <c r="E110" i="8"/>
  <c r="E113" i="8" s="1"/>
  <c r="D110" i="8" l="1"/>
  <c r="D113" i="8" s="1"/>
  <c r="I112" i="8"/>
  <c r="J112" i="8" s="1"/>
  <c r="H112" i="8"/>
  <c r="C145" i="10"/>
  <c r="H141" i="10"/>
  <c r="F141" i="10"/>
  <c r="D141" i="10"/>
  <c r="B141" i="10"/>
  <c r="G140" i="10"/>
  <c r="J140" i="10" s="1"/>
  <c r="K140" i="10" s="1"/>
  <c r="G139" i="10"/>
  <c r="J139" i="10" s="1"/>
  <c r="K139" i="10" s="1"/>
  <c r="G138" i="10"/>
  <c r="J138" i="10" s="1"/>
  <c r="K138" i="10" s="1"/>
  <c r="G137" i="10"/>
  <c r="K137" i="10" s="1"/>
  <c r="G136" i="10"/>
  <c r="J136" i="10" s="1"/>
  <c r="K136" i="10" s="1"/>
  <c r="G135" i="10"/>
  <c r="I135" i="10" s="1"/>
  <c r="G134" i="10"/>
  <c r="J134" i="10" s="1"/>
  <c r="K134" i="10" s="1"/>
  <c r="G133" i="10"/>
  <c r="I133" i="10" s="1"/>
  <c r="G132" i="10"/>
  <c r="J132" i="10" s="1"/>
  <c r="K132" i="10" s="1"/>
  <c r="G131" i="10"/>
  <c r="J131" i="10" s="1"/>
  <c r="K131" i="10" s="1"/>
  <c r="G130" i="10"/>
  <c r="J130" i="10" s="1"/>
  <c r="I139" i="10" l="1"/>
  <c r="K130" i="10"/>
  <c r="J133" i="10"/>
  <c r="K133" i="10" s="1"/>
  <c r="I131" i="10"/>
  <c r="J135" i="10"/>
  <c r="K135" i="10" s="1"/>
  <c r="I132" i="10"/>
  <c r="I138" i="10"/>
  <c r="I140" i="10"/>
  <c r="G141" i="10"/>
  <c r="I141" i="10" s="1"/>
  <c r="I130" i="10"/>
  <c r="I134" i="10"/>
  <c r="I136" i="10"/>
  <c r="J141" i="10" l="1"/>
  <c r="K141" i="10" s="1"/>
  <c r="F112" i="21" l="1"/>
  <c r="E112" i="21"/>
  <c r="D112" i="21"/>
  <c r="B112" i="21"/>
  <c r="H111" i="21"/>
  <c r="G111" i="21"/>
  <c r="G110" i="21"/>
  <c r="I110" i="21" s="1"/>
  <c r="G109" i="21"/>
  <c r="J109" i="21" s="1"/>
  <c r="K109" i="21" s="1"/>
  <c r="G108" i="21"/>
  <c r="J108" i="21" s="1"/>
  <c r="K108" i="21" s="1"/>
  <c r="G107" i="21"/>
  <c r="I107" i="21" s="1"/>
  <c r="G106" i="21"/>
  <c r="J106" i="21" s="1"/>
  <c r="K106" i="21" s="1"/>
  <c r="G105" i="21"/>
  <c r="J111" i="21" l="1"/>
  <c r="K111" i="21" s="1"/>
  <c r="G112" i="21"/>
  <c r="J110" i="21"/>
  <c r="K110" i="21" s="1"/>
  <c r="J107" i="21"/>
  <c r="K107" i="21" s="1"/>
  <c r="I111" i="21"/>
  <c r="H112" i="21"/>
  <c r="J112" i="21" s="1"/>
  <c r="K112" i="21" s="1"/>
  <c r="I106" i="21"/>
  <c r="I109" i="21"/>
  <c r="I105" i="21"/>
  <c r="I108" i="21"/>
  <c r="J105" i="21"/>
  <c r="K105" i="21" s="1"/>
  <c r="C145" i="29"/>
  <c r="C143" i="29"/>
  <c r="G136" i="29"/>
  <c r="E136" i="29"/>
  <c r="D136" i="29"/>
  <c r="D137" i="29" s="1"/>
  <c r="C136" i="29"/>
  <c r="B136" i="29"/>
  <c r="F135" i="29"/>
  <c r="F136" i="29" s="1"/>
  <c r="G133" i="29"/>
  <c r="E133" i="29"/>
  <c r="C133" i="29"/>
  <c r="B133" i="29"/>
  <c r="F132" i="29"/>
  <c r="I132" i="29" s="1"/>
  <c r="C113" i="11"/>
  <c r="G106" i="11"/>
  <c r="E106" i="11"/>
  <c r="D106" i="11"/>
  <c r="D107" i="11" s="1"/>
  <c r="C106" i="11"/>
  <c r="B106" i="11"/>
  <c r="F105" i="11"/>
  <c r="I105" i="11" s="1"/>
  <c r="G103" i="11"/>
  <c r="E103" i="11"/>
  <c r="C103" i="11"/>
  <c r="B103" i="11"/>
  <c r="F102" i="11"/>
  <c r="I102" i="11" s="1"/>
  <c r="E107" i="11" l="1"/>
  <c r="G107" i="11"/>
  <c r="B107" i="11"/>
  <c r="C107" i="11"/>
  <c r="I112" i="21"/>
  <c r="B137" i="29"/>
  <c r="E137" i="29"/>
  <c r="G137" i="29"/>
  <c r="F103" i="11"/>
  <c r="F106" i="11"/>
  <c r="C137" i="29"/>
  <c r="C146" i="29"/>
  <c r="H136" i="29"/>
  <c r="J132" i="29"/>
  <c r="I133" i="29"/>
  <c r="H135" i="29"/>
  <c r="I135" i="29"/>
  <c r="H132" i="29"/>
  <c r="F133" i="29"/>
  <c r="F137" i="29" s="1"/>
  <c r="I103" i="11"/>
  <c r="J102" i="11"/>
  <c r="J105" i="11"/>
  <c r="I106" i="11"/>
  <c r="H105" i="11"/>
  <c r="H102" i="11"/>
  <c r="H137" i="29" l="1"/>
  <c r="H106" i="11"/>
  <c r="F107" i="11"/>
  <c r="H107" i="11" s="1"/>
  <c r="I107" i="11"/>
  <c r="H103" i="11"/>
  <c r="J106" i="11"/>
  <c r="H133" i="29"/>
  <c r="J135" i="29"/>
  <c r="I136" i="29"/>
  <c r="J133" i="29"/>
  <c r="J103" i="11"/>
  <c r="J107" i="11" l="1"/>
  <c r="I137" i="29"/>
  <c r="J137" i="29" s="1"/>
  <c r="J136" i="29"/>
  <c r="H122" i="10" l="1"/>
  <c r="H93" i="21" l="1"/>
  <c r="F93" i="21"/>
  <c r="E93" i="21"/>
  <c r="D93" i="21"/>
  <c r="B93" i="21"/>
  <c r="I66" i="23"/>
  <c r="G66" i="23"/>
  <c r="F66" i="23"/>
  <c r="E66" i="23"/>
  <c r="C66" i="23"/>
  <c r="B66" i="23"/>
  <c r="H129" i="2"/>
  <c r="H131" i="2" s="1"/>
  <c r="F129" i="2"/>
  <c r="F131" i="2" s="1"/>
  <c r="E129" i="2"/>
  <c r="E131" i="2" s="1"/>
  <c r="D129" i="2"/>
  <c r="D131" i="2" s="1"/>
  <c r="G111" i="14"/>
  <c r="J111" i="14" s="1"/>
  <c r="H112" i="14"/>
  <c r="F112" i="14"/>
  <c r="E112" i="14"/>
  <c r="E113" i="14" s="1"/>
  <c r="D112" i="14"/>
  <c r="H110" i="14"/>
  <c r="F110" i="14"/>
  <c r="D110" i="14"/>
  <c r="J66" i="23" l="1"/>
  <c r="H66" i="23"/>
  <c r="F113" i="14"/>
  <c r="D113" i="14"/>
  <c r="G112" i="14"/>
  <c r="I112" i="14" s="1"/>
  <c r="J112" i="14"/>
  <c r="K111" i="14"/>
  <c r="H113" i="14"/>
  <c r="I111" i="14"/>
  <c r="G70" i="26"/>
  <c r="E70" i="26"/>
  <c r="D70" i="26"/>
  <c r="B70" i="26"/>
  <c r="F69" i="26"/>
  <c r="I69" i="26" s="1"/>
  <c r="J69" i="26" s="1"/>
  <c r="C68" i="26"/>
  <c r="F68" i="26" s="1"/>
  <c r="C89" i="6"/>
  <c r="G82" i="6"/>
  <c r="E82" i="6"/>
  <c r="D82" i="6"/>
  <c r="B82" i="6"/>
  <c r="F81" i="6"/>
  <c r="H81" i="6" s="1"/>
  <c r="C80" i="6"/>
  <c r="F80" i="6" s="1"/>
  <c r="F82" i="6" l="1"/>
  <c r="C70" i="26"/>
  <c r="K112" i="14"/>
  <c r="F70" i="26"/>
  <c r="H70" i="26" s="1"/>
  <c r="I68" i="26"/>
  <c r="H68" i="26"/>
  <c r="H69" i="26"/>
  <c r="H80" i="6"/>
  <c r="I80" i="6"/>
  <c r="I81" i="6"/>
  <c r="J81" i="6" s="1"/>
  <c r="C82" i="6"/>
  <c r="H82" i="6" l="1"/>
  <c r="I70" i="26"/>
  <c r="J70" i="26" s="1"/>
  <c r="J68" i="26"/>
  <c r="I82" i="6"/>
  <c r="J82" i="6" s="1"/>
  <c r="J80" i="6"/>
  <c r="E97" i="15" l="1"/>
  <c r="C97" i="15"/>
  <c r="G96" i="15"/>
  <c r="F96" i="15"/>
  <c r="G95" i="15"/>
  <c r="B95" i="15"/>
  <c r="F95" i="15" s="1"/>
  <c r="I96" i="15" l="1"/>
  <c r="C107" i="15" s="1"/>
  <c r="H96" i="15"/>
  <c r="B97" i="15"/>
  <c r="I95" i="15"/>
  <c r="F97" i="15"/>
  <c r="H95" i="15"/>
  <c r="G97" i="15"/>
  <c r="J96" i="15" l="1"/>
  <c r="H97" i="15"/>
  <c r="J95" i="15"/>
  <c r="C100" i="15"/>
  <c r="I97" i="15"/>
  <c r="J97" i="15" s="1"/>
  <c r="D122" i="3" l="1"/>
  <c r="D118" i="3"/>
  <c r="E108" i="3"/>
  <c r="D108" i="3"/>
  <c r="C108" i="3"/>
  <c r="B108" i="3"/>
  <c r="G107" i="3"/>
  <c r="F107" i="3"/>
  <c r="G106" i="3"/>
  <c r="F106" i="3"/>
  <c r="I106" i="3" l="1"/>
  <c r="J106" i="3" s="1"/>
  <c r="H107" i="3"/>
  <c r="I107" i="3"/>
  <c r="H106" i="3"/>
  <c r="F108" i="3"/>
  <c r="G108" i="3"/>
  <c r="I108" i="3" l="1"/>
  <c r="J108" i="3" s="1"/>
  <c r="J107" i="3"/>
  <c r="H108" i="3"/>
  <c r="C126" i="10" l="1"/>
  <c r="F122" i="10"/>
  <c r="D122" i="10"/>
  <c r="B122" i="10"/>
  <c r="G121" i="10"/>
  <c r="I121" i="10" s="1"/>
  <c r="G120" i="10"/>
  <c r="I120" i="10" s="1"/>
  <c r="G119" i="10"/>
  <c r="I119" i="10" s="1"/>
  <c r="G118" i="10"/>
  <c r="I118" i="10" s="1"/>
  <c r="G117" i="10"/>
  <c r="I117" i="10" s="1"/>
  <c r="G116" i="10"/>
  <c r="I116" i="10" s="1"/>
  <c r="G115" i="10"/>
  <c r="I115" i="10" s="1"/>
  <c r="G114" i="10"/>
  <c r="I114" i="10" s="1"/>
  <c r="G113" i="10"/>
  <c r="I113" i="10" s="1"/>
  <c r="G112" i="10"/>
  <c r="I112" i="10" s="1"/>
  <c r="G111" i="10"/>
  <c r="I111" i="10" s="1"/>
  <c r="J113" i="10" l="1"/>
  <c r="K113" i="10" s="1"/>
  <c r="J115" i="10"/>
  <c r="K115" i="10" s="1"/>
  <c r="J117" i="10"/>
  <c r="K117" i="10" s="1"/>
  <c r="J119" i="10"/>
  <c r="K119" i="10" s="1"/>
  <c r="J121" i="10"/>
  <c r="J112" i="10"/>
  <c r="K112" i="10" s="1"/>
  <c r="J114" i="10"/>
  <c r="K114" i="10" s="1"/>
  <c r="J116" i="10"/>
  <c r="K116" i="10" s="1"/>
  <c r="J118" i="10"/>
  <c r="K118" i="10" s="1"/>
  <c r="J120" i="10"/>
  <c r="K120" i="10" s="1"/>
  <c r="J111" i="10"/>
  <c r="K111" i="10" s="1"/>
  <c r="G122" i="10"/>
  <c r="I122" i="10" s="1"/>
  <c r="C125" i="29"/>
  <c r="C123" i="29"/>
  <c r="G115" i="29"/>
  <c r="E115" i="29"/>
  <c r="D115" i="29"/>
  <c r="D116" i="29" s="1"/>
  <c r="C115" i="29"/>
  <c r="B115" i="29"/>
  <c r="F114" i="29"/>
  <c r="F115" i="29" s="1"/>
  <c r="G112" i="29"/>
  <c r="E112" i="29"/>
  <c r="C112" i="29"/>
  <c r="B112" i="29"/>
  <c r="F111" i="29"/>
  <c r="I111" i="29" s="1"/>
  <c r="C116" i="29" l="1"/>
  <c r="B116" i="29"/>
  <c r="E116" i="29"/>
  <c r="C126" i="29"/>
  <c r="K121" i="10"/>
  <c r="J122" i="10"/>
  <c r="K122" i="10" s="1"/>
  <c r="F112" i="29"/>
  <c r="F116" i="29" s="1"/>
  <c r="G116" i="29"/>
  <c r="J111" i="29"/>
  <c r="I112" i="29"/>
  <c r="H114" i="29"/>
  <c r="I114" i="29"/>
  <c r="H115" i="29"/>
  <c r="H111" i="29"/>
  <c r="C96" i="11"/>
  <c r="G89" i="11"/>
  <c r="E89" i="11"/>
  <c r="D89" i="11"/>
  <c r="D90" i="11" s="1"/>
  <c r="C89" i="11"/>
  <c r="B89" i="11"/>
  <c r="F88" i="11"/>
  <c r="I88" i="11" s="1"/>
  <c r="G86" i="11"/>
  <c r="E86" i="11"/>
  <c r="C86" i="11"/>
  <c r="B86" i="11"/>
  <c r="F85" i="11"/>
  <c r="F86" i="11" s="1"/>
  <c r="H112" i="29" l="1"/>
  <c r="B90" i="11"/>
  <c r="C90" i="11"/>
  <c r="J112" i="29"/>
  <c r="E90" i="11"/>
  <c r="H116" i="29"/>
  <c r="G90" i="11"/>
  <c r="I115" i="29"/>
  <c r="J114" i="29"/>
  <c r="H86" i="11"/>
  <c r="I89" i="11"/>
  <c r="J88" i="11"/>
  <c r="H85" i="11"/>
  <c r="I85" i="11"/>
  <c r="F89" i="11"/>
  <c r="F90" i="11" s="1"/>
  <c r="H90" i="11" s="1"/>
  <c r="H88" i="11"/>
  <c r="D99" i="21"/>
  <c r="G92" i="21"/>
  <c r="J92" i="21" s="1"/>
  <c r="K92" i="21" s="1"/>
  <c r="G91" i="21"/>
  <c r="I91" i="21" s="1"/>
  <c r="G90" i="21"/>
  <c r="J90" i="21" s="1"/>
  <c r="K90" i="21" s="1"/>
  <c r="G89" i="21"/>
  <c r="J89" i="21" s="1"/>
  <c r="K89" i="21" s="1"/>
  <c r="G88" i="21"/>
  <c r="I88" i="21" s="1"/>
  <c r="G87" i="21"/>
  <c r="J87" i="21" s="1"/>
  <c r="K87" i="21" s="1"/>
  <c r="G86" i="21"/>
  <c r="H89" i="11" l="1"/>
  <c r="G93" i="21"/>
  <c r="I116" i="29"/>
  <c r="J116" i="29" s="1"/>
  <c r="J115" i="29"/>
  <c r="I86" i="11"/>
  <c r="J85" i="11"/>
  <c r="J89" i="11"/>
  <c r="J88" i="21"/>
  <c r="K88" i="21" s="1"/>
  <c r="J91" i="21"/>
  <c r="K91" i="21" s="1"/>
  <c r="I87" i="21"/>
  <c r="I90" i="21"/>
  <c r="I86" i="21"/>
  <c r="I89" i="21"/>
  <c r="I92" i="21"/>
  <c r="J86" i="21"/>
  <c r="K86" i="21" s="1"/>
  <c r="B104" i="8"/>
  <c r="G90" i="8"/>
  <c r="B99" i="8"/>
  <c r="B101" i="8" s="1"/>
  <c r="J93" i="21" l="1"/>
  <c r="K93" i="21" s="1"/>
  <c r="I93" i="21"/>
  <c r="J86" i="11"/>
  <c r="I90" i="11"/>
  <c r="J90" i="11" s="1"/>
  <c r="C91" i="8"/>
  <c r="G94" i="8"/>
  <c r="C94" i="8"/>
  <c r="F93" i="8"/>
  <c r="F94" i="8" s="1"/>
  <c r="E90" i="8" l="1"/>
  <c r="D90" i="8"/>
  <c r="D91" i="8" s="1"/>
  <c r="F90" i="8" l="1"/>
  <c r="H90" i="8" s="1"/>
  <c r="C95" i="8"/>
  <c r="H94" i="8"/>
  <c r="B94" i="8"/>
  <c r="I93" i="8"/>
  <c r="D95" i="8"/>
  <c r="G91" i="8"/>
  <c r="E91" i="8"/>
  <c r="B91" i="8"/>
  <c r="B95" i="8" l="1"/>
  <c r="E95" i="8"/>
  <c r="J93" i="8"/>
  <c r="I94" i="8"/>
  <c r="I90" i="8"/>
  <c r="B109" i="8" s="1"/>
  <c r="F91" i="8"/>
  <c r="H91" i="8" s="1"/>
  <c r="H93" i="8"/>
  <c r="G95" i="8"/>
  <c r="F109" i="8" l="1"/>
  <c r="F110" i="8" s="1"/>
  <c r="H110" i="8" s="1"/>
  <c r="B110" i="8"/>
  <c r="B113" i="8" s="1"/>
  <c r="J90" i="8"/>
  <c r="I91" i="8"/>
  <c r="J91" i="8" s="1"/>
  <c r="F95" i="8"/>
  <c r="H95" i="8" s="1"/>
  <c r="J94" i="8"/>
  <c r="C62" i="26"/>
  <c r="E55" i="26"/>
  <c r="D55" i="26"/>
  <c r="B55" i="26"/>
  <c r="G54" i="26"/>
  <c r="F54" i="26"/>
  <c r="G53" i="26"/>
  <c r="C53" i="26"/>
  <c r="F53" i="26" s="1"/>
  <c r="C73" i="6"/>
  <c r="E66" i="6"/>
  <c r="D66" i="6"/>
  <c r="B66" i="6"/>
  <c r="C65" i="6"/>
  <c r="C66" i="6" s="1"/>
  <c r="G64" i="6"/>
  <c r="G66" i="6" s="1"/>
  <c r="F64" i="6"/>
  <c r="I54" i="26" l="1"/>
  <c r="J54" i="26" s="1"/>
  <c r="H109" i="8"/>
  <c r="F113" i="8"/>
  <c r="H113" i="8" s="1"/>
  <c r="I109" i="8"/>
  <c r="I110" i="8" s="1"/>
  <c r="H53" i="26"/>
  <c r="G55" i="26"/>
  <c r="C55" i="26"/>
  <c r="I64" i="6"/>
  <c r="J64" i="6" s="1"/>
  <c r="H64" i="6"/>
  <c r="I95" i="8"/>
  <c r="J95" i="8" s="1"/>
  <c r="I53" i="26"/>
  <c r="F55" i="26"/>
  <c r="H54" i="26"/>
  <c r="F65" i="6"/>
  <c r="F66" i="6" s="1"/>
  <c r="H66" i="6" s="1"/>
  <c r="D100" i="3"/>
  <c r="E91" i="3"/>
  <c r="D91" i="3"/>
  <c r="C91" i="3"/>
  <c r="B91" i="3"/>
  <c r="G90" i="3"/>
  <c r="F90" i="3"/>
  <c r="G89" i="3"/>
  <c r="F89" i="3"/>
  <c r="J109" i="8" l="1"/>
  <c r="H55" i="26"/>
  <c r="I89" i="3"/>
  <c r="J89" i="3" s="1"/>
  <c r="J110" i="8"/>
  <c r="I113" i="8"/>
  <c r="J113" i="8" s="1"/>
  <c r="H89" i="3"/>
  <c r="H90" i="3"/>
  <c r="I55" i="26"/>
  <c r="J55" i="26" s="1"/>
  <c r="J53" i="26"/>
  <c r="I65" i="6"/>
  <c r="H65" i="6"/>
  <c r="I90" i="3"/>
  <c r="F91" i="3"/>
  <c r="G91" i="3"/>
  <c r="H91" i="3" l="1"/>
  <c r="J65" i="6"/>
  <c r="I66" i="6"/>
  <c r="J66" i="6" s="1"/>
  <c r="J90" i="3"/>
  <c r="I91" i="3"/>
  <c r="J91" i="3" s="1"/>
  <c r="E76" i="15" l="1"/>
  <c r="C76" i="15"/>
  <c r="B76" i="15"/>
  <c r="G75" i="15"/>
  <c r="F75" i="15"/>
  <c r="G74" i="15"/>
  <c r="F74" i="15"/>
  <c r="I74" i="15" l="1"/>
  <c r="J74" i="15" s="1"/>
  <c r="H74" i="15"/>
  <c r="H75" i="15"/>
  <c r="F76" i="15"/>
  <c r="I75" i="15"/>
  <c r="G76" i="15"/>
  <c r="C79" i="15" l="1"/>
  <c r="H76" i="15"/>
  <c r="C86" i="15"/>
  <c r="J75" i="15"/>
  <c r="I76" i="15"/>
  <c r="J76" i="15" s="1"/>
  <c r="C58" i="23"/>
  <c r="E54" i="23"/>
  <c r="C54" i="23"/>
  <c r="B54" i="23"/>
  <c r="G53" i="23"/>
  <c r="F53" i="23"/>
  <c r="G52" i="23"/>
  <c r="F52" i="23"/>
  <c r="F54" i="23" l="1"/>
  <c r="G54" i="23"/>
  <c r="I53" i="23"/>
  <c r="J53" i="23" s="1"/>
  <c r="H53" i="23"/>
  <c r="H52" i="23"/>
  <c r="I52" i="23"/>
  <c r="H54" i="23" l="1"/>
  <c r="J52" i="23"/>
  <c r="I54" i="23"/>
  <c r="J54" i="23" s="1"/>
  <c r="C107" i="10"/>
  <c r="G107" i="2"/>
  <c r="I107" i="2" s="1"/>
  <c r="H106" i="2"/>
  <c r="F106" i="2"/>
  <c r="F108" i="2" s="1"/>
  <c r="E106" i="2"/>
  <c r="E108" i="2" s="1"/>
  <c r="D106" i="2"/>
  <c r="D108" i="2" s="1"/>
  <c r="B106" i="2"/>
  <c r="B108" i="2" s="1"/>
  <c r="G105" i="2"/>
  <c r="J105" i="2" s="1"/>
  <c r="G104" i="2"/>
  <c r="H91" i="14"/>
  <c r="F91" i="14"/>
  <c r="E91" i="14"/>
  <c r="E92" i="14" s="1"/>
  <c r="D91" i="14"/>
  <c r="G90" i="14"/>
  <c r="I90" i="14" s="1"/>
  <c r="H89" i="14"/>
  <c r="F89" i="14"/>
  <c r="D89" i="14"/>
  <c r="G106" i="2" l="1"/>
  <c r="I106" i="2" s="1"/>
  <c r="K105" i="2"/>
  <c r="B128" i="2"/>
  <c r="G128" i="2" s="1"/>
  <c r="D92" i="14"/>
  <c r="J90" i="14"/>
  <c r="K90" i="14" s="1"/>
  <c r="J107" i="2"/>
  <c r="F92" i="14"/>
  <c r="G91" i="14"/>
  <c r="I91" i="14" s="1"/>
  <c r="G108" i="2"/>
  <c r="I104" i="2"/>
  <c r="I105" i="2"/>
  <c r="H108" i="2"/>
  <c r="J104" i="2"/>
  <c r="B127" i="2" s="1"/>
  <c r="H92" i="14"/>
  <c r="C89" i="25"/>
  <c r="C93" i="25" s="1"/>
  <c r="C97" i="25" s="1"/>
  <c r="E83" i="25"/>
  <c r="C83" i="25"/>
  <c r="B83" i="25"/>
  <c r="F82" i="25"/>
  <c r="I82" i="25" s="1"/>
  <c r="G81" i="25"/>
  <c r="D81" i="25"/>
  <c r="F81" i="25" s="1"/>
  <c r="B85" i="8"/>
  <c r="G79" i="8"/>
  <c r="C79" i="8"/>
  <c r="C80" i="8" s="1"/>
  <c r="B79" i="8"/>
  <c r="F78" i="8"/>
  <c r="I78" i="8" s="1"/>
  <c r="E78" i="8"/>
  <c r="E79" i="8" s="1"/>
  <c r="D78" i="8"/>
  <c r="D79" i="8" s="1"/>
  <c r="E76" i="8"/>
  <c r="D76" i="8"/>
  <c r="B76" i="8"/>
  <c r="G75" i="8"/>
  <c r="G76" i="8" s="1"/>
  <c r="D75" i="8"/>
  <c r="F75" i="8" s="1"/>
  <c r="I108" i="2" l="1"/>
  <c r="J82" i="25"/>
  <c r="B103" i="25"/>
  <c r="F103" i="25" s="1"/>
  <c r="B129" i="2"/>
  <c r="G127" i="2"/>
  <c r="K107" i="2"/>
  <c r="B130" i="2"/>
  <c r="G130" i="2" s="1"/>
  <c r="I128" i="2"/>
  <c r="J128" i="2"/>
  <c r="J91" i="14"/>
  <c r="K91" i="14" s="1"/>
  <c r="D80" i="8"/>
  <c r="G80" i="8"/>
  <c r="J106" i="2"/>
  <c r="K104" i="2"/>
  <c r="E80" i="8"/>
  <c r="F79" i="8"/>
  <c r="B80" i="8"/>
  <c r="D83" i="25"/>
  <c r="H82" i="25"/>
  <c r="I81" i="25"/>
  <c r="B102" i="25" s="1"/>
  <c r="F83" i="25"/>
  <c r="H81" i="25"/>
  <c r="G83" i="25"/>
  <c r="I75" i="8"/>
  <c r="F76" i="8"/>
  <c r="H76" i="8" s="1"/>
  <c r="H75" i="8"/>
  <c r="J78" i="8"/>
  <c r="I79" i="8"/>
  <c r="H78" i="8"/>
  <c r="F102" i="25" l="1"/>
  <c r="B104" i="25"/>
  <c r="H83" i="25"/>
  <c r="I103" i="25"/>
  <c r="H103" i="25"/>
  <c r="K128" i="2"/>
  <c r="B150" i="2"/>
  <c r="G150" i="2" s="1"/>
  <c r="F80" i="8"/>
  <c r="B131" i="2"/>
  <c r="J130" i="2"/>
  <c r="K130" i="2" s="1"/>
  <c r="I130" i="2"/>
  <c r="I127" i="2"/>
  <c r="G129" i="2"/>
  <c r="J127" i="2"/>
  <c r="B149" i="2" s="1"/>
  <c r="H79" i="8"/>
  <c r="H80" i="8"/>
  <c r="K106" i="2"/>
  <c r="J108" i="2"/>
  <c r="K108" i="2" s="1"/>
  <c r="J81" i="25"/>
  <c r="I83" i="25"/>
  <c r="J83" i="25" s="1"/>
  <c r="J79" i="8"/>
  <c r="I76" i="8"/>
  <c r="J76" i="8" s="1"/>
  <c r="J75" i="8"/>
  <c r="J103" i="25" l="1"/>
  <c r="B118" i="25"/>
  <c r="F104" i="25"/>
  <c r="H104" i="25" s="1"/>
  <c r="H102" i="25"/>
  <c r="I102" i="25"/>
  <c r="B151" i="2"/>
  <c r="G149" i="2"/>
  <c r="I150" i="2"/>
  <c r="J150" i="2"/>
  <c r="K150" i="2" s="1"/>
  <c r="I129" i="2"/>
  <c r="G131" i="2"/>
  <c r="I131" i="2" s="1"/>
  <c r="J129" i="2"/>
  <c r="B152" i="2" s="1"/>
  <c r="G152" i="2" s="1"/>
  <c r="K127" i="2"/>
  <c r="I80" i="8"/>
  <c r="J80" i="8" s="1"/>
  <c r="B153" i="2" l="1"/>
  <c r="B119" i="25"/>
  <c r="F118" i="25"/>
  <c r="I104" i="25"/>
  <c r="J104" i="25" s="1"/>
  <c r="J102" i="25"/>
  <c r="J152" i="2"/>
  <c r="K152" i="2" s="1"/>
  <c r="I152" i="2"/>
  <c r="G151" i="2"/>
  <c r="I149" i="2"/>
  <c r="J149" i="2"/>
  <c r="K129" i="2"/>
  <c r="J131" i="2"/>
  <c r="K131" i="2" s="1"/>
  <c r="H102" i="10"/>
  <c r="F102" i="10"/>
  <c r="D102" i="10"/>
  <c r="B102" i="10"/>
  <c r="G101" i="10"/>
  <c r="I101" i="10" s="1"/>
  <c r="G100" i="10"/>
  <c r="I100" i="10" s="1"/>
  <c r="G99" i="10"/>
  <c r="I99" i="10" s="1"/>
  <c r="G98" i="10"/>
  <c r="J98" i="10" s="1"/>
  <c r="K98" i="10" s="1"/>
  <c r="G97" i="10"/>
  <c r="J97" i="10" s="1"/>
  <c r="K97" i="10" s="1"/>
  <c r="G96" i="10"/>
  <c r="J96" i="10" s="1"/>
  <c r="K96" i="10" s="1"/>
  <c r="G95" i="10"/>
  <c r="J95" i="10" s="1"/>
  <c r="K95" i="10" s="1"/>
  <c r="G94" i="10"/>
  <c r="I94" i="10" s="1"/>
  <c r="G93" i="10"/>
  <c r="I93" i="10" s="1"/>
  <c r="G92" i="10"/>
  <c r="I92" i="10" s="1"/>
  <c r="G91" i="10"/>
  <c r="J91" i="10" s="1"/>
  <c r="I118" i="25" l="1"/>
  <c r="H118" i="25"/>
  <c r="F119" i="25"/>
  <c r="H119" i="25" s="1"/>
  <c r="I151" i="2"/>
  <c r="G153" i="2"/>
  <c r="I153" i="2" s="1"/>
  <c r="K149" i="2"/>
  <c r="J151" i="2"/>
  <c r="K91" i="10"/>
  <c r="J100" i="10"/>
  <c r="J93" i="10"/>
  <c r="K93" i="10" s="1"/>
  <c r="I96" i="10"/>
  <c r="J92" i="10"/>
  <c r="K92" i="10" s="1"/>
  <c r="I97" i="10"/>
  <c r="J94" i="10"/>
  <c r="K94" i="10" s="1"/>
  <c r="J101" i="10"/>
  <c r="K101" i="10" s="1"/>
  <c r="J99" i="10"/>
  <c r="K99" i="10" s="1"/>
  <c r="I98" i="10"/>
  <c r="G102" i="10"/>
  <c r="I102" i="10" s="1"/>
  <c r="I91" i="10"/>
  <c r="I95" i="10"/>
  <c r="D81" i="21"/>
  <c r="H76" i="21"/>
  <c r="F76" i="21"/>
  <c r="E76" i="21"/>
  <c r="D76" i="21"/>
  <c r="B76" i="21"/>
  <c r="G75" i="21"/>
  <c r="J75" i="21" s="1"/>
  <c r="K75" i="21" s="1"/>
  <c r="G74" i="21"/>
  <c r="J74" i="21" s="1"/>
  <c r="K74" i="21" s="1"/>
  <c r="G73" i="21"/>
  <c r="J73" i="21" s="1"/>
  <c r="K73" i="21" s="1"/>
  <c r="G72" i="21"/>
  <c r="I72" i="21" s="1"/>
  <c r="G71" i="21"/>
  <c r="J71" i="21" s="1"/>
  <c r="K71" i="21" s="1"/>
  <c r="G70" i="21"/>
  <c r="J70" i="21" s="1"/>
  <c r="K70" i="21" s="1"/>
  <c r="G69" i="21"/>
  <c r="J118" i="25" l="1"/>
  <c r="I119" i="25"/>
  <c r="J119" i="25" s="1"/>
  <c r="J153" i="2"/>
  <c r="K153" i="2" s="1"/>
  <c r="K151" i="2"/>
  <c r="K100" i="10"/>
  <c r="J102" i="10"/>
  <c r="K102" i="10" s="1"/>
  <c r="J72" i="21"/>
  <c r="K72" i="21" s="1"/>
  <c r="I70" i="21"/>
  <c r="I75" i="21"/>
  <c r="G76" i="21"/>
  <c r="J76" i="21" s="1"/>
  <c r="K76" i="21" s="1"/>
  <c r="I73" i="21"/>
  <c r="I69" i="21"/>
  <c r="J69" i="21"/>
  <c r="K69" i="21" s="1"/>
  <c r="I71" i="21"/>
  <c r="I74" i="21"/>
  <c r="C105" i="29"/>
  <c r="C103" i="29"/>
  <c r="G96" i="29"/>
  <c r="E96" i="29"/>
  <c r="D96" i="29"/>
  <c r="D97" i="29" s="1"/>
  <c r="C96" i="29"/>
  <c r="B96" i="29"/>
  <c r="F95" i="29"/>
  <c r="I95" i="29" s="1"/>
  <c r="G93" i="29"/>
  <c r="E93" i="29"/>
  <c r="C93" i="29"/>
  <c r="B93" i="29"/>
  <c r="F92" i="29"/>
  <c r="H92" i="29" s="1"/>
  <c r="B97" i="29" l="1"/>
  <c r="F96" i="29"/>
  <c r="H96" i="29" s="1"/>
  <c r="G97" i="29"/>
  <c r="I92" i="29"/>
  <c r="J92" i="29" s="1"/>
  <c r="C106" i="29"/>
  <c r="F93" i="29"/>
  <c r="F97" i="29" s="1"/>
  <c r="I76" i="21"/>
  <c r="E97" i="29"/>
  <c r="C97" i="29"/>
  <c r="J95" i="29"/>
  <c r="I96" i="29"/>
  <c r="H95" i="29"/>
  <c r="C79" i="11"/>
  <c r="G72" i="11"/>
  <c r="E72" i="11"/>
  <c r="D72" i="11"/>
  <c r="D73" i="11" s="1"/>
  <c r="C72" i="11"/>
  <c r="B72" i="11"/>
  <c r="F71" i="11"/>
  <c r="H71" i="11" s="1"/>
  <c r="G69" i="11"/>
  <c r="E69" i="11"/>
  <c r="C69" i="11"/>
  <c r="B69" i="11"/>
  <c r="F68" i="11"/>
  <c r="I68" i="11" s="1"/>
  <c r="E73" i="11" l="1"/>
  <c r="H93" i="29"/>
  <c r="B73" i="11"/>
  <c r="I93" i="29"/>
  <c r="J93" i="29" s="1"/>
  <c r="C73" i="11"/>
  <c r="H97" i="29"/>
  <c r="G73" i="11"/>
  <c r="F69" i="11"/>
  <c r="H69" i="11" s="1"/>
  <c r="F72" i="11"/>
  <c r="H72" i="11" s="1"/>
  <c r="J96" i="29"/>
  <c r="J68" i="11"/>
  <c r="I69" i="11"/>
  <c r="I71" i="11"/>
  <c r="H68" i="11"/>
  <c r="B41" i="23"/>
  <c r="E58" i="15"/>
  <c r="C58" i="15"/>
  <c r="B58" i="15"/>
  <c r="F69" i="14"/>
  <c r="E69" i="14"/>
  <c r="B71" i="14"/>
  <c r="E74" i="3"/>
  <c r="D74" i="3"/>
  <c r="C74" i="3"/>
  <c r="B74" i="3"/>
  <c r="C76" i="14"/>
  <c r="F71" i="14"/>
  <c r="E71" i="14"/>
  <c r="E72" i="14" s="1"/>
  <c r="D71" i="14"/>
  <c r="H70" i="14"/>
  <c r="G70" i="14"/>
  <c r="G71" i="14" s="1"/>
  <c r="H69" i="14"/>
  <c r="D69" i="14"/>
  <c r="I97" i="29" l="1"/>
  <c r="J97" i="29" s="1"/>
  <c r="D72" i="14"/>
  <c r="F73" i="11"/>
  <c r="H73" i="11" s="1"/>
  <c r="J71" i="11"/>
  <c r="I72" i="11"/>
  <c r="J72" i="11" s="1"/>
  <c r="J69" i="11"/>
  <c r="J70" i="14"/>
  <c r="K70" i="14" s="1"/>
  <c r="F72" i="14"/>
  <c r="I70" i="14"/>
  <c r="H71" i="14"/>
  <c r="G84" i="2"/>
  <c r="J84" i="2" s="1"/>
  <c r="K84" i="2" s="1"/>
  <c r="F83" i="2"/>
  <c r="F85" i="2" s="1"/>
  <c r="E83" i="2"/>
  <c r="E85" i="2" s="1"/>
  <c r="H81" i="2"/>
  <c r="H83" i="2" s="1"/>
  <c r="G81" i="2"/>
  <c r="D83" i="2"/>
  <c r="D85" i="2" s="1"/>
  <c r="G77" i="2"/>
  <c r="E76" i="2"/>
  <c r="E78" i="2" s="1"/>
  <c r="G75" i="2"/>
  <c r="H74" i="2"/>
  <c r="H76" i="2" s="1"/>
  <c r="H78" i="2" s="1"/>
  <c r="F76" i="2"/>
  <c r="F78" i="2" s="1"/>
  <c r="D76" i="2"/>
  <c r="D78" i="2" s="1"/>
  <c r="B76" i="2"/>
  <c r="B78" i="2" s="1"/>
  <c r="I73" i="11" l="1"/>
  <c r="J73" i="11" s="1"/>
  <c r="J71" i="14"/>
  <c r="I84" i="2"/>
  <c r="H72" i="14"/>
  <c r="I71" i="14"/>
  <c r="K71" i="14"/>
  <c r="J75" i="2"/>
  <c r="I75" i="2"/>
  <c r="H85" i="2"/>
  <c r="J77" i="2"/>
  <c r="K77" i="2" s="1"/>
  <c r="I77" i="2"/>
  <c r="I81" i="2"/>
  <c r="G74" i="2"/>
  <c r="J81" i="2"/>
  <c r="C58" i="6"/>
  <c r="E49" i="6"/>
  <c r="D49" i="6"/>
  <c r="B49" i="6"/>
  <c r="F48" i="6"/>
  <c r="I48" i="6" s="1"/>
  <c r="J48" i="6" s="1"/>
  <c r="G47" i="6"/>
  <c r="G49" i="6" s="1"/>
  <c r="C47" i="6"/>
  <c r="F47" i="6" s="1"/>
  <c r="E45" i="26"/>
  <c r="D45" i="26"/>
  <c r="B45" i="26"/>
  <c r="G44" i="26"/>
  <c r="F44" i="26"/>
  <c r="G43" i="26"/>
  <c r="C43" i="26"/>
  <c r="F43" i="26" s="1"/>
  <c r="I44" i="26" l="1"/>
  <c r="J44" i="26" s="1"/>
  <c r="C49" i="6"/>
  <c r="F49" i="6" s="1"/>
  <c r="H49" i="6" s="1"/>
  <c r="C45" i="26"/>
  <c r="G45" i="26"/>
  <c r="G76" i="2"/>
  <c r="J74" i="2"/>
  <c r="I74" i="2"/>
  <c r="K81" i="2"/>
  <c r="K75" i="2"/>
  <c r="I47" i="6"/>
  <c r="I49" i="6" s="1"/>
  <c r="H47" i="6"/>
  <c r="H48" i="6"/>
  <c r="F45" i="26"/>
  <c r="I43" i="26"/>
  <c r="H43" i="26"/>
  <c r="H44" i="26"/>
  <c r="C70" i="25"/>
  <c r="C69" i="25"/>
  <c r="C68" i="25"/>
  <c r="J49" i="6" l="1"/>
  <c r="H45" i="26"/>
  <c r="C72" i="25"/>
  <c r="C76" i="25" s="1"/>
  <c r="J47" i="6"/>
  <c r="B83" i="2"/>
  <c r="B85" i="2" s="1"/>
  <c r="G82" i="2"/>
  <c r="J76" i="2"/>
  <c r="K74" i="2"/>
  <c r="G78" i="2"/>
  <c r="I78" i="2" s="1"/>
  <c r="I76" i="2"/>
  <c r="I45" i="26"/>
  <c r="J45" i="26" s="1"/>
  <c r="J43" i="26"/>
  <c r="F61" i="25"/>
  <c r="K76" i="2" l="1"/>
  <c r="J78" i="2"/>
  <c r="K78" i="2" s="1"/>
  <c r="I82" i="2"/>
  <c r="J82" i="2"/>
  <c r="G83" i="2"/>
  <c r="K82" i="2" l="1"/>
  <c r="J83" i="2"/>
  <c r="G85" i="2"/>
  <c r="I85" i="2" s="1"/>
  <c r="I83" i="2"/>
  <c r="G62" i="25"/>
  <c r="E62" i="25"/>
  <c r="D62" i="25"/>
  <c r="C62" i="25"/>
  <c r="B62" i="25"/>
  <c r="I61" i="25"/>
  <c r="F60" i="25"/>
  <c r="I60" i="25" s="1"/>
  <c r="J85" i="2" l="1"/>
  <c r="K85" i="2" s="1"/>
  <c r="K83" i="2"/>
  <c r="F62" i="25"/>
  <c r="H62" i="25" s="1"/>
  <c r="H61" i="25"/>
  <c r="I62" i="25"/>
  <c r="J61" i="25"/>
  <c r="G55" i="8"/>
  <c r="J62" i="25" l="1"/>
  <c r="E55" i="8"/>
  <c r="D55" i="8"/>
  <c r="F58" i="8"/>
  <c r="F55" i="8" l="1"/>
  <c r="B59" i="8"/>
  <c r="B67" i="8"/>
  <c r="G59" i="8"/>
  <c r="C59" i="8"/>
  <c r="C60" i="8" s="1"/>
  <c r="H58" i="8"/>
  <c r="I58" i="8"/>
  <c r="G56" i="8"/>
  <c r="E56" i="8"/>
  <c r="E60" i="8" s="1"/>
  <c r="D56" i="8"/>
  <c r="D60" i="8" s="1"/>
  <c r="B56" i="8"/>
  <c r="G60" i="8" l="1"/>
  <c r="F59" i="8"/>
  <c r="H59" i="8" s="1"/>
  <c r="B60" i="8"/>
  <c r="J55" i="8"/>
  <c r="F56" i="8"/>
  <c r="J56" i="8" s="1"/>
  <c r="H55" i="8"/>
  <c r="J58" i="8"/>
  <c r="I59" i="8"/>
  <c r="H56" i="8" l="1"/>
  <c r="F60" i="8"/>
  <c r="H60" i="8" s="1"/>
  <c r="I60" i="8"/>
  <c r="J59" i="8"/>
  <c r="J60" i="8" l="1"/>
  <c r="H85" i="10"/>
  <c r="F85" i="10"/>
  <c r="D85" i="10"/>
  <c r="B85" i="10"/>
  <c r="G84" i="10"/>
  <c r="J84" i="10" s="1"/>
  <c r="K84" i="10" s="1"/>
  <c r="G83" i="10"/>
  <c r="J83" i="10" s="1"/>
  <c r="K83" i="10" s="1"/>
  <c r="G82" i="10"/>
  <c r="J82" i="10" s="1"/>
  <c r="K82" i="10" s="1"/>
  <c r="G81" i="10"/>
  <c r="J81" i="10" s="1"/>
  <c r="K81" i="10" s="1"/>
  <c r="G80" i="10"/>
  <c r="I80" i="10" s="1"/>
  <c r="G79" i="10"/>
  <c r="I79" i="10" s="1"/>
  <c r="G78" i="10"/>
  <c r="J78" i="10" s="1"/>
  <c r="K78" i="10" s="1"/>
  <c r="G77" i="10"/>
  <c r="J77" i="10" s="1"/>
  <c r="K77" i="10" s="1"/>
  <c r="G76" i="10"/>
  <c r="J76" i="10" s="1"/>
  <c r="K76" i="10" s="1"/>
  <c r="G75" i="10"/>
  <c r="J75" i="10" s="1"/>
  <c r="K75" i="10" s="1"/>
  <c r="G74" i="10"/>
  <c r="J74" i="10" s="1"/>
  <c r="I83" i="10" l="1"/>
  <c r="J79" i="10"/>
  <c r="K79" i="10" s="1"/>
  <c r="I75" i="10"/>
  <c r="K74" i="10"/>
  <c r="I76" i="10"/>
  <c r="G85" i="10"/>
  <c r="I85" i="10" s="1"/>
  <c r="I77" i="10"/>
  <c r="J80" i="10"/>
  <c r="K80" i="10" s="1"/>
  <c r="I84" i="10"/>
  <c r="I81" i="10"/>
  <c r="I74" i="10"/>
  <c r="I78" i="10"/>
  <c r="I82" i="10"/>
  <c r="G56" i="11"/>
  <c r="E56" i="11"/>
  <c r="D56" i="11"/>
  <c r="D57" i="11" s="1"/>
  <c r="C56" i="11"/>
  <c r="B56" i="11"/>
  <c r="F55" i="11"/>
  <c r="I55" i="11" s="1"/>
  <c r="G53" i="11"/>
  <c r="E53" i="11"/>
  <c r="C53" i="11"/>
  <c r="B53" i="11"/>
  <c r="F52" i="11"/>
  <c r="I52" i="11" s="1"/>
  <c r="B57" i="11" l="1"/>
  <c r="G57" i="11"/>
  <c r="C57" i="11"/>
  <c r="F56" i="11"/>
  <c r="H56" i="11" s="1"/>
  <c r="F53" i="11"/>
  <c r="H53" i="11" s="1"/>
  <c r="J85" i="10"/>
  <c r="K85" i="10" s="1"/>
  <c r="J52" i="11"/>
  <c r="C61" i="11"/>
  <c r="C62" i="11" s="1"/>
  <c r="I53" i="11"/>
  <c r="J55" i="11"/>
  <c r="I56" i="11"/>
  <c r="H55" i="11"/>
  <c r="H52" i="11"/>
  <c r="E57" i="11" l="1"/>
  <c r="J56" i="11"/>
  <c r="F57" i="11"/>
  <c r="H57" i="11" s="1"/>
  <c r="I57" i="11"/>
  <c r="J53" i="11"/>
  <c r="J57" i="11" l="1"/>
  <c r="C85" i="29"/>
  <c r="C83" i="29"/>
  <c r="G76" i="29"/>
  <c r="E76" i="29"/>
  <c r="D76" i="29"/>
  <c r="D77" i="29" s="1"/>
  <c r="C76" i="29"/>
  <c r="B76" i="29"/>
  <c r="F75" i="29"/>
  <c r="F76" i="29" s="1"/>
  <c r="G73" i="29"/>
  <c r="E73" i="29"/>
  <c r="C73" i="29"/>
  <c r="B73" i="29"/>
  <c r="F72" i="29"/>
  <c r="I72" i="29" s="1"/>
  <c r="C77" i="29" l="1"/>
  <c r="E77" i="29"/>
  <c r="B77" i="29"/>
  <c r="H75" i="29"/>
  <c r="F73" i="29"/>
  <c r="H73" i="29" s="1"/>
  <c r="C86" i="29"/>
  <c r="H76" i="29"/>
  <c r="J72" i="29"/>
  <c r="I73" i="29"/>
  <c r="I75" i="29"/>
  <c r="G77" i="29"/>
  <c r="H72" i="29"/>
  <c r="C46" i="23"/>
  <c r="E41" i="23"/>
  <c r="G40" i="23"/>
  <c r="F40" i="23"/>
  <c r="G39" i="23"/>
  <c r="C39" i="23"/>
  <c r="C41" i="23" s="1"/>
  <c r="G57" i="15"/>
  <c r="F57" i="15"/>
  <c r="G56" i="15"/>
  <c r="F56" i="15"/>
  <c r="F58" i="15" l="1"/>
  <c r="G58" i="15"/>
  <c r="J73" i="29"/>
  <c r="I56" i="15"/>
  <c r="J56" i="15" s="1"/>
  <c r="I57" i="15"/>
  <c r="C67" i="15" s="1"/>
  <c r="I40" i="23"/>
  <c r="J40" i="23" s="1"/>
  <c r="H40" i="23"/>
  <c r="F39" i="23"/>
  <c r="I39" i="23" s="1"/>
  <c r="F77" i="29"/>
  <c r="H77" i="29" s="1"/>
  <c r="G41" i="23"/>
  <c r="H57" i="15"/>
  <c r="J75" i="29"/>
  <c r="I76" i="29"/>
  <c r="H56" i="15"/>
  <c r="C61" i="15" l="1"/>
  <c r="H58" i="15"/>
  <c r="H39" i="23"/>
  <c r="J57" i="15"/>
  <c r="I58" i="15"/>
  <c r="J58" i="15" s="1"/>
  <c r="J39" i="23"/>
  <c r="I41" i="23"/>
  <c r="F41" i="23"/>
  <c r="H41" i="23" s="1"/>
  <c r="I77" i="29"/>
  <c r="J77" i="29" s="1"/>
  <c r="J76" i="29"/>
  <c r="J41" i="23" l="1"/>
  <c r="D83" i="3"/>
  <c r="G73" i="3"/>
  <c r="F73" i="3"/>
  <c r="G72" i="3"/>
  <c r="F72" i="3"/>
  <c r="F74" i="3" l="1"/>
  <c r="G74" i="3"/>
  <c r="I72" i="3"/>
  <c r="I73" i="3"/>
  <c r="J73" i="3" s="1"/>
  <c r="H73" i="3"/>
  <c r="H72" i="3"/>
  <c r="H74" i="3" l="1"/>
  <c r="J72" i="3"/>
  <c r="I74" i="3"/>
  <c r="J74" i="3" s="1"/>
  <c r="D64" i="21"/>
  <c r="H60" i="21"/>
  <c r="F60" i="21"/>
  <c r="E60" i="21"/>
  <c r="D60" i="21"/>
  <c r="B60" i="21"/>
  <c r="G59" i="21"/>
  <c r="I59" i="21" s="1"/>
  <c r="G58" i="21"/>
  <c r="J58" i="21" s="1"/>
  <c r="K58" i="21" s="1"/>
  <c r="G57" i="21"/>
  <c r="J57" i="21" s="1"/>
  <c r="K57" i="21" s="1"/>
  <c r="G56" i="21"/>
  <c r="I56" i="21" s="1"/>
  <c r="G55" i="21"/>
  <c r="J55" i="21" s="1"/>
  <c r="K55" i="21" s="1"/>
  <c r="G54" i="21"/>
  <c r="J54" i="21" s="1"/>
  <c r="K54" i="21" s="1"/>
  <c r="G53" i="21"/>
  <c r="I53" i="21" s="1"/>
  <c r="J53" i="21" l="1"/>
  <c r="K53" i="21" s="1"/>
  <c r="J56" i="21"/>
  <c r="K56" i="21" s="1"/>
  <c r="J59" i="21"/>
  <c r="K59" i="21" s="1"/>
  <c r="G60" i="21"/>
  <c r="I55" i="21"/>
  <c r="I58" i="21"/>
  <c r="I54" i="21"/>
  <c r="I57" i="21"/>
  <c r="E28" i="23"/>
  <c r="C28" i="23"/>
  <c r="B28" i="23"/>
  <c r="J60" i="21" l="1"/>
  <c r="K60" i="21" s="1"/>
  <c r="I60" i="21"/>
  <c r="C36" i="8"/>
  <c r="G58" i="2"/>
  <c r="I58" i="2" s="1"/>
  <c r="H57" i="2"/>
  <c r="H59" i="2" s="1"/>
  <c r="F57" i="2"/>
  <c r="F59" i="2" s="1"/>
  <c r="E57" i="2"/>
  <c r="E59" i="2" s="1"/>
  <c r="D57" i="2"/>
  <c r="D59" i="2" s="1"/>
  <c r="G55" i="2"/>
  <c r="J55" i="2" s="1"/>
  <c r="J58" i="2" l="1"/>
  <c r="K58" i="2" s="1"/>
  <c r="K55" i="2"/>
  <c r="I55" i="2"/>
  <c r="B25" i="15" l="1"/>
  <c r="B45" i="15"/>
  <c r="B29" i="14"/>
  <c r="C53" i="14"/>
  <c r="E46" i="14"/>
  <c r="B46" i="14"/>
  <c r="B49" i="14" s="1"/>
  <c r="B28" i="3"/>
  <c r="B52" i="3"/>
  <c r="C33" i="23" l="1"/>
  <c r="G27" i="23"/>
  <c r="F27" i="23"/>
  <c r="G26" i="23"/>
  <c r="F26" i="23"/>
  <c r="D66" i="3"/>
  <c r="D62" i="3"/>
  <c r="E52" i="3"/>
  <c r="D52" i="3"/>
  <c r="C52" i="3"/>
  <c r="G51" i="3"/>
  <c r="F51" i="3"/>
  <c r="G50" i="3"/>
  <c r="F50" i="3"/>
  <c r="I27" i="23" l="1"/>
  <c r="J27" i="23" s="1"/>
  <c r="G52" i="3"/>
  <c r="F52" i="3"/>
  <c r="G28" i="23"/>
  <c r="F28" i="23"/>
  <c r="I50" i="3"/>
  <c r="J50" i="3" s="1"/>
  <c r="I26" i="23"/>
  <c r="H26" i="23"/>
  <c r="H50" i="3"/>
  <c r="H27" i="23"/>
  <c r="H51" i="3"/>
  <c r="I51" i="3"/>
  <c r="H52" i="3" l="1"/>
  <c r="H28" i="23"/>
  <c r="J26" i="23"/>
  <c r="I28" i="23"/>
  <c r="J28" i="23" s="1"/>
  <c r="J51" i="3"/>
  <c r="I52" i="3"/>
  <c r="J52" i="3" s="1"/>
  <c r="E45" i="15" l="1"/>
  <c r="C45" i="15"/>
  <c r="G44" i="15"/>
  <c r="F44" i="15"/>
  <c r="G43" i="15"/>
  <c r="F43" i="15"/>
  <c r="I44" i="15" l="1"/>
  <c r="J44" i="15" s="1"/>
  <c r="H43" i="15"/>
  <c r="G45" i="15"/>
  <c r="I43" i="15"/>
  <c r="F45" i="15"/>
  <c r="H44" i="15"/>
  <c r="I45" i="15" l="1"/>
  <c r="J45" i="15" s="1"/>
  <c r="H45" i="15"/>
  <c r="C48" i="15"/>
  <c r="J43" i="15"/>
  <c r="E33" i="26" l="1"/>
  <c r="D33" i="26"/>
  <c r="B33" i="26"/>
  <c r="G32" i="26"/>
  <c r="F32" i="26"/>
  <c r="G31" i="26"/>
  <c r="C31" i="26"/>
  <c r="C33" i="26" s="1"/>
  <c r="C42" i="6"/>
  <c r="E34" i="6"/>
  <c r="D34" i="6"/>
  <c r="B34" i="6"/>
  <c r="G33" i="6"/>
  <c r="C33" i="6"/>
  <c r="F33" i="6" s="1"/>
  <c r="G32" i="6"/>
  <c r="C32" i="6"/>
  <c r="C34" i="6" l="1"/>
  <c r="F34" i="6" s="1"/>
  <c r="G34" i="6"/>
  <c r="G33" i="26"/>
  <c r="I33" i="6"/>
  <c r="J33" i="6" s="1"/>
  <c r="F31" i="26"/>
  <c r="F33" i="26" s="1"/>
  <c r="I32" i="26"/>
  <c r="J32" i="26" s="1"/>
  <c r="H32" i="26"/>
  <c r="H33" i="6"/>
  <c r="F32" i="6"/>
  <c r="I32" i="6" s="1"/>
  <c r="H48" i="14"/>
  <c r="F48" i="14"/>
  <c r="E48" i="14"/>
  <c r="E49" i="14" s="1"/>
  <c r="D48" i="14"/>
  <c r="G47" i="14"/>
  <c r="J47" i="14" s="1"/>
  <c r="H46" i="14"/>
  <c r="F46" i="14"/>
  <c r="D46" i="14"/>
  <c r="G45" i="14"/>
  <c r="I45" i="14" s="1"/>
  <c r="G44" i="14"/>
  <c r="I44" i="14" s="1"/>
  <c r="H33" i="26" l="1"/>
  <c r="H34" i="6"/>
  <c r="G46" i="14"/>
  <c r="I46" i="14" s="1"/>
  <c r="D49" i="14"/>
  <c r="I31" i="26"/>
  <c r="I33" i="26" s="1"/>
  <c r="J33" i="26" s="1"/>
  <c r="H31" i="26"/>
  <c r="J44" i="14"/>
  <c r="B67" i="14" s="1"/>
  <c r="H32" i="6"/>
  <c r="J32" i="6"/>
  <c r="I34" i="6"/>
  <c r="J34" i="6" s="1"/>
  <c r="J45" i="14"/>
  <c r="F49" i="14"/>
  <c r="G48" i="14"/>
  <c r="H49" i="14"/>
  <c r="J48" i="14"/>
  <c r="K47" i="14"/>
  <c r="I47" i="14"/>
  <c r="F40" i="25"/>
  <c r="I40" i="25" s="1"/>
  <c r="F39" i="25"/>
  <c r="C55" i="25"/>
  <c r="C50" i="25"/>
  <c r="G41" i="25"/>
  <c r="E41" i="25"/>
  <c r="D41" i="25"/>
  <c r="C41" i="25"/>
  <c r="B41" i="25"/>
  <c r="K44" i="14" l="1"/>
  <c r="G49" i="14"/>
  <c r="I49" i="14" s="1"/>
  <c r="K45" i="14"/>
  <c r="B68" i="14"/>
  <c r="G68" i="14" s="1"/>
  <c r="G67" i="14"/>
  <c r="J31" i="26"/>
  <c r="J46" i="14"/>
  <c r="K46" i="14" s="1"/>
  <c r="I48" i="14"/>
  <c r="K48" i="14"/>
  <c r="F41" i="25"/>
  <c r="H41" i="25" s="1"/>
  <c r="J40" i="25"/>
  <c r="I41" i="25"/>
  <c r="H40" i="25"/>
  <c r="F38" i="8"/>
  <c r="E35" i="8"/>
  <c r="D35" i="8"/>
  <c r="J49" i="14" l="1"/>
  <c r="K49" i="14" s="1"/>
  <c r="B69" i="14"/>
  <c r="G69" i="14" s="1"/>
  <c r="I67" i="14"/>
  <c r="J67" i="14"/>
  <c r="B87" i="14" s="1"/>
  <c r="J68" i="14"/>
  <c r="I68" i="14"/>
  <c r="F35" i="8"/>
  <c r="J41" i="25"/>
  <c r="B72" i="14" l="1"/>
  <c r="K68" i="14"/>
  <c r="B88" i="14"/>
  <c r="G88" i="14" s="1"/>
  <c r="G87" i="14"/>
  <c r="K67" i="14"/>
  <c r="J69" i="14"/>
  <c r="I69" i="14"/>
  <c r="G72" i="14"/>
  <c r="I72" i="14" s="1"/>
  <c r="J35" i="8"/>
  <c r="H35" i="8"/>
  <c r="B47" i="8"/>
  <c r="G39" i="8"/>
  <c r="C39" i="8"/>
  <c r="C40" i="8" s="1"/>
  <c r="B39" i="8"/>
  <c r="F39" i="8"/>
  <c r="G36" i="8"/>
  <c r="E36" i="8"/>
  <c r="E40" i="8" s="1"/>
  <c r="B36" i="8"/>
  <c r="D36" i="8"/>
  <c r="D40" i="8" s="1"/>
  <c r="B89" i="14" l="1"/>
  <c r="G89" i="14" s="1"/>
  <c r="G92" i="14" s="1"/>
  <c r="I92" i="14" s="1"/>
  <c r="J87" i="14"/>
  <c r="B108" i="14" s="1"/>
  <c r="I87" i="14"/>
  <c r="I88" i="14"/>
  <c r="J88" i="14"/>
  <c r="B40" i="8"/>
  <c r="K69" i="14"/>
  <c r="J72" i="14"/>
  <c r="K72" i="14" s="1"/>
  <c r="G40" i="8"/>
  <c r="H39" i="8"/>
  <c r="H38" i="8"/>
  <c r="I38" i="8"/>
  <c r="D48" i="21"/>
  <c r="H44" i="21"/>
  <c r="F44" i="21"/>
  <c r="E44" i="21"/>
  <c r="D44" i="21"/>
  <c r="B44" i="21"/>
  <c r="G43" i="21"/>
  <c r="J43" i="21" s="1"/>
  <c r="K43" i="21" s="1"/>
  <c r="G42" i="21"/>
  <c r="J42" i="21" s="1"/>
  <c r="K42" i="21" s="1"/>
  <c r="G41" i="21"/>
  <c r="J41" i="21" s="1"/>
  <c r="K41" i="21" s="1"/>
  <c r="G40" i="21"/>
  <c r="J40" i="21" s="1"/>
  <c r="K40" i="21" s="1"/>
  <c r="G39" i="21"/>
  <c r="J39" i="21" s="1"/>
  <c r="K39" i="21" s="1"/>
  <c r="G38" i="21"/>
  <c r="I38" i="21" s="1"/>
  <c r="G37" i="21"/>
  <c r="I89" i="14" l="1"/>
  <c r="K88" i="14"/>
  <c r="B109" i="14"/>
  <c r="G109" i="14" s="1"/>
  <c r="G108" i="14"/>
  <c r="K87" i="14"/>
  <c r="J89" i="14"/>
  <c r="J38" i="21"/>
  <c r="K38" i="21" s="1"/>
  <c r="J38" i="8"/>
  <c r="I39" i="8"/>
  <c r="F36" i="8"/>
  <c r="G44" i="21"/>
  <c r="J44" i="21" s="1"/>
  <c r="K44" i="21" s="1"/>
  <c r="I41" i="21"/>
  <c r="I37" i="21"/>
  <c r="I40" i="21"/>
  <c r="I43" i="21"/>
  <c r="J37" i="21"/>
  <c r="K37" i="21" s="1"/>
  <c r="I39" i="21"/>
  <c r="I42" i="21"/>
  <c r="C68" i="10"/>
  <c r="H63" i="10"/>
  <c r="F63" i="10"/>
  <c r="D63" i="10"/>
  <c r="B63" i="10"/>
  <c r="G62" i="10"/>
  <c r="J62" i="10" s="1"/>
  <c r="K62" i="10" s="1"/>
  <c r="G61" i="10"/>
  <c r="J61" i="10" s="1"/>
  <c r="K61" i="10" s="1"/>
  <c r="G60" i="10"/>
  <c r="J60" i="10" s="1"/>
  <c r="K60" i="10" s="1"/>
  <c r="G59" i="10"/>
  <c r="J59" i="10" s="1"/>
  <c r="K59" i="10" s="1"/>
  <c r="G58" i="10"/>
  <c r="J58" i="10" s="1"/>
  <c r="K58" i="10" s="1"/>
  <c r="G57" i="10"/>
  <c r="J57" i="10" s="1"/>
  <c r="K57" i="10" s="1"/>
  <c r="G56" i="10"/>
  <c r="J56" i="10" s="1"/>
  <c r="K56" i="10" s="1"/>
  <c r="G55" i="10"/>
  <c r="J55" i="10" s="1"/>
  <c r="K55" i="10" s="1"/>
  <c r="G54" i="10"/>
  <c r="J54" i="10" s="1"/>
  <c r="K54" i="10" s="1"/>
  <c r="G53" i="10"/>
  <c r="J53" i="10" s="1"/>
  <c r="K53" i="10" s="1"/>
  <c r="G52" i="10"/>
  <c r="J52" i="10" s="1"/>
  <c r="B110" i="14" l="1"/>
  <c r="G110" i="14" s="1"/>
  <c r="J108" i="14"/>
  <c r="I108" i="14"/>
  <c r="J109" i="14"/>
  <c r="I109" i="14"/>
  <c r="K89" i="14"/>
  <c r="J92" i="14"/>
  <c r="K92" i="14" s="1"/>
  <c r="J63" i="10"/>
  <c r="I40" i="8"/>
  <c r="J39" i="8"/>
  <c r="J36" i="8"/>
  <c r="H36" i="8"/>
  <c r="F40" i="8"/>
  <c r="H40" i="8" s="1"/>
  <c r="I44" i="21"/>
  <c r="I55" i="10"/>
  <c r="I54" i="10"/>
  <c r="I53" i="10"/>
  <c r="I56" i="10"/>
  <c r="G63" i="10"/>
  <c r="I63" i="10" s="1"/>
  <c r="K52" i="10"/>
  <c r="I52" i="10"/>
  <c r="I57" i="10"/>
  <c r="I58" i="10"/>
  <c r="I59" i="10"/>
  <c r="I60" i="10"/>
  <c r="I61" i="10"/>
  <c r="I62" i="10"/>
  <c r="G40" i="11"/>
  <c r="E40" i="11"/>
  <c r="D40" i="11"/>
  <c r="D41" i="11" s="1"/>
  <c r="C40" i="11"/>
  <c r="B40" i="11"/>
  <c r="F39" i="11"/>
  <c r="H39" i="11" s="1"/>
  <c r="G37" i="11"/>
  <c r="E37" i="11"/>
  <c r="C37" i="11"/>
  <c r="B37" i="11"/>
  <c r="F36" i="11"/>
  <c r="H36" i="11" s="1"/>
  <c r="B113" i="14" l="1"/>
  <c r="K109" i="14"/>
  <c r="B129" i="14"/>
  <c r="K108" i="14"/>
  <c r="J110" i="14"/>
  <c r="I110" i="14"/>
  <c r="G113" i="14"/>
  <c r="I113" i="14" s="1"/>
  <c r="G41" i="11"/>
  <c r="K63" i="10"/>
  <c r="I39" i="11"/>
  <c r="I40" i="11" s="1"/>
  <c r="J40" i="8"/>
  <c r="F37" i="11"/>
  <c r="B41" i="11"/>
  <c r="C41" i="11"/>
  <c r="I36" i="11"/>
  <c r="J36" i="11" s="1"/>
  <c r="F40" i="11"/>
  <c r="H40" i="11" s="1"/>
  <c r="C66" i="29"/>
  <c r="C64" i="29"/>
  <c r="G56" i="29"/>
  <c r="E56" i="29"/>
  <c r="D56" i="29"/>
  <c r="D57" i="29" s="1"/>
  <c r="C56" i="29"/>
  <c r="B56" i="29"/>
  <c r="F55" i="29"/>
  <c r="I55" i="29" s="1"/>
  <c r="G53" i="29"/>
  <c r="E53" i="29"/>
  <c r="C53" i="29"/>
  <c r="B53" i="29"/>
  <c r="F52" i="29"/>
  <c r="F53" i="29" s="1"/>
  <c r="C44" i="29"/>
  <c r="C40" i="29"/>
  <c r="G31" i="29"/>
  <c r="E31" i="29"/>
  <c r="D31" i="29"/>
  <c r="D32" i="29" s="1"/>
  <c r="C31" i="29"/>
  <c r="B31" i="29"/>
  <c r="F30" i="29"/>
  <c r="F31" i="29" s="1"/>
  <c r="G28" i="29"/>
  <c r="E28" i="29"/>
  <c r="C28" i="29"/>
  <c r="B28" i="29"/>
  <c r="F27" i="29"/>
  <c r="F28" i="29" s="1"/>
  <c r="B130" i="14" l="1"/>
  <c r="B133" i="14" s="1"/>
  <c r="G129" i="14"/>
  <c r="C57" i="29"/>
  <c r="J113" i="14"/>
  <c r="K113" i="14" s="1"/>
  <c r="K110" i="14"/>
  <c r="B57" i="29"/>
  <c r="E32" i="29"/>
  <c r="J39" i="11"/>
  <c r="C67" i="29"/>
  <c r="F32" i="29"/>
  <c r="B32" i="29"/>
  <c r="G32" i="29"/>
  <c r="E57" i="29"/>
  <c r="C45" i="11"/>
  <c r="C46" i="11" s="1"/>
  <c r="C32" i="29"/>
  <c r="G57" i="29"/>
  <c r="E41" i="11"/>
  <c r="F41" i="11"/>
  <c r="H41" i="11" s="1"/>
  <c r="I27" i="29"/>
  <c r="J27" i="29" s="1"/>
  <c r="H30" i="29"/>
  <c r="J40" i="11"/>
  <c r="H27" i="29"/>
  <c r="I30" i="29"/>
  <c r="I31" i="29" s="1"/>
  <c r="C45" i="29"/>
  <c r="H37" i="11"/>
  <c r="H28" i="29"/>
  <c r="I37" i="11"/>
  <c r="I41" i="11" s="1"/>
  <c r="I56" i="29"/>
  <c r="J55" i="29"/>
  <c r="F56" i="29"/>
  <c r="F57" i="29" s="1"/>
  <c r="H31" i="29"/>
  <c r="H52" i="29"/>
  <c r="H53" i="29"/>
  <c r="H55" i="29"/>
  <c r="I52" i="29"/>
  <c r="I129" i="14" l="1"/>
  <c r="J129" i="14"/>
  <c r="G130" i="14"/>
  <c r="G133" i="14" s="1"/>
  <c r="J30" i="29"/>
  <c r="I28" i="29"/>
  <c r="J28" i="29" s="1"/>
  <c r="H57" i="29"/>
  <c r="H32" i="29"/>
  <c r="J31" i="29"/>
  <c r="J37" i="11"/>
  <c r="J41" i="11"/>
  <c r="H56" i="29"/>
  <c r="J52" i="29"/>
  <c r="I53" i="29"/>
  <c r="I57" i="29" s="1"/>
  <c r="J57" i="29" s="1"/>
  <c r="J56" i="29"/>
  <c r="C34" i="25"/>
  <c r="C29" i="25"/>
  <c r="G20" i="25"/>
  <c r="E20" i="25"/>
  <c r="D20" i="25"/>
  <c r="C20" i="25"/>
  <c r="B20" i="25"/>
  <c r="F19" i="25"/>
  <c r="I19" i="25" s="1"/>
  <c r="F18" i="25"/>
  <c r="I32" i="29" l="1"/>
  <c r="J32" i="29" s="1"/>
  <c r="I130" i="14"/>
  <c r="I133" i="14"/>
  <c r="K129" i="14"/>
  <c r="J130" i="14"/>
  <c r="J133" i="14" s="1"/>
  <c r="J53" i="29"/>
  <c r="I20" i="25"/>
  <c r="J19" i="25"/>
  <c r="F20" i="25"/>
  <c r="H20" i="25" s="1"/>
  <c r="H19" i="25"/>
  <c r="E20" i="23"/>
  <c r="C20" i="23"/>
  <c r="B20" i="23"/>
  <c r="G35" i="2"/>
  <c r="J35" i="2" s="1"/>
  <c r="K35" i="2" s="1"/>
  <c r="H34" i="2"/>
  <c r="H36" i="2" s="1"/>
  <c r="F34" i="2"/>
  <c r="F36" i="2" s="1"/>
  <c r="E34" i="2"/>
  <c r="E36" i="2" s="1"/>
  <c r="D34" i="2"/>
  <c r="D36" i="2" s="1"/>
  <c r="B34" i="2"/>
  <c r="B36" i="2" s="1"/>
  <c r="G33" i="2"/>
  <c r="G34" i="2" s="1"/>
  <c r="J32" i="2"/>
  <c r="I32" i="2"/>
  <c r="C33" i="14"/>
  <c r="F28" i="14"/>
  <c r="E28" i="14"/>
  <c r="D28" i="14"/>
  <c r="H27" i="14"/>
  <c r="H28" i="14" s="1"/>
  <c r="G27" i="14"/>
  <c r="G28" i="14" s="1"/>
  <c r="F26" i="14"/>
  <c r="E26" i="14"/>
  <c r="D26" i="14"/>
  <c r="G25" i="14"/>
  <c r="I25" i="14" s="1"/>
  <c r="H24" i="14"/>
  <c r="H26" i="14" s="1"/>
  <c r="G24" i="14"/>
  <c r="K130" i="14" l="1"/>
  <c r="K133" i="14"/>
  <c r="D29" i="14"/>
  <c r="E29" i="14"/>
  <c r="J33" i="2"/>
  <c r="J25" i="14"/>
  <c r="K25" i="14" s="1"/>
  <c r="I24" i="14"/>
  <c r="J24" i="14"/>
  <c r="K24" i="14" s="1"/>
  <c r="G26" i="14"/>
  <c r="G29" i="14" s="1"/>
  <c r="J20" i="25"/>
  <c r="F29" i="14"/>
  <c r="I27" i="14"/>
  <c r="I33" i="2"/>
  <c r="I35" i="2"/>
  <c r="G36" i="2"/>
  <c r="I36" i="2" s="1"/>
  <c r="I34" i="2"/>
  <c r="K32" i="2"/>
  <c r="H29" i="14"/>
  <c r="I28" i="14"/>
  <c r="J27" i="14"/>
  <c r="K33" i="2" l="1"/>
  <c r="B56" i="2"/>
  <c r="J34" i="2"/>
  <c r="J36" i="2" s="1"/>
  <c r="K36" i="2" s="1"/>
  <c r="J26" i="14"/>
  <c r="K26" i="14" s="1"/>
  <c r="I26" i="14"/>
  <c r="I29" i="14"/>
  <c r="K27" i="14"/>
  <c r="J28" i="14"/>
  <c r="B57" i="2" l="1"/>
  <c r="B59" i="2" s="1"/>
  <c r="G56" i="2"/>
  <c r="K34" i="2"/>
  <c r="K28" i="14"/>
  <c r="J29" i="14"/>
  <c r="K29" i="14" s="1"/>
  <c r="G57" i="2" l="1"/>
  <c r="J56" i="2"/>
  <c r="I56" i="2"/>
  <c r="G20" i="6"/>
  <c r="K56" i="2" l="1"/>
  <c r="J57" i="2"/>
  <c r="G59" i="2"/>
  <c r="I59" i="2" s="1"/>
  <c r="I57" i="2"/>
  <c r="C47" i="10"/>
  <c r="H42" i="10"/>
  <c r="F42" i="10"/>
  <c r="D42" i="10"/>
  <c r="B42" i="10"/>
  <c r="G41" i="10"/>
  <c r="J41" i="10" s="1"/>
  <c r="K41" i="10" s="1"/>
  <c r="G40" i="10"/>
  <c r="J40" i="10" s="1"/>
  <c r="K40" i="10" s="1"/>
  <c r="G39" i="10"/>
  <c r="J39" i="10" s="1"/>
  <c r="K39" i="10" s="1"/>
  <c r="G38" i="10"/>
  <c r="J38" i="10" s="1"/>
  <c r="K38" i="10" s="1"/>
  <c r="G37" i="10"/>
  <c r="J37" i="10" s="1"/>
  <c r="K37" i="10" s="1"/>
  <c r="G36" i="10"/>
  <c r="J36" i="10" s="1"/>
  <c r="K36" i="10" s="1"/>
  <c r="G35" i="10"/>
  <c r="J35" i="10" s="1"/>
  <c r="K35" i="10" s="1"/>
  <c r="G34" i="10"/>
  <c r="J34" i="10" s="1"/>
  <c r="K34" i="10" s="1"/>
  <c r="G33" i="10"/>
  <c r="J33" i="10" s="1"/>
  <c r="K33" i="10" s="1"/>
  <c r="G32" i="10"/>
  <c r="J32" i="10" s="1"/>
  <c r="K32" i="10" s="1"/>
  <c r="G31" i="10"/>
  <c r="J59" i="2" l="1"/>
  <c r="K59" i="2" s="1"/>
  <c r="K57" i="2"/>
  <c r="G42" i="10"/>
  <c r="I42" i="10" s="1"/>
  <c r="I31" i="10"/>
  <c r="I33" i="10"/>
  <c r="I34" i="10"/>
  <c r="I35" i="10"/>
  <c r="I36" i="10"/>
  <c r="I37" i="10"/>
  <c r="I38" i="10"/>
  <c r="I39" i="10"/>
  <c r="I40" i="10"/>
  <c r="I41" i="10"/>
  <c r="J31" i="10"/>
  <c r="I32" i="10"/>
  <c r="B29" i="8"/>
  <c r="B28" i="8"/>
  <c r="G23" i="8"/>
  <c r="C23" i="8"/>
  <c r="C24" i="8" s="1"/>
  <c r="B23" i="8"/>
  <c r="F22" i="8"/>
  <c r="F23" i="8" s="1"/>
  <c r="G20" i="8"/>
  <c r="E20" i="8"/>
  <c r="E24" i="8" s="1"/>
  <c r="B20" i="8"/>
  <c r="D19" i="8"/>
  <c r="D20" i="8" s="1"/>
  <c r="D24" i="8" s="1"/>
  <c r="B30" i="8" l="1"/>
  <c r="G24" i="8"/>
  <c r="B24" i="8"/>
  <c r="K31" i="10"/>
  <c r="J42" i="10"/>
  <c r="K42" i="10" s="1"/>
  <c r="H23" i="8"/>
  <c r="H22" i="8"/>
  <c r="F19" i="8"/>
  <c r="I22" i="8"/>
  <c r="J22" i="8" l="1"/>
  <c r="I23" i="8"/>
  <c r="H19" i="8"/>
  <c r="F20" i="8"/>
  <c r="J19" i="8"/>
  <c r="I24" i="8" l="1"/>
  <c r="J23" i="8"/>
  <c r="J20" i="8"/>
  <c r="H20" i="8"/>
  <c r="F24" i="8"/>
  <c r="H24" i="8" s="1"/>
  <c r="J24" i="8" l="1"/>
  <c r="G24" i="11" l="1"/>
  <c r="E24" i="11"/>
  <c r="D24" i="11"/>
  <c r="D25" i="11" s="1"/>
  <c r="C24" i="11"/>
  <c r="B24" i="11"/>
  <c r="F23" i="11"/>
  <c r="F24" i="11" s="1"/>
  <c r="G21" i="11"/>
  <c r="E21" i="11"/>
  <c r="C21" i="11"/>
  <c r="B21" i="11"/>
  <c r="F20" i="11"/>
  <c r="F21" i="11" s="1"/>
  <c r="H21" i="11" s="1"/>
  <c r="C25" i="11" l="1"/>
  <c r="G25" i="11"/>
  <c r="H20" i="11"/>
  <c r="H24" i="11"/>
  <c r="I20" i="11"/>
  <c r="J20" i="11" s="1"/>
  <c r="H23" i="11"/>
  <c r="B25" i="11"/>
  <c r="I23" i="11"/>
  <c r="I24" i="11" s="1"/>
  <c r="J24" i="11" s="1"/>
  <c r="F25" i="11"/>
  <c r="H25" i="11" l="1"/>
  <c r="E25" i="11"/>
  <c r="J23" i="11"/>
  <c r="I21" i="11"/>
  <c r="J21" i="11" s="1"/>
  <c r="C29" i="11"/>
  <c r="C30" i="11" s="1"/>
  <c r="I25" i="11" l="1"/>
  <c r="J25" i="11" s="1"/>
  <c r="F19" i="23"/>
  <c r="I19" i="23" s="1"/>
  <c r="G18" i="23"/>
  <c r="G20" i="23" s="1"/>
  <c r="F18" i="23"/>
  <c r="D44" i="3"/>
  <c r="D40" i="3"/>
  <c r="E28" i="3"/>
  <c r="D28" i="3"/>
  <c r="C28" i="3"/>
  <c r="G27" i="3"/>
  <c r="F27" i="3"/>
  <c r="G26" i="3"/>
  <c r="F26" i="3"/>
  <c r="F20" i="23" l="1"/>
  <c r="H20" i="23" s="1"/>
  <c r="G28" i="3"/>
  <c r="H27" i="3"/>
  <c r="H18" i="23"/>
  <c r="I26" i="3"/>
  <c r="J26" i="3" s="1"/>
  <c r="H26" i="3"/>
  <c r="I27" i="3"/>
  <c r="J27" i="3" s="1"/>
  <c r="J19" i="23"/>
  <c r="I18" i="23"/>
  <c r="I20" i="23" s="1"/>
  <c r="H19" i="23"/>
  <c r="F28" i="3"/>
  <c r="J20" i="23" l="1"/>
  <c r="H28" i="3"/>
  <c r="I28" i="3"/>
  <c r="J28" i="3" s="1"/>
  <c r="J18" i="23"/>
  <c r="E25" i="15"/>
  <c r="C25" i="15"/>
  <c r="G24" i="15"/>
  <c r="F24" i="15"/>
  <c r="G23" i="15"/>
  <c r="F23" i="15"/>
  <c r="I23" i="15" l="1"/>
  <c r="J23" i="15" s="1"/>
  <c r="H24" i="15"/>
  <c r="G25" i="15"/>
  <c r="I24" i="15"/>
  <c r="C35" i="15" s="1"/>
  <c r="F25" i="15"/>
  <c r="H23" i="15"/>
  <c r="C28" i="15" l="1"/>
  <c r="J24" i="15"/>
  <c r="I25" i="15"/>
  <c r="J25" i="15" s="1"/>
  <c r="H25" i="15"/>
  <c r="C26" i="6" l="1"/>
  <c r="E20" i="6"/>
  <c r="D20" i="6"/>
  <c r="B20" i="6"/>
  <c r="F19" i="6"/>
  <c r="H19" i="6" s="1"/>
  <c r="C18" i="6"/>
  <c r="C20" i="6" s="1"/>
  <c r="C25" i="26"/>
  <c r="D19" i="26"/>
  <c r="B19" i="26"/>
  <c r="G18" i="26"/>
  <c r="F18" i="26"/>
  <c r="E17" i="26"/>
  <c r="E19" i="26" s="1"/>
  <c r="C17" i="26"/>
  <c r="F17" i="26" l="1"/>
  <c r="F19" i="26" s="1"/>
  <c r="G17" i="26"/>
  <c r="G19" i="26" s="1"/>
  <c r="I18" i="26"/>
  <c r="J18" i="26" s="1"/>
  <c r="F18" i="6"/>
  <c r="I19" i="6"/>
  <c r="J19" i="6" s="1"/>
  <c r="H18" i="26"/>
  <c r="C19" i="26"/>
  <c r="D32" i="21"/>
  <c r="H28" i="21"/>
  <c r="F28" i="21"/>
  <c r="E28" i="21"/>
  <c r="D28" i="21"/>
  <c r="B28" i="21"/>
  <c r="G27" i="21"/>
  <c r="I27" i="21" s="1"/>
  <c r="G26" i="21"/>
  <c r="J26" i="21" s="1"/>
  <c r="K26" i="21" s="1"/>
  <c r="G25" i="21"/>
  <c r="J25" i="21" s="1"/>
  <c r="K25" i="21" s="1"/>
  <c r="G24" i="21"/>
  <c r="I24" i="21" s="1"/>
  <c r="G23" i="21"/>
  <c r="J23" i="21" s="1"/>
  <c r="K23" i="21" s="1"/>
  <c r="G22" i="21"/>
  <c r="J22" i="21" s="1"/>
  <c r="K22" i="21" s="1"/>
  <c r="G21" i="21"/>
  <c r="J21" i="21" s="1"/>
  <c r="K21" i="21" s="1"/>
  <c r="H17" i="26" l="1"/>
  <c r="I22" i="21"/>
  <c r="H18" i="6"/>
  <c r="F20" i="6"/>
  <c r="H20" i="6" s="1"/>
  <c r="I17" i="26"/>
  <c r="I19" i="26" s="1"/>
  <c r="J19" i="26" s="1"/>
  <c r="J24" i="21"/>
  <c r="K24" i="21" s="1"/>
  <c r="I21" i="21"/>
  <c r="H19" i="26"/>
  <c r="I25" i="21"/>
  <c r="J27" i="21"/>
  <c r="K27" i="21" s="1"/>
  <c r="I18" i="6"/>
  <c r="J18" i="6" s="1"/>
  <c r="G28" i="21"/>
  <c r="J28" i="21" s="1"/>
  <c r="K28" i="21" s="1"/>
  <c r="I23" i="21"/>
  <c r="I26" i="21"/>
  <c r="B6" i="23"/>
  <c r="E6" i="15"/>
  <c r="C6" i="15"/>
  <c r="B6" i="15"/>
  <c r="B6" i="3"/>
  <c r="J17" i="26" l="1"/>
  <c r="I20" i="6"/>
  <c r="J20" i="6" s="1"/>
  <c r="I28" i="21"/>
  <c r="C13" i="25"/>
  <c r="C11" i="25"/>
  <c r="G6" i="25"/>
  <c r="E6" i="25"/>
  <c r="D6" i="25"/>
  <c r="C6" i="25"/>
  <c r="B6" i="25"/>
  <c r="F5" i="25"/>
  <c r="J5" i="25" s="1"/>
  <c r="F4" i="25"/>
  <c r="H4" i="25" s="1"/>
  <c r="B15" i="8"/>
  <c r="G8" i="8"/>
  <c r="C8" i="8"/>
  <c r="C9" i="8" s="1"/>
  <c r="B8" i="8"/>
  <c r="F7" i="8"/>
  <c r="I7" i="8" s="1"/>
  <c r="J7" i="8" s="1"/>
  <c r="G5" i="8"/>
  <c r="E5" i="8"/>
  <c r="E9" i="8" s="1"/>
  <c r="B5" i="8"/>
  <c r="D4" i="8"/>
  <c r="F4" i="8" s="1"/>
  <c r="F5" i="8" s="1"/>
  <c r="C14" i="25" l="1"/>
  <c r="D5" i="8"/>
  <c r="D9" i="8" s="1"/>
  <c r="B9" i="8"/>
  <c r="I4" i="25"/>
  <c r="J4" i="25" s="1"/>
  <c r="F6" i="25"/>
  <c r="H6" i="25" s="1"/>
  <c r="H7" i="8"/>
  <c r="F8" i="8"/>
  <c r="F9" i="8" s="1"/>
  <c r="H5" i="25"/>
  <c r="G9" i="8"/>
  <c r="I5" i="8"/>
  <c r="J5" i="8" s="1"/>
  <c r="H5" i="8"/>
  <c r="I8" i="8"/>
  <c r="H4" i="8"/>
  <c r="J4" i="8"/>
  <c r="C19" i="29"/>
  <c r="C16" i="29"/>
  <c r="G8" i="29"/>
  <c r="E8" i="29"/>
  <c r="D8" i="29"/>
  <c r="D9" i="29" s="1"/>
  <c r="C8" i="29"/>
  <c r="B8" i="29"/>
  <c r="F7" i="29"/>
  <c r="H7" i="29" s="1"/>
  <c r="G5" i="29"/>
  <c r="E5" i="29"/>
  <c r="C5" i="29"/>
  <c r="B5" i="29"/>
  <c r="F4" i="29"/>
  <c r="H4" i="29" s="1"/>
  <c r="H8" i="8" l="1"/>
  <c r="B9" i="29"/>
  <c r="C9" i="29"/>
  <c r="G9" i="29"/>
  <c r="E9" i="29"/>
  <c r="H9" i="8"/>
  <c r="I6" i="25"/>
  <c r="J6" i="25" s="1"/>
  <c r="I7" i="29"/>
  <c r="I8" i="29" s="1"/>
  <c r="C20" i="29"/>
  <c r="I4" i="29"/>
  <c r="J4" i="29" s="1"/>
  <c r="F5" i="29"/>
  <c r="H5" i="29" s="1"/>
  <c r="I9" i="8"/>
  <c r="J9" i="8" s="1"/>
  <c r="J8" i="8"/>
  <c r="F8" i="29"/>
  <c r="I5" i="29" l="1"/>
  <c r="J5" i="29" s="1"/>
  <c r="J7" i="29"/>
  <c r="F9" i="29"/>
  <c r="H9" i="29" s="1"/>
  <c r="H8" i="29"/>
  <c r="J8" i="29"/>
  <c r="I9" i="29" l="1"/>
  <c r="J9" i="29" s="1"/>
  <c r="C21" i="10"/>
  <c r="H15" i="10"/>
  <c r="G12" i="10"/>
  <c r="I12" i="10" s="1"/>
  <c r="G13" i="10"/>
  <c r="J13" i="10" s="1"/>
  <c r="G14" i="10"/>
  <c r="J14" i="10" s="1"/>
  <c r="F15" i="10"/>
  <c r="G5" i="10"/>
  <c r="J5" i="10" s="1"/>
  <c r="G6" i="10"/>
  <c r="J6" i="10" s="1"/>
  <c r="G9" i="10"/>
  <c r="J9" i="10" s="1"/>
  <c r="G10" i="10"/>
  <c r="J10" i="10" s="1"/>
  <c r="D15" i="10"/>
  <c r="G7" i="10"/>
  <c r="J7" i="10" s="1"/>
  <c r="G8" i="10"/>
  <c r="I8" i="10" s="1"/>
  <c r="G11" i="10"/>
  <c r="J11" i="10" s="1"/>
  <c r="G4" i="10"/>
  <c r="B15" i="10"/>
  <c r="G15" i="10" l="1"/>
  <c r="I15" i="10" s="1"/>
  <c r="J12" i="10"/>
  <c r="K12" i="10" s="1"/>
  <c r="J4" i="10"/>
  <c r="J8" i="10"/>
  <c r="K8" i="10" s="1"/>
  <c r="K11" i="10"/>
  <c r="K7" i="10"/>
  <c r="I11" i="10"/>
  <c r="I7" i="10"/>
  <c r="K14" i="10"/>
  <c r="I14" i="10"/>
  <c r="I10" i="10"/>
  <c r="K6" i="10"/>
  <c r="I6" i="10"/>
  <c r="K13" i="10"/>
  <c r="I13" i="10"/>
  <c r="I9" i="10"/>
  <c r="K9" i="10"/>
  <c r="I5" i="10"/>
  <c r="K5" i="10"/>
  <c r="I4" i="10"/>
  <c r="K4" i="10" l="1"/>
  <c r="J15" i="10"/>
  <c r="K15" i="10" s="1"/>
  <c r="K10" i="10"/>
  <c r="G13" i="2" l="1"/>
  <c r="J13" i="2" s="1"/>
  <c r="K13" i="2" s="1"/>
  <c r="H12" i="2"/>
  <c r="H14" i="2" s="1"/>
  <c r="F12" i="2"/>
  <c r="F14" i="2" s="1"/>
  <c r="E12" i="2"/>
  <c r="E14" i="2" s="1"/>
  <c r="D12" i="2"/>
  <c r="D14" i="2" s="1"/>
  <c r="B12" i="2"/>
  <c r="B14" i="2" s="1"/>
  <c r="G11" i="2"/>
  <c r="I11" i="2" s="1"/>
  <c r="G10" i="2"/>
  <c r="G6" i="2"/>
  <c r="I6" i="2" s="1"/>
  <c r="H5" i="2"/>
  <c r="H7" i="2" s="1"/>
  <c r="F5" i="2"/>
  <c r="F7" i="2" s="1"/>
  <c r="D5" i="2"/>
  <c r="D7" i="2" s="1"/>
  <c r="B5" i="2"/>
  <c r="B7" i="2" s="1"/>
  <c r="G4" i="2"/>
  <c r="J4" i="2" s="1"/>
  <c r="K4" i="2" s="1"/>
  <c r="E3" i="2"/>
  <c r="E5" i="2" s="1"/>
  <c r="E7" i="2" s="1"/>
  <c r="H8" i="14"/>
  <c r="F8" i="14"/>
  <c r="E8" i="14"/>
  <c r="D8" i="14"/>
  <c r="B8" i="14"/>
  <c r="G7" i="14"/>
  <c r="I7" i="14" s="1"/>
  <c r="H6" i="14"/>
  <c r="E6" i="14"/>
  <c r="D6" i="14"/>
  <c r="B6" i="14"/>
  <c r="F5" i="14"/>
  <c r="F4" i="14"/>
  <c r="G4" i="14" s="1"/>
  <c r="J4" i="14" s="1"/>
  <c r="G12" i="2" l="1"/>
  <c r="G14" i="2" s="1"/>
  <c r="I14" i="2" s="1"/>
  <c r="E9" i="14"/>
  <c r="F6" i="14"/>
  <c r="F9" i="14" s="1"/>
  <c r="J11" i="2"/>
  <c r="K11" i="2" s="1"/>
  <c r="H9" i="14"/>
  <c r="J10" i="2"/>
  <c r="K10" i="2" s="1"/>
  <c r="I4" i="2"/>
  <c r="I10" i="2"/>
  <c r="D9" i="14"/>
  <c r="J6" i="2"/>
  <c r="K6" i="2" s="1"/>
  <c r="G3" i="2"/>
  <c r="I13" i="2"/>
  <c r="J7" i="14"/>
  <c r="K7" i="14" s="1"/>
  <c r="B9" i="14"/>
  <c r="K4" i="14"/>
  <c r="G5" i="14"/>
  <c r="G6" i="14" s="1"/>
  <c r="I6" i="14" s="1"/>
  <c r="I4" i="14"/>
  <c r="G8" i="14"/>
  <c r="I12" i="2" l="1"/>
  <c r="J8" i="14"/>
  <c r="K8" i="14" s="1"/>
  <c r="J12" i="2"/>
  <c r="J3" i="2"/>
  <c r="I3" i="2"/>
  <c r="G5" i="2"/>
  <c r="J5" i="14"/>
  <c r="I5" i="14"/>
  <c r="G9" i="14"/>
  <c r="I9" i="14" s="1"/>
  <c r="I8" i="14"/>
  <c r="J14" i="2" l="1"/>
  <c r="K14" i="2" s="1"/>
  <c r="K12" i="2"/>
  <c r="G7" i="2"/>
  <c r="I7" i="2" s="1"/>
  <c r="I5" i="2"/>
  <c r="J5" i="2"/>
  <c r="K3" i="2"/>
  <c r="K5" i="14"/>
  <c r="J6" i="14"/>
  <c r="J7" i="2" l="1"/>
  <c r="K7" i="2" s="1"/>
  <c r="K5" i="2"/>
  <c r="K6" i="14"/>
  <c r="J9" i="14"/>
  <c r="K9" i="14" s="1"/>
  <c r="C11" i="26" l="1"/>
  <c r="E6" i="26"/>
  <c r="D6" i="26"/>
  <c r="B6" i="26"/>
  <c r="G5" i="26"/>
  <c r="F5" i="26"/>
  <c r="G4" i="26"/>
  <c r="C4" i="26"/>
  <c r="C6" i="26" s="1"/>
  <c r="G6" i="26" l="1"/>
  <c r="H5" i="26"/>
  <c r="F4" i="26"/>
  <c r="H4" i="26" s="1"/>
  <c r="I5" i="26"/>
  <c r="J5" i="26" s="1"/>
  <c r="C13" i="6"/>
  <c r="E6" i="6"/>
  <c r="D6" i="6"/>
  <c r="B6" i="6"/>
  <c r="F5" i="6"/>
  <c r="H5" i="6" s="1"/>
  <c r="G4" i="6"/>
  <c r="G6" i="6" s="1"/>
  <c r="C4" i="6"/>
  <c r="F4" i="6" s="1"/>
  <c r="I4" i="6" l="1"/>
  <c r="J4" i="6" s="1"/>
  <c r="I4" i="26"/>
  <c r="F6" i="26"/>
  <c r="H6" i="26" s="1"/>
  <c r="C6" i="6"/>
  <c r="F6" i="6" s="1"/>
  <c r="H6" i="6" s="1"/>
  <c r="H4" i="6"/>
  <c r="I5" i="6"/>
  <c r="J5" i="6" s="1"/>
  <c r="C12" i="23"/>
  <c r="E6" i="23"/>
  <c r="C5" i="23"/>
  <c r="G4" i="23"/>
  <c r="G6" i="23" s="1"/>
  <c r="F4" i="23"/>
  <c r="F5" i="23" l="1"/>
  <c r="H5" i="23" s="1"/>
  <c r="C6" i="23"/>
  <c r="I4" i="23"/>
  <c r="I6" i="26"/>
  <c r="J6" i="26" s="1"/>
  <c r="J4" i="26"/>
  <c r="I6" i="6"/>
  <c r="J6" i="6" s="1"/>
  <c r="H4" i="23"/>
  <c r="G5" i="15"/>
  <c r="F5" i="15"/>
  <c r="G4" i="15"/>
  <c r="F4" i="15"/>
  <c r="I5" i="23" l="1"/>
  <c r="I6" i="23" s="1"/>
  <c r="F6" i="23"/>
  <c r="H6" i="23" s="1"/>
  <c r="G6" i="15"/>
  <c r="J4" i="23"/>
  <c r="F6" i="15"/>
  <c r="I4" i="15"/>
  <c r="I5" i="15"/>
  <c r="C16" i="15" s="1"/>
  <c r="H5" i="15"/>
  <c r="J5" i="23"/>
  <c r="H4" i="15"/>
  <c r="J6" i="23" l="1"/>
  <c r="J4" i="15"/>
  <c r="I6" i="15"/>
  <c r="J6" i="15" s="1"/>
  <c r="H6" i="15"/>
  <c r="C9" i="15"/>
  <c r="J5" i="15"/>
  <c r="D20" i="3"/>
  <c r="D12" i="3"/>
  <c r="D16" i="3" s="1"/>
  <c r="E6" i="3"/>
  <c r="C6" i="3"/>
  <c r="G5" i="3"/>
  <c r="F5" i="3"/>
  <c r="D4" i="3"/>
  <c r="F4" i="3" s="1"/>
  <c r="I5" i="3" l="1"/>
  <c r="J5" i="3" s="1"/>
  <c r="H5" i="3"/>
  <c r="F6" i="3"/>
  <c r="G4" i="3"/>
  <c r="D6" i="3"/>
  <c r="G8" i="11"/>
  <c r="E8" i="11"/>
  <c r="D8" i="11"/>
  <c r="D9" i="11" s="1"/>
  <c r="C8" i="11"/>
  <c r="B8" i="11"/>
  <c r="F7" i="11"/>
  <c r="I7" i="11" s="1"/>
  <c r="G5" i="11"/>
  <c r="E5" i="11"/>
  <c r="C5" i="11"/>
  <c r="B5" i="11"/>
  <c r="F4" i="11"/>
  <c r="F5" i="11" s="1"/>
  <c r="G9" i="11" l="1"/>
  <c r="E9" i="11"/>
  <c r="B9" i="11"/>
  <c r="C9" i="11"/>
  <c r="G6" i="3"/>
  <c r="H6" i="3" s="1"/>
  <c r="H4" i="3"/>
  <c r="I4" i="3"/>
  <c r="I8" i="11"/>
  <c r="J7" i="11"/>
  <c r="F8" i="11"/>
  <c r="F9" i="11" s="1"/>
  <c r="H4" i="11"/>
  <c r="H5" i="11"/>
  <c r="H7" i="11"/>
  <c r="I4" i="11"/>
  <c r="D15" i="21"/>
  <c r="H11" i="21"/>
  <c r="F11" i="21"/>
  <c r="E11" i="21"/>
  <c r="D11" i="21"/>
  <c r="B11" i="21"/>
  <c r="G10" i="21"/>
  <c r="J10" i="21" s="1"/>
  <c r="K10" i="21" s="1"/>
  <c r="G9" i="21"/>
  <c r="J9" i="21" s="1"/>
  <c r="K9" i="21" s="1"/>
  <c r="G8" i="21"/>
  <c r="J8" i="21" s="1"/>
  <c r="K8" i="21" s="1"/>
  <c r="G7" i="21"/>
  <c r="J7" i="21" s="1"/>
  <c r="K7" i="21" s="1"/>
  <c r="G6" i="21"/>
  <c r="J6" i="21" s="1"/>
  <c r="K6" i="21" s="1"/>
  <c r="G5" i="21"/>
  <c r="I5" i="21" s="1"/>
  <c r="G4" i="21"/>
  <c r="J5" i="21" l="1"/>
  <c r="K5" i="21" s="1"/>
  <c r="H9" i="11"/>
  <c r="J4" i="3"/>
  <c r="I6" i="3"/>
  <c r="J6" i="3" s="1"/>
  <c r="I8" i="21"/>
  <c r="G11" i="21"/>
  <c r="J11" i="21" s="1"/>
  <c r="K11" i="21" s="1"/>
  <c r="J4" i="11"/>
  <c r="C13" i="11"/>
  <c r="C14" i="11" s="1"/>
  <c r="I5" i="11"/>
  <c r="H8" i="11"/>
  <c r="J8" i="11"/>
  <c r="I4" i="21"/>
  <c r="I7" i="21"/>
  <c r="I10" i="21"/>
  <c r="J4" i="21"/>
  <c r="K4" i="21" s="1"/>
  <c r="I6" i="21"/>
  <c r="I9" i="21"/>
  <c r="F3" i="9"/>
  <c r="H3" i="9" s="1"/>
  <c r="F6" i="9"/>
  <c r="H6" i="9" s="1"/>
  <c r="F9" i="9"/>
  <c r="H9" i="9" s="1"/>
  <c r="I11" i="21" l="1"/>
  <c r="J5" i="11"/>
  <c r="I9" i="11"/>
  <c r="J9" i="11" s="1"/>
</calcChain>
</file>

<file path=xl/comments1.xml><?xml version="1.0" encoding="utf-8"?>
<comments xmlns="http://schemas.openxmlformats.org/spreadsheetml/2006/main">
  <authors>
    <author>AccIm</author>
  </authors>
  <commentList>
    <comment ref="E23" authorId="0">
      <text>
        <r>
          <rPr>
            <sz val="9"/>
            <color indexed="81"/>
            <rFont val="Tahoma"/>
            <family val="2"/>
          </rPr>
          <t xml:space="preserve">ร้านค้ามียอดคืน CN ที่หักผิด
รอบโอนเดือน 1/64
</t>
        </r>
      </text>
    </comment>
  </commentList>
</comments>
</file>

<file path=xl/comments2.xml><?xml version="1.0" encoding="utf-8"?>
<comments xmlns="http://schemas.openxmlformats.org/spreadsheetml/2006/main">
  <authors>
    <author>AccIm</author>
  </authors>
  <commentList>
    <comment ref="C4" authorId="0">
      <text>
        <r>
          <rPr>
            <sz val="9"/>
            <color indexed="81"/>
            <rFont val="Tahoma"/>
            <family val="2"/>
          </rPr>
          <t>บวกยอดที่ลูกค้าจ่ายมา เนื่องจากเป็นบิลเปิดขายหลังร้านบิลสินค้าไฮนซ์เดือน  12/63= 1,115,793.75
 (Vendor 8008770)</t>
        </r>
      </text>
    </comment>
    <comment ref="C25" authorId="0">
      <text>
        <r>
          <rPr>
            <sz val="9"/>
            <color indexed="81"/>
            <rFont val="Tahoma"/>
            <family val="2"/>
          </rPr>
          <t>บวกยอดที่ลูกค้าจ่ายมา เนื่องจากเป็นบิลเปิดขายหลังร้านบิลสินค้าไฮนซ์เดือน  02/64= 146,502.47
 (Vendor 8008770)</t>
        </r>
      </text>
    </comment>
    <comment ref="C47" authorId="0">
      <text>
        <r>
          <rPr>
            <sz val="9"/>
            <color indexed="81"/>
            <rFont val="Tahoma"/>
            <family val="2"/>
          </rPr>
          <t>บวกยอดที่ลูกค้าจ่ายมา เนื่องจากเป็นบิลเปิดขายหลังร้านบิลสินค้าไฮนซ์เดือน  02/64= 293,629.93 , 03/64= 411,081.91
 (Vendor 8008770)</t>
        </r>
      </text>
    </comment>
    <comment ref="C67" authorId="0">
      <text>
        <r>
          <rPr>
            <sz val="9"/>
            <color indexed="81"/>
            <rFont val="Tahoma"/>
            <family val="2"/>
          </rPr>
          <t>บวกยอดที่ลูกค้าจ่ายมา เนื่องจากเป็นบิลเปิดขายหลังร้านบิลสินค้าไฮนซ์เดือน  03/64= 616,310.37 , 04/64= 352,355.92
 (Vendor 8008770)</t>
        </r>
      </text>
    </comment>
    <comment ref="C89" authorId="0">
      <text>
        <r>
          <rPr>
            <sz val="9"/>
            <color indexed="81"/>
            <rFont val="Tahoma"/>
            <family val="2"/>
          </rPr>
          <t>บวกยอดที่ลูกค้าจ่ายมา เนื่องจากเป็นบิลเปิดขายหลังร้านบิลสินค้าไฮนซ์เดือน  04/64= 117,451.97 , 05/64= 205,228.46
 (Vendor 8008770)</t>
        </r>
      </text>
    </comment>
    <comment ref="C110" authorId="0">
      <text>
        <r>
          <rPr>
            <sz val="9"/>
            <color indexed="81"/>
            <rFont val="Tahoma"/>
            <family val="2"/>
          </rPr>
          <t>บวกยอดที่ลูกค้าจ่ายมา เนื่องจากเป็นบิลเปิดขายหลังร้านบิลสินค้าไฮนซ์เดือน  05/64= 440,132.4 06/64= 232,795.19
 (Vendor 8008770)</t>
        </r>
      </text>
    </comment>
    <comment ref="C132" authorId="0">
      <text>
        <r>
          <rPr>
            <sz val="9"/>
            <color indexed="81"/>
            <rFont val="Tahoma"/>
            <family val="2"/>
          </rPr>
          <t>บวกยอดที่ลูกค้าจ่ายมา เนื่องจากเป็นบิลเปิดขายหลังร้านบิลสินค้าไฮนซ์เดือน  06/64= 587,259.87 07/64= 165,791.55
 (Vendor 8008770)</t>
        </r>
      </text>
    </comment>
    <comment ref="C135" authorId="0">
      <text>
        <r>
          <rPr>
            <sz val="9"/>
            <color indexed="81"/>
            <rFont val="Tahoma"/>
            <family val="2"/>
          </rPr>
          <t xml:space="preserve">ยอดขายเดือน 4+5/64
</t>
        </r>
      </text>
    </comment>
    <comment ref="C155" authorId="0">
      <text>
        <r>
          <rPr>
            <sz val="9"/>
            <color indexed="81"/>
            <rFont val="Tahoma"/>
            <family val="2"/>
          </rPr>
          <t xml:space="preserve">บวกยอดที่ลูกค้าจ่ายมา เนื่องจากเป็นบิลเปิดขายหลังร้านบิลสินค้าไฮนซ์เดือน  07/64= 411,081.91 08/64= 96,054.15
 (Vendor 8008770)
</t>
        </r>
      </text>
    </comment>
    <comment ref="C182" authorId="0">
      <text>
        <r>
          <rPr>
            <sz val="9"/>
            <color indexed="81"/>
            <rFont val="Tahoma"/>
            <family val="2"/>
          </rPr>
          <t xml:space="preserve">บวกยอดที่ลูกค้าจ่ายมา เนื่องจากเป็นบิลเปิดขายหลังร้านบิลสินค้าไฮนซ์เดือน  08/64= 293,629.96 เดือน09/64= 469,807.89
 (Vendor 8008770)
</t>
        </r>
      </text>
    </comment>
    <comment ref="C208" authorId="0">
      <text>
        <r>
          <rPr>
            <sz val="9"/>
            <color indexed="81"/>
            <rFont val="Tahoma"/>
            <family val="2"/>
          </rPr>
          <t xml:space="preserve">บวกยอดที่ลูกค้าจ่ายมา เนื่องจากเป็นบิลเปิดขายหลังร้านบิลสินค้าไฮนซ์เดือน  09/64= 176,177.96 เดือน10/64= 498,858.39
 (Vendor 8008770)
</t>
        </r>
      </text>
    </comment>
    <comment ref="C236" authorId="0">
      <text>
        <r>
          <rPr>
            <sz val="9"/>
            <color indexed="81"/>
            <rFont val="Tahoma"/>
            <family val="2"/>
          </rPr>
          <t xml:space="preserve">บวกยอดที่ลูกค้าจ่ายมา เนื่องจากเป็นบิลเปิดขายหลังร้านบิลสินค้าไฮนซ์เดือน  10/64= 176,177.96 เดือน11/64= 117,451.97
 (Vendor 8008770)
</t>
        </r>
      </text>
    </comment>
    <comment ref="C264" authorId="0">
      <text>
        <r>
          <rPr>
            <sz val="9"/>
            <color indexed="81"/>
            <rFont val="Tahoma"/>
            <family val="2"/>
          </rPr>
          <t xml:space="preserve">
บวกยอดที่ลูกค้าจ่ายมา เนื่องจากเป็นบิลเปิดขายหลังร้านบิลสินค้าไฮนซ์เดือน  11/64= 528,533.88 เดือน12/64= 411,081.91
 (Vendor 8008770)
</t>
        </r>
      </text>
    </comment>
  </commentList>
</comments>
</file>

<file path=xl/comments3.xml><?xml version="1.0" encoding="utf-8"?>
<comments xmlns="http://schemas.openxmlformats.org/spreadsheetml/2006/main">
  <authors>
    <author>Thanika</author>
  </authors>
  <commentList>
    <comment ref="E32" authorId="0">
      <text>
        <r>
          <rPr>
            <b/>
            <sz val="9"/>
            <color indexed="81"/>
            <rFont val="Tahoma"/>
            <family val="2"/>
          </rPr>
          <t xml:space="preserve">เอา Witholdig Tax Offset กับค่าใช่จ่าย 
Lotus จ่าย 111.80 บาท
</t>
        </r>
      </text>
    </comment>
  </commentList>
</comments>
</file>

<file path=xl/comments4.xml><?xml version="1.0" encoding="utf-8"?>
<comments xmlns="http://schemas.openxmlformats.org/spreadsheetml/2006/main">
  <authors>
    <author>Arpaporn</author>
  </authors>
  <commentList>
    <comment ref="D91" authorId="0">
      <text>
        <r>
          <rPr>
            <b/>
            <sz val="9"/>
            <color indexed="81"/>
            <rFont val="Tahoma"/>
            <family val="2"/>
          </rPr>
          <t>Arpaporn: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<sst xmlns="http://schemas.openxmlformats.org/spreadsheetml/2006/main" count="7170" uniqueCount="1522">
  <si>
    <t>ยอดขาย</t>
  </si>
  <si>
    <t>ไทยซี</t>
  </si>
  <si>
    <t>ค่าใช้จ่าย</t>
  </si>
  <si>
    <t>CN</t>
  </si>
  <si>
    <t>ยอดที่ต้องชำระ</t>
  </si>
  <si>
    <t>-</t>
  </si>
  <si>
    <t>เก็บได้</t>
  </si>
  <si>
    <t>ยกมา</t>
  </si>
  <si>
    <t>ยอดจ่ายจริง</t>
  </si>
  <si>
    <t>มกราคม</t>
  </si>
  <si>
    <t>กุมภาพันธ์</t>
  </si>
  <si>
    <t>มีนาคม</t>
  </si>
  <si>
    <t>รายงานยอดเก็บ Watson เดือน มกราคม  2564</t>
  </si>
  <si>
    <t>ยอดเก็บประจำเดือน
มกราคม 2564</t>
  </si>
  <si>
    <r>
      <t xml:space="preserve">ยอดยกมา
</t>
    </r>
    <r>
      <rPr>
        <b/>
        <sz val="11"/>
        <color indexed="8"/>
        <rFont val="Arial Narrow"/>
        <family val="2"/>
      </rPr>
      <t>(1)</t>
    </r>
  </si>
  <si>
    <t>รอบบิลที่ลูกค้าจ่าย</t>
  </si>
  <si>
    <t>ยอดขาย
(2)</t>
  </si>
  <si>
    <r>
      <t xml:space="preserve">ค่าใช้จ่าย
</t>
    </r>
    <r>
      <rPr>
        <b/>
        <sz val="11"/>
        <color indexed="8"/>
        <rFont val="Arial Narrow"/>
        <family val="2"/>
      </rPr>
      <t>(3)</t>
    </r>
  </si>
  <si>
    <r>
      <t xml:space="preserve">CN
</t>
    </r>
    <r>
      <rPr>
        <b/>
        <sz val="11"/>
        <color indexed="8"/>
        <rFont val="Arial Narrow"/>
        <family val="2"/>
      </rPr>
      <t>(4)</t>
    </r>
  </si>
  <si>
    <r>
      <t xml:space="preserve">ยอดที่ต้องชำระ(5)
</t>
    </r>
    <r>
      <rPr>
        <b/>
        <sz val="11"/>
        <color indexed="8"/>
        <rFont val="Arial Narrow"/>
        <family val="2"/>
      </rPr>
      <t xml:space="preserve">[(1)+(2)-(3)-(4)]
</t>
    </r>
  </si>
  <si>
    <t>ยอดที่ลูกค้าจ่าย
(6)</t>
  </si>
  <si>
    <t xml:space="preserve">% ที่เก็บได้
 [(6/5)*100]
</t>
  </si>
  <si>
    <t>ยอดที่ค้างชำระ(7)
(5) - (6)</t>
  </si>
  <si>
    <r>
      <t>% ยอดคงค้าง
 [(7/5)]*100]</t>
    </r>
    <r>
      <rPr>
        <b/>
        <sz val="11"/>
        <color indexed="8"/>
        <rFont val="Arial Narrow"/>
        <family val="2"/>
      </rPr>
      <t xml:space="preserve">
</t>
    </r>
  </si>
  <si>
    <t>ฟิชเชอร์แมน(คอนฯ)-CR30</t>
  </si>
  <si>
    <t>02/12/63-23/12/63</t>
  </si>
  <si>
    <t>ช็อคโกแลต+มันฝรั่ง(คอนฯ)-CR45</t>
  </si>
  <si>
    <t>04/11/63-05/12/63</t>
  </si>
  <si>
    <t>สเปรย์น้ำแร่เอเวียง(คอนฯ)-CR60</t>
  </si>
  <si>
    <t>21/10/63-21/11/63</t>
  </si>
  <si>
    <t>ที่เหลือ All Product (คอนฯ)-CR75</t>
  </si>
  <si>
    <t>07/10/63-27/11/63</t>
  </si>
  <si>
    <t>เซียงเพียว(คอนฯ)-CR90</t>
  </si>
  <si>
    <t>19/09/63-21/10/63</t>
  </si>
  <si>
    <t>แบรนด์ชนิดน้ำ (STL) CR45</t>
  </si>
  <si>
    <t>แบรนด์ชนิดเม็ด (STL) CR90</t>
  </si>
  <si>
    <t>Grand Total</t>
  </si>
  <si>
    <t>หมายเหตุ</t>
  </si>
  <si>
    <t>ลูกค้าบันทึกรับล่าช้า รอโอนเดือน 02/64 ค่ะ</t>
  </si>
  <si>
    <t>รายงานยอดเก็บ Foodland เดือน มกราคม 2564</t>
  </si>
  <si>
    <t>ยอดยกมา
(1)</t>
  </si>
  <si>
    <t>ยอดขายเดือน
27/10/63-26/11/63
(2)</t>
  </si>
  <si>
    <t>ค่าใช้จ่าย
(3)</t>
  </si>
  <si>
    <t>CN
(4)</t>
  </si>
  <si>
    <t>ยอดที่ต้องชำระ(5)
[(1)+(2)-(3)-(4)]</t>
  </si>
  <si>
    <t>% ยอดที่เก็บได้
 [(6/5)*100]</t>
  </si>
  <si>
    <t>% ยอดคงค้าง
 [(7/5)]*100]</t>
  </si>
  <si>
    <t>คอนซูเมอร์</t>
  </si>
  <si>
    <t>รวมยอดคอนซูเมอร์</t>
  </si>
  <si>
    <t>ยอดเก็บประจำเดือน มกราคม 2564</t>
  </si>
  <si>
    <t>Cerebos(STL)</t>
  </si>
  <si>
    <t>รวมยอด D2+STL</t>
  </si>
  <si>
    <t>รายละเอียดดังนี้</t>
  </si>
  <si>
    <t>ยอดคงค้าง CON</t>
  </si>
  <si>
    <t>เดือนพฤศจิกายน  2563</t>
  </si>
  <si>
    <t>บาท</t>
  </si>
  <si>
    <t>วางบิลวันที่10/2/64 เก็บเดือน2/64</t>
  </si>
  <si>
    <t>รายงานยอดเก็บ Family เดือน มกราคม 2564</t>
  </si>
  <si>
    <r>
      <t xml:space="preserve">ยอดขายเดือน
พฤศจิกายน 2563
</t>
    </r>
    <r>
      <rPr>
        <b/>
        <sz val="11"/>
        <color indexed="8"/>
        <rFont val="Arial Narrow"/>
        <family val="2"/>
      </rPr>
      <t>(2)</t>
    </r>
  </si>
  <si>
    <r>
      <t xml:space="preserve">ยอดที่ลูกค้าจ่าย
</t>
    </r>
    <r>
      <rPr>
        <b/>
        <sz val="11"/>
        <color indexed="8"/>
        <rFont val="Arial Narrow"/>
        <family val="2"/>
      </rPr>
      <t>(6)</t>
    </r>
  </si>
  <si>
    <r>
      <t>% ที่เก็บได้
 [(6/5)*100]</t>
    </r>
    <r>
      <rPr>
        <b/>
        <sz val="11"/>
        <color indexed="8"/>
        <rFont val="Arial Narrow"/>
        <family val="2"/>
      </rPr>
      <t xml:space="preserve">
</t>
    </r>
  </si>
  <si>
    <r>
      <t xml:space="preserve">ยอดที่ค้างชำระ(7)
</t>
    </r>
    <r>
      <rPr>
        <b/>
        <sz val="11"/>
        <color indexed="8"/>
        <rFont val="Arial Narrow"/>
        <family val="2"/>
      </rPr>
      <t>(5) - (6)</t>
    </r>
  </si>
  <si>
    <t xml:space="preserve"> ยอดคงค้าง  คอนซูเมอร์ มีรายละเอียดดังนี้</t>
  </si>
  <si>
    <t xml:space="preserve"> </t>
  </si>
  <si>
    <t>1. บิลเดือน 12/62</t>
  </si>
  <si>
    <t>เอกสารถูกขีดฆ่า ทำใบแทนแล้ว แต่ยอดเจ้าหนี้ติดลบ แจ้งปลด Hold เรียบร้อยแล้ว</t>
  </si>
  <si>
    <t>2. บิลเดือน 7/63 - 9/63</t>
  </si>
  <si>
    <t>ขอใบแทน</t>
  </si>
  <si>
    <t>3. บิลเดือน 1-63-7/63</t>
  </si>
  <si>
    <t>ลูกค้าคีย์ตั้งหนี้ในระบบแล้ว</t>
  </si>
  <si>
    <t xml:space="preserve">ติดCN ได้ทำใบลดหนี้เพื่อส่งให้ลูกค้าแล้ว </t>
  </si>
  <si>
    <t>ตั้งค้างไว้ก่อนเนื่องจากจ่ายยอดไม่ตรง</t>
  </si>
  <si>
    <t xml:space="preserve">         รวมยอดคงค้าง</t>
  </si>
  <si>
    <t xml:space="preserve"> ยอดคงค้าง  Cerebos มีรายละเอียดดังนี้</t>
  </si>
  <si>
    <t>1. บิลเดือน 11/63</t>
  </si>
  <si>
    <t>บันทึกตั้งหนี้เข้าเดือน 11  จ่าย 15.2.64</t>
  </si>
  <si>
    <t>4. บิลเดือน 10/63-11-63</t>
  </si>
  <si>
    <t>ลูกค้ารอคีย์ตั้งหนี้ในระบบในเดือน 1/64</t>
  </si>
  <si>
    <t>5. บิลเดือน2/63 , 4/63 - 11/63</t>
  </si>
  <si>
    <t>6. บิลเดือน7/63,9/63,10/63</t>
  </si>
  <si>
    <t>รายงานยอดเก็บ The Mall เดือน มกราคม   2564</t>
  </si>
  <si>
    <t>ยอดเก็บประจำเดือน
มกราคม  2564</t>
  </si>
  <si>
    <t>ยอดขายเดือน
ตุลาคม  2563
(2)</t>
  </si>
  <si>
    <t xml:space="preserve">% ยอดคงค้าง
 [(7/5)]*100]
</t>
  </si>
  <si>
    <t xml:space="preserve">หมายเหตุ </t>
  </si>
  <si>
    <t xml:space="preserve">ยอดค้างชำระทั้งหมด ณ เดือน 01/64  </t>
  </si>
  <si>
    <t>บาท รายละเอียดตามสาขาดังนี้</t>
  </si>
  <si>
    <t>สาขา จีเอสเอ็ม บิลเดือน11-12/59</t>
  </si>
  <si>
    <t>บาท เคลียร์เมื่อยกเลิกการขาย</t>
  </si>
  <si>
    <t>สาขาหัวหิน      บิลเดือน  30/09/63</t>
  </si>
  <si>
    <t>บาท ลูกค้าแจ้งเอกสารติดไปกับ audit  ทำให้จ่ายล่าช้า  จ่าย 15.2.64</t>
  </si>
  <si>
    <t>สาขาลาดพร้าว บิลเดือน  10/63</t>
  </si>
  <si>
    <t>บาท  จ่าย 15.02.64</t>
  </si>
  <si>
    <t>บิลปลายเดือน(30/10/63)</t>
  </si>
  <si>
    <t xml:space="preserve">ยอดค้างชำระทั้งหมด ณ เดือน 01/64 </t>
  </si>
  <si>
    <t>รายงานยอดเก็บ  Saha Lawson เดือน มกราคม 2564</t>
  </si>
  <si>
    <t>ยอดคงค้าง</t>
  </si>
  <si>
    <t>คอน</t>
  </si>
  <si>
    <t>STL</t>
  </si>
  <si>
    <t>วางบิล 5.1.64 จ่าย 15.2.64</t>
  </si>
  <si>
    <t>รายงานยอดเก็บ TOPS เดือน มกราคม 2564</t>
  </si>
  <si>
    <t>เดือน พฤศจิกายน  2563</t>
  </si>
  <si>
    <t>จ่ายรอบเดือน 15-02-64</t>
  </si>
  <si>
    <t xml:space="preserve">ลูกค้าhold บิล เนื่องจากรอเปิด CN </t>
  </si>
  <si>
    <t>รายงานยอดเก็บ CJ เดือน มกราคม  2564</t>
  </si>
  <si>
    <t>ยอดขายเดือน
พฤศจิกายน 2563</t>
  </si>
  <si>
    <t>Cerebos (STL)</t>
  </si>
  <si>
    <t xml:space="preserve">ทุกสินค้าเครดิต 60 วัน </t>
  </si>
  <si>
    <t>เดือน พฤศจิกายน 2563</t>
  </si>
  <si>
    <t>บิลปลายเดือนรอจ่ายรอบเดือน 02/64</t>
  </si>
  <si>
    <t>ยอดเก็บประจำเดือน
มกราคม 64</t>
  </si>
  <si>
    <r>
      <t xml:space="preserve">ยอดยกมา
</t>
    </r>
    <r>
      <rPr>
        <sz val="12"/>
        <color indexed="8"/>
        <rFont val="Arial Narrow"/>
        <family val="2"/>
      </rPr>
      <t>(1)</t>
    </r>
  </si>
  <si>
    <t xml:space="preserve">ระยะเวลายอดขาย
</t>
  </si>
  <si>
    <r>
      <t xml:space="preserve">จำนวนเงินยอดขาย
</t>
    </r>
    <r>
      <rPr>
        <sz val="12"/>
        <color indexed="8"/>
        <rFont val="Arial Narrow"/>
        <family val="2"/>
      </rPr>
      <t>(2)</t>
    </r>
  </si>
  <si>
    <r>
      <t xml:space="preserve">ค่าใช้จ่าย
</t>
    </r>
    <r>
      <rPr>
        <sz val="12"/>
        <color indexed="8"/>
        <rFont val="Arial Narrow"/>
        <family val="2"/>
      </rPr>
      <t>(3)</t>
    </r>
  </si>
  <si>
    <r>
      <t xml:space="preserve">CN
</t>
    </r>
    <r>
      <rPr>
        <sz val="12"/>
        <color indexed="8"/>
        <rFont val="Arial Narrow"/>
        <family val="2"/>
      </rPr>
      <t>(4)</t>
    </r>
  </si>
  <si>
    <r>
      <t xml:space="preserve">ยอดที่ต้องชำระ(5)
</t>
    </r>
    <r>
      <rPr>
        <sz val="12"/>
        <color indexed="8"/>
        <rFont val="Arial Narrow"/>
        <family val="2"/>
      </rPr>
      <t xml:space="preserve">[(1)+(2)-(3)-(4)]
</t>
    </r>
  </si>
  <si>
    <r>
      <t xml:space="preserve">ยอดที่ลูกค้าจ่าย
</t>
    </r>
    <r>
      <rPr>
        <sz val="12"/>
        <color indexed="8"/>
        <rFont val="Arial Narrow"/>
        <family val="2"/>
      </rPr>
      <t>(6)</t>
    </r>
  </si>
  <si>
    <r>
      <t>% ที่เก็บได้
 [(6/5)*100]</t>
    </r>
    <r>
      <rPr>
        <sz val="12"/>
        <color indexed="8"/>
        <rFont val="Arial Narrow"/>
        <family val="2"/>
      </rPr>
      <t xml:space="preserve">
</t>
    </r>
  </si>
  <si>
    <r>
      <t xml:space="preserve">ยอดที่ค้างชำระ(7)
</t>
    </r>
    <r>
      <rPr>
        <sz val="12"/>
        <color indexed="8"/>
        <rFont val="Arial Narrow"/>
        <family val="2"/>
      </rPr>
      <t>(5) - (6)</t>
    </r>
  </si>
  <si>
    <r>
      <t>% ยอดคงค้าง
 [(7/5)]*100]</t>
    </r>
    <r>
      <rPr>
        <sz val="12"/>
        <color indexed="8"/>
        <rFont val="Arial Narrow"/>
        <family val="2"/>
      </rPr>
      <t xml:space="preserve">
</t>
    </r>
  </si>
  <si>
    <t>18.10.63 - 14.11.63</t>
  </si>
  <si>
    <t xml:space="preserve">ยา </t>
  </si>
  <si>
    <t xml:space="preserve">      Total คอนซูเมอร์ &amp; ยา</t>
  </si>
  <si>
    <t>Cerebos</t>
  </si>
  <si>
    <t>18.10.63 - 31.10.63</t>
  </si>
  <si>
    <t xml:space="preserve">      Total</t>
  </si>
  <si>
    <t xml:space="preserve">ยอดคอนซูเมอร์  </t>
  </si>
  <si>
    <t>ยอดคงค้างทั้งสิ้นจำนวน</t>
  </si>
  <si>
    <t>บาท แยกดังนี้</t>
  </si>
  <si>
    <t>1. บิลเดือน5.63 คงค้าง</t>
  </si>
  <si>
    <t>บาท =&gt; รอเอกสารจากrecall เตรียมทำจ่าย เนื่องจากโควิด เอกสารยังไม่มา</t>
  </si>
  <si>
    <t>2. บิลเดือน10.63( 29-31.10.63) คงค้าง</t>
  </si>
  <si>
    <t>บาท =&gt; จ่ายเดือน 2.64</t>
  </si>
  <si>
    <t>3. บิลเดือน11.63( 2-14.11.63 )  คงค้าง</t>
  </si>
  <si>
    <t>ยอด FF</t>
  </si>
  <si>
    <t xml:space="preserve">บาท </t>
  </si>
  <si>
    <t>1. บิลเดือน10.63  คงค้าง</t>
  </si>
  <si>
    <t>2. บิลเดือน11.63 (13-14.11.63)คงค้าง</t>
  </si>
  <si>
    <t>บาท =&gt; บิลวันจ่ายเดือน 2.64</t>
  </si>
  <si>
    <t>รายงานยอดเก็บ Lotus เดือนมกราคม  2564</t>
  </si>
  <si>
    <t>ยอดเก็บประจำเดือน
มกราคม 64(Lotus Pay 08-22.01.64)</t>
  </si>
  <si>
    <t xml:space="preserve"> ระยะเวลายอดขาย
 </t>
  </si>
  <si>
    <t xml:space="preserve"> จำนวนเงินยอดขาย
(2) </t>
  </si>
  <si>
    <t xml:space="preserve"> ค่าใช้จ่าย
(3) </t>
  </si>
  <si>
    <t xml:space="preserve"> CN
(4) </t>
  </si>
  <si>
    <t xml:space="preserve">ยอดที่ต้องชำระ(5)
[(1)+(2)-(3)-(4)]
</t>
  </si>
  <si>
    <t xml:space="preserve"> % ยอดคงค้าง
 [(7/5)]*100]
 </t>
  </si>
  <si>
    <t>คอนซูเมอร์ (ไม่รวม สินค้า Choc,Biscuit)</t>
  </si>
  <si>
    <t>01/10/63 - 31/10/63</t>
  </si>
  <si>
    <t>คอนซูเมอร์ ( สินค้า Choc,Biscuit)</t>
  </si>
  <si>
    <t>01/11/63 - 30/11/63</t>
  </si>
  <si>
    <t>รวมคอนซูเมอร์</t>
  </si>
  <si>
    <t>ยอดเก็บประจำเดือน
มกราคม 64(Lotus Pay 29.01.64)</t>
  </si>
  <si>
    <t xml:space="preserve">ยอดคงค้าง คอนซูเมอร์ (ไม่รวม สินค้า Choc,Biscuit) </t>
  </si>
  <si>
    <t>บาท รายละเอียดดังนี้</t>
  </si>
  <si>
    <t>1. บิลเดือน2/63</t>
  </si>
  <si>
    <t>ติดตามโลตัสแล้ว เกิดจากการรับสินค้าที่สาขา ทางสนญ.ได้ให้สาขาทำ Memoส่งเข้ามาเพื่อทำจ่ายแล้ว จะทำจ่ายได้ประมาณเดือน 3/64</t>
  </si>
  <si>
    <t>2. บิลเดือน3/63</t>
  </si>
  <si>
    <t>3. บิลเดือน8/63</t>
  </si>
  <si>
    <t>ติดตามโลตัสแล้ว เกิดจากการรับสินค้าที่สาขา ทางสนญ.ได้ให้สาขาทำ Memoส่งเข้ามาเพื่อทำจ่ายแล้ว จะทำจ่ายได้ประมาณเดือน 2/64</t>
  </si>
  <si>
    <t>4. บิลเดือน9/63</t>
  </si>
  <si>
    <t>5. บิลเดือน10/63</t>
  </si>
  <si>
    <t>6.บิลเดือน 11/63</t>
  </si>
  <si>
    <t>บิลปลายเดือน11/63 จ่าย 26.02.64</t>
  </si>
  <si>
    <t xml:space="preserve">ยอดคงค้าง คอนซูเมอร์ ( สินค้า Choc,Biscuit) </t>
  </si>
  <si>
    <t>1.บิลเดือน 11/63</t>
  </si>
  <si>
    <t>บิลปลายเดือน11/63 จ่าย 05.02.64</t>
  </si>
  <si>
    <t>ยอดคงค้าง Cerebos(STL)</t>
  </si>
  <si>
    <t>สินค้าฟิชชเอร์แมน</t>
  </si>
  <si>
    <t>รายงานยอดเก็บ อิออน AEON มกราคม   2564</t>
  </si>
  <si>
    <t>ยอดเก็บประจำเดือน มกราคม  2564</t>
  </si>
  <si>
    <t>ยอดขายเดือน
พฤศจิกายน 2563
(2)</t>
  </si>
  <si>
    <t>รายงานยอดเก็บ CP All เดือน มกราคม  2564</t>
  </si>
  <si>
    <t>% ที่เก็บได้
 [(6/5)*100]</t>
  </si>
  <si>
    <t>คอนซูเมอร์ (All Product)</t>
  </si>
  <si>
    <t xml:space="preserve">ยอดคงค้าง  </t>
  </si>
  <si>
    <t>ห้างไม่ได้บันทึกรับ อยู่ระหว่างติดตาม</t>
  </si>
  <si>
    <t>ห้างจ่ายยอดไม่ตรงค้างไว้</t>
  </si>
  <si>
    <t>บิลปลายเดือน 28-30/11/63</t>
  </si>
  <si>
    <t>รายงานยอดเก็บ B2S เดือน มกราคม  2564</t>
  </si>
  <si>
    <t>ยอดเก็บประจำเดือน
มกราคม  256</t>
  </si>
  <si>
    <r>
      <t xml:space="preserve">ยอดขายเดือน
ตุลาคม 2563
</t>
    </r>
    <r>
      <rPr>
        <b/>
        <sz val="11"/>
        <color indexed="8"/>
        <rFont val="Arial Narrow"/>
        <family val="2"/>
      </rPr>
      <t>(2)</t>
    </r>
  </si>
  <si>
    <r>
      <t xml:space="preserve">ยอดที่ต้องชำระ(5)
</t>
    </r>
    <r>
      <rPr>
        <b/>
        <sz val="11"/>
        <color indexed="8"/>
        <rFont val="Arial Narrow"/>
        <family val="2"/>
      </rPr>
      <t>[(1)+(2)-(3)-(4)]</t>
    </r>
  </si>
  <si>
    <t>เดือน ธันวาคม 2560</t>
  </si>
  <si>
    <r>
      <t xml:space="preserve">เรื่องการรับสินค้าและราคาไม่ตรง PO ทำให้บันทึกรับไม่ได้ แจ้งฝ่ายขาย </t>
    </r>
    <r>
      <rPr>
        <u val="singleAccounting"/>
        <sz val="11"/>
        <rFont val="Arial Narrow"/>
        <family val="2"/>
      </rPr>
      <t xml:space="preserve">(อั๋น) </t>
    </r>
    <r>
      <rPr>
        <sz val="11"/>
        <rFont val="Arial Narrow"/>
        <family val="2"/>
      </rPr>
      <t>ให้ช่วยติดตามปัญหา</t>
    </r>
    <r>
      <rPr>
        <u val="singleAccounting"/>
        <sz val="11"/>
        <rFont val="Arial Narrow"/>
        <family val="2"/>
      </rPr>
      <t xml:space="preserve"> </t>
    </r>
  </si>
  <si>
    <t>เดือน พฤษภาคม 2561</t>
  </si>
  <si>
    <t xml:space="preserve">เรื่องการรับสินค้าและราคาไม่ตรง PO ทำให้บันทึกรับไม่ได้ แจ้งฝ่ายขาย (อั๋น) ให้ช่วยติดตามปัญหา </t>
  </si>
  <si>
    <t>เดือน เมษายน 2562</t>
  </si>
  <si>
    <t>ทางร้านค้ายังไม่บันทึกรับ เนื่องจาก PO หมดอายุ และได้มีการแจ้งให้ทาง Sino มาเก็บสินค้าคืน แต่ไม่มีการประสานงานกลับไป</t>
  </si>
  <si>
    <t>เดือน สิงหาคม 2562</t>
  </si>
  <si>
    <t>เดือน กันยายน 2562</t>
  </si>
  <si>
    <t>เดือน ธันวาคม 2562</t>
  </si>
  <si>
    <t xml:space="preserve">ทางร้านแจ้งว่าเลขที่ เอกสารซ้ำ ไม่สามารถบันทึกรับได้ ต้องให้ทางฝ่ายขาย Sino ทำเอสาร Memo แจ้งไปทางจัดซื้อ เพื่อดำเนินการต่อไป แจ้งฝ่ายขาย (อั๋น) ให้ช่วยติดตามปัญหา        </t>
  </si>
  <si>
    <t>เดือน มีนาคม  2563</t>
  </si>
  <si>
    <t>เดือน กรกฎาคม-ตุตาคม 2563</t>
  </si>
  <si>
    <t>ห้างบันทึกรับล่าช้า(บันทึกเดือน11) โอนแล้ว เดือน 2/64</t>
  </si>
  <si>
    <t>เดือน ตุลาคม 2563</t>
  </si>
  <si>
    <t>บิลปลายเดือน 27-31/10/63</t>
  </si>
  <si>
    <t>รายงานยอดเก็บ Big C เดือน มกราคม  2564</t>
  </si>
  <si>
    <t>ยอดขายเดือน
ตุลาคม 2563
(2)</t>
  </si>
  <si>
    <t>คอนซูเมอร์ All Product</t>
  </si>
  <si>
    <t>ยอดยกมา</t>
  </si>
  <si>
    <t>ยอดขายเดือน พฤศจิกายน 2563</t>
  </si>
  <si>
    <t>ยอดที่ลูกค้าจ่าย</t>
  </si>
  <si>
    <t>% ที่เก็บได้</t>
  </si>
  <si>
    <t>ยอดที่ค้างชำระ</t>
  </si>
  <si>
    <t>% ยอดคงค้าง</t>
  </si>
  <si>
    <t>คอนซูเมอร์(Monde-VOIZ,SUMO,PECKISH)</t>
  </si>
  <si>
    <t>คอนซูเมอร์ (Samyang,TAKRAI)</t>
  </si>
  <si>
    <t>ห้างบันทึกล่าช้าจ่ายแล้ว เดือน 2/64</t>
  </si>
  <si>
    <t>คอนซูเมอร์ (HEINZ SAUCE)</t>
  </si>
  <si>
    <t xml:space="preserve">ห้างไม่จ่ายเนื่องจาก ค่าใช้จ่าย = 4,123,943.01 บาท  มากกว่ายอดขาย </t>
  </si>
  <si>
    <t>เป็นบิลปลายเดือน  30-31/10/63</t>
  </si>
  <si>
    <t>คอนซูเมอร์ (Monde-BISCUIT)</t>
  </si>
  <si>
    <t>เป็นบิลปลายเดือน  30/11/63</t>
  </si>
  <si>
    <t>ทไวนิ้งส์(คอน)-CR60</t>
  </si>
  <si>
    <t>ตะไคร้</t>
  </si>
  <si>
    <t>เฟร้นช์ส ฮอร์สแรดิช มัสตาร์ด</t>
  </si>
  <si>
    <t>โคอาล่า+ลอตเต้+ยินตัน+ช็อคโกแลต+Meiji(คอน)-CR75</t>
  </si>
  <si>
    <t xml:space="preserve"> Heinz(D2)</t>
  </si>
  <si>
    <t xml:space="preserve"> Monde(BISCUIC,UDON)</t>
  </si>
  <si>
    <t>Greenday(D2)</t>
  </si>
  <si>
    <t>เอ็มมิลค์</t>
  </si>
  <si>
    <t xml:space="preserve">ยูซีซี </t>
  </si>
  <si>
    <t>Samyang</t>
  </si>
  <si>
    <t>แบรนด์</t>
  </si>
  <si>
    <t>เป็นบิลที่ยังไม่ถึงดิว เนื่องจากลูกค้าดูวันที่การรับสินค้า</t>
  </si>
  <si>
    <t xml:space="preserve">คอนซูเมอร์  </t>
  </si>
  <si>
    <t>รายงานยอดเก็บ วิลล่า เดือน มกราคม  2564</t>
  </si>
  <si>
    <t>ยอดเก็บประจำเดือน
พฤศจิกายน  2563</t>
  </si>
  <si>
    <t>22/10/63-28/11/63</t>
  </si>
  <si>
    <t>07/10/63-18/11/63</t>
  </si>
  <si>
    <t>30/09/63-04/11/63</t>
  </si>
  <si>
    <t>22/10/63-25/11/63</t>
  </si>
  <si>
    <t>17/10/63-18/11/63</t>
  </si>
  <si>
    <t>01/10/63-25/11/63</t>
  </si>
  <si>
    <t>01/10/63-04/11/63</t>
  </si>
  <si>
    <t>07/10/63-10/11/63</t>
  </si>
  <si>
    <t>รายงานยอดเก็บ PT เดือน มกราคม 2564</t>
  </si>
  <si>
    <t>ยอดขายเดือน
1/12/63-31/12/63
(2)</t>
  </si>
  <si>
    <r>
      <t xml:space="preserve">ยอดขายเดือน
</t>
    </r>
    <r>
      <rPr>
        <b/>
        <sz val="11"/>
        <color rgb="FFFF0000"/>
        <rFont val="Arial Narrow"/>
        <family val="2"/>
      </rPr>
      <t>1/12/2563-31/12/2563</t>
    </r>
    <r>
      <rPr>
        <b/>
        <sz val="11"/>
        <rFont val="Arial Narrow"/>
        <family val="2"/>
      </rPr>
      <t xml:space="preserve">
(2)</t>
    </r>
  </si>
  <si>
    <t>เดือนเมษายน-ตุลาคม</t>
  </si>
  <si>
    <t>จ่ายเงินรอบวันที่ 25/2/64</t>
  </si>
  <si>
    <t>เดือนพฤศจิกายน</t>
  </si>
  <si>
    <t>ทำใบแทน จ่ายในเดือน มีนาคม 64</t>
  </si>
  <si>
    <t>เดือนธันวาคม</t>
  </si>
  <si>
    <t>วางบิลรอบปลายเดือน ทำจ่ายในรอบเดือนมีนาคม 64</t>
  </si>
  <si>
    <t>ยอดคงค้าง STL</t>
  </si>
  <si>
    <t>**เนื่องจากโควิด-19 ต้องวางบิลทางไปรษณีย์  บิลถึงลูกค้าล่าช้าทำให้จ่ายเงินช้าค่ะ**</t>
  </si>
  <si>
    <t>บิลติดปัญหาลูกค้าบันทึกรับราคาไม่ตรง  ติดต่อประสานกับลูกค้าทำADJ ให้ในรอบ จ่าย เดือนกพ 2564 ค่ะ</t>
  </si>
  <si>
    <t>รายงานยอดเก็บ Boot เดือน มกราคม   2564</t>
  </si>
  <si>
    <t>ยอดเก็บประจำเดือน
มกราคม    2564</t>
  </si>
  <si>
    <r>
      <t xml:space="preserve">ยอดขายเดือน
ธันวาคม 2563
</t>
    </r>
    <r>
      <rPr>
        <b/>
        <sz val="11"/>
        <color indexed="8"/>
        <rFont val="Arial Narrow"/>
        <family val="2"/>
      </rPr>
      <t>(2)</t>
    </r>
  </si>
  <si>
    <t>หมายเหตุ  ยอดคงค้าง 993,382.63  เป็นบิลที่ลูกค้า Hold ไม่จ่ายเนื่องจาก มีค่าใช้จ่ายมากกว่า และลูกค้าจะทยอยหักกับค่าใช้จ่ายในรอบต่อๆๆไป ค่ะ</t>
  </si>
  <si>
    <t xml:space="preserve">                                                               </t>
  </si>
  <si>
    <t>สินค้าประเภทขนม</t>
  </si>
  <si>
    <t xml:space="preserve">สินค้าประเภทขนม  จำนวน 14 ใบ   ชุดนี้ ลูกค้านัดจ่าย25 กพ  2564 จากปกติ 29 มกราคม 2564  เนื่องจากจะนำไปหักค่าใช้จ่ายรอบหน้า </t>
  </si>
  <si>
    <t>สินค้ายาหม่องน้ำเซียงเพียวอิ๊ว/ยาดมเป๊ปเปอร์มินท์</t>
  </si>
  <si>
    <t xml:space="preserve">สินค้ายาหม่องน้ำเซียงเพียวอิ๊ว/ยาดมเป๊ปเปอร์มินท์  จำนวน 12 ใบ  ชุดนี้ ลูกค้านัดจ่าย25 กพ  2564 จากปกติ 29 มกราคม 2564  เนื่องจากจะนำไปหักค่าใช้จ่ายรอบหน้า </t>
  </si>
  <si>
    <t xml:space="preserve">สินค้าฟิชชเอร์แมน  จำนวน 5 ใบ เป็นบิลเดือน 12  ชุดนี้ ลูกค้านัดจ่าย25 กพ  2564 จากปกติ 29 มกราคม 2564  เนื่องจากจะนำไปหักค่าใช้จ่ายรอบหน้า </t>
  </si>
  <si>
    <t>รายงานยอดเก็บ The Makro เดือน มกราคม   2564</t>
  </si>
  <si>
    <t>รายงานยอดเก็บ Watson เดือน กุมภาพันธ์  2564</t>
  </si>
  <si>
    <t>ยอดเก็บประจำเดือน
กุมภาพันธ์ 2564</t>
  </si>
  <si>
    <t>06/01/64-30/01/64</t>
  </si>
  <si>
    <t>09/12/63-23/12/63</t>
  </si>
  <si>
    <t>25/11/63-21/12/63</t>
  </si>
  <si>
    <t>05/11/63-05/12/63</t>
  </si>
  <si>
    <t>24/10/63-18/11/63</t>
  </si>
  <si>
    <t>ระบบลูกค้าผิดพลาด จะทำจ่าย ด.03/64 ค่ะ</t>
  </si>
  <si>
    <t>รายงานยอดเก็บ CJ เดือน กุมภาพันธ์  2564</t>
  </si>
  <si>
    <t>ยอดเก็บประจำเดือน กุมภาพันธ์ 2564</t>
  </si>
  <si>
    <t>ยอดขายเดือนธันวาคม 2563</t>
  </si>
  <si>
    <t>เดือน ธันวาคม 2563</t>
  </si>
  <si>
    <t>บิลปลายเดือนรอจ่ายรอบเดือน 03/64</t>
  </si>
  <si>
    <t>รายงานยอดเก็บ TOPS เดือน กุมภาพันธ์ 2564</t>
  </si>
  <si>
    <t>เดือน ธันวาคม  2563</t>
  </si>
  <si>
    <t>จ่ายรอบเดือน 15-03-64</t>
  </si>
  <si>
    <r>
      <t xml:space="preserve">ยอดขายเดือน
</t>
    </r>
    <r>
      <rPr>
        <b/>
        <sz val="11"/>
        <color rgb="FFFF0000"/>
        <rFont val="Arial Narrow"/>
        <family val="2"/>
      </rPr>
      <t>1/11/2563-30/11/2563</t>
    </r>
    <r>
      <rPr>
        <b/>
        <sz val="11"/>
        <rFont val="Arial Narrow"/>
        <family val="2"/>
      </rPr>
      <t xml:space="preserve">
(2)</t>
    </r>
  </si>
  <si>
    <t>รวมยอด STL</t>
  </si>
  <si>
    <t xml:space="preserve">บาท  </t>
  </si>
  <si>
    <t>รายงานยอดเก็บ Big C เดือน กุมภาพันธ์  2564</t>
  </si>
  <si>
    <t>ยอดเก็บประจำเดือน
กุมภาพันธ์  2564</t>
  </si>
  <si>
    <t>ยอดขายเดือน ธันวาคม 2563</t>
  </si>
  <si>
    <t>ห้างไม่จ่ายเนื่องจาก ค่าใช้จ่าย มากกว่ายอดขาย (จ่ายแล้วเดือน 3 ปี 64)</t>
  </si>
  <si>
    <t>เป็นบิลปลายเดือน  28-30/11/63</t>
  </si>
  <si>
    <t>ห้างไม่ได้บันทึกรับ กำลังติดตาม</t>
  </si>
  <si>
    <t>เป็นบิลปลายเดือน  29/12/63</t>
  </si>
  <si>
    <t>รายงานยอดเก็บ CP All เดือน กุมภาพันธ์  2564</t>
  </si>
  <si>
    <t>ยอดขายเดือน
ธันวาคม 2563
(2)</t>
  </si>
  <si>
    <t>บิลปลายเดือน 29-30/12/63</t>
  </si>
  <si>
    <t xml:space="preserve">Cerebos(STL) </t>
  </si>
  <si>
    <t>เอกสารติด CN ส่งห้างเดือน 1  โอนแล้วเดือน 3 ปี 64</t>
  </si>
  <si>
    <t>บิลปลายเดือน 30/12/63</t>
  </si>
  <si>
    <t>รายงานยอดเก็บ B2S เดือน กุมภาพันธ์  2564</t>
  </si>
  <si>
    <t>ยอดเก็บประจำเดือน
กุมภาพันธ์  256</t>
  </si>
  <si>
    <t>ห้างบันทึกรับ 08.03.64 รอโอน</t>
  </si>
  <si>
    <t>ห้างบันทึกรับล่าช้าโอนแล้ว เดือน 3/64</t>
  </si>
  <si>
    <t>ห้างบันทึกรับล่าช้ารอโอน</t>
  </si>
  <si>
    <t>รายงานยอดเก็บ The Mall เดือน กุมภาพันธ์   2564</t>
  </si>
  <si>
    <t>ยอดเก็บประจำเดือน
กุมภาพัน์  2564</t>
  </si>
  <si>
    <t>ยอดขายเดือน
พฤศจิกายน  2563
(2)</t>
  </si>
  <si>
    <t>บาท  จ่าย 15.03.64</t>
  </si>
  <si>
    <t>สาขาบางแค  บิลเดือน 11/63</t>
  </si>
  <si>
    <t>บาท  PO มีปัญหา  จ่าย 15.3.64</t>
  </si>
  <si>
    <t>สาขา โคราช บิลเดือน 11</t>
  </si>
  <si>
    <t>บาท ขาดใบเสร็จส่งให้แล้ว จ่าย 15.3.64</t>
  </si>
  <si>
    <t>บิลปลายเดือน(30/11/63)</t>
  </si>
  <si>
    <t>รายงานยอดเก็บ Family เดือน กุมภาพันธ์ 2564</t>
  </si>
  <si>
    <t>2. บิลเดือน 5/63 - 12/63</t>
  </si>
  <si>
    <t>3. บิลเดือน 1-63-12/63</t>
  </si>
  <si>
    <t>4. บิลเดือน2/63 , 5/63 - 11/63</t>
  </si>
  <si>
    <t>5. บิลเดือน5/63,7/63,10/63</t>
  </si>
  <si>
    <t>ลูกค้าบันทึกเลข INV เข้าระบบผิด บันทึกซ้ำกับ INV ที่จ่ายแล้ว</t>
  </si>
  <si>
    <t xml:space="preserve">บิลติด TOP HOLD </t>
  </si>
  <si>
    <t>รอทำจ่ายนอกรอบ</t>
  </si>
  <si>
    <t>1. บิลเดือน 12/63</t>
  </si>
  <si>
    <t>บิลปลายเดือน12/63 จ่ายเดือน 03/64</t>
  </si>
  <si>
    <t>รายงานยอดเก็บ  Saha Lawson เดือน กุมภาพันธ์ 2564</t>
  </si>
  <si>
    <t>บาท  จ่าย 15.04.64</t>
  </si>
  <si>
    <t>รายงานยอดเก็บ อิออน AEON กุมภาพันธ์   2564</t>
  </si>
  <si>
    <t>ยอดเก็บประจำเดือน กุมภาพันธ์  2564</t>
  </si>
  <si>
    <t>ยอดขายเดือน
27/11/63-26/12/63
(2)</t>
  </si>
  <si>
    <t>ติด CN เก่า(sale อรอนงค์) วางบิล20/3/64 เก็บเดือน4/64</t>
  </si>
  <si>
    <t xml:space="preserve"> บาท  </t>
  </si>
  <si>
    <t>รายงานยอดเก็บ PT เดือน กุมภาพันธ์ 2564</t>
  </si>
  <si>
    <t>เดือนตุลาคม</t>
  </si>
  <si>
    <t>ทำจ่าย 26/3/64</t>
  </si>
  <si>
    <t>เดือนมกราคม</t>
  </si>
  <si>
    <t>บิลปลายเดือนวางบิล3/2/64จ่าย26/3/64</t>
  </si>
  <si>
    <t>ได้รับCNช้า จ่าย 26/3/64</t>
  </si>
  <si>
    <t>จ่ายรอบ 26/3/64</t>
  </si>
  <si>
    <t>**เนื่องจากโควิด-19 ทำให้ต้องวางบิลทางไปรษณีย์  บิลถึงลูกค้าล่าช้าทำให้จ่ายเงินช้าค่ะ**</t>
  </si>
  <si>
    <t>รายงานยอดเก็บ Boot เดือน กุมภาพันธ์   2564</t>
  </si>
  <si>
    <t>ยอดเก็บประจำเดือน
กุมภาพันธ์    2564</t>
  </si>
  <si>
    <r>
      <t xml:space="preserve">ยอดขายเดือน
มกราคม 2564
</t>
    </r>
    <r>
      <rPr>
        <b/>
        <sz val="11"/>
        <color indexed="8"/>
        <rFont val="Arial Narrow"/>
        <family val="2"/>
      </rPr>
      <t>(2)</t>
    </r>
  </si>
  <si>
    <t>สินค้าประเภทขนม  จำนวน 20 ใบ   ลูกค้าไม่จ่ายเลย เนื่องจากค่าใช้จ่ายมากกว่า</t>
  </si>
  <si>
    <t>สินค้ายาหม่องน้ำเซียงเพียวอิ๊ว/ยาดมเป๊ปเปอร์มินท์  จำนวน 14 ใบ  ชุดนี้ ลูกค้าไม่จ่ายเลย เนื่องจากค่าใช้จ่ายมากกว่า</t>
  </si>
  <si>
    <t>สินค้าฟิชชเอร์แมน  จำนวน 7 ใบ เป็นบิลเดือน 2  ชุดนี้ ลูกค้าไม่จ่ายเลย เนื่องจากค่าใช้จ่ายมากกว่า</t>
  </si>
  <si>
    <t xml:space="preserve">บิลติดปัญหาจำนวน1 ใบ เนื่องจากเซลล์ลืมออกส่วนลดให้ลูกค้า  ดำเนินการออกใบลดหนี้เรียบร้อย ลูกค้านัดจ่าย 26 มีนาคม2564 </t>
  </si>
  <si>
    <t>บิลปลายเดือน จำนวน 1 ใบ วางวันที่ 2 มีนาคม 2564 ทำจ่าย 26 มีนาคม 2564</t>
  </si>
  <si>
    <t>บิลติดปัญหาสถานะCanceled  ทำใบแทน วางบิลใหม่  / ยอดเงินไม่ตรงในระบบ  ติดต่อประสานกับลูกค้าทำADJ ให้ในรอบ จ่าย เดือนมีนาคม 2564 ค่ะ</t>
  </si>
  <si>
    <t>บิลปลายเดือน vander 19488 วางวันที่ 5 เดือน มีนาคม  2564</t>
  </si>
  <si>
    <t>รายงานยอดเก็บ วิลล่า เดือน กุมภาพันธ์  2564</t>
  </si>
  <si>
    <t>29/11/63-16/12/63</t>
  </si>
  <si>
    <t>26/11/63-23/12/63</t>
  </si>
  <si>
    <t>05/11/63-30/11/63</t>
  </si>
  <si>
    <t>26/11/63-16/12/63</t>
  </si>
  <si>
    <t>19/11/63-17/12/63</t>
  </si>
  <si>
    <t>19/11/63-15/12/63</t>
  </si>
  <si>
    <t>11/11/63-07/12/63</t>
  </si>
  <si>
    <t>รายงานยอดเก็บ Makro เดือนกุมภาพันธ์ 64</t>
  </si>
  <si>
    <t>ยอดเก็บประจำเดือน
กุมภาพันธ์ 64</t>
  </si>
  <si>
    <t>15.11.63 - 18.12.63</t>
  </si>
  <si>
    <t>01.12.63-31.12.63</t>
  </si>
  <si>
    <t>2. บิลเดือน11.63( 14&amp; 26.11.63 )  คงค้าง</t>
  </si>
  <si>
    <t>บาท =&gt; จ่ายเดือน 3.64</t>
  </si>
  <si>
    <t>3. บิลเดือน12.63( 15-18.12.63 )  คงค้าง</t>
  </si>
  <si>
    <t>1. บิลเดือน12.63 (17-18.12.63)คงค้าง</t>
  </si>
  <si>
    <t>บาท =&gt; บิลวันจ่ายเดือน 3.64</t>
  </si>
  <si>
    <t>รายงานยอดเก็บ Lotus เดือนกุมภาพันธ์  2564</t>
  </si>
  <si>
    <t>ยอดเก็บประจำเดือน
กุมภาพันธ์ 64(Lotus Pay 5-26.02.64)</t>
  </si>
  <si>
    <t>01/12/63 - 31/12/63</t>
  </si>
  <si>
    <t>1.บิลเดือน 12/63</t>
  </si>
  <si>
    <t>บิลปลายเดือน12/63 จ่าย 01.03.64</t>
  </si>
  <si>
    <t>บิลปลายเดือน11/63 จ่าย 05.03.64</t>
  </si>
  <si>
    <t>หมายเหตุ  ยอดคงค้าง 1,202,172.47  เป็นบิลที่ลูกค้า Hold ไม่จ่ายเนื่องจาก มีค่าใช้จ่ายมากกว่า และลูกค้าจะทยอยหักกับค่าใช้จ่ายในรอบต่อๆๆไป ค่ะ</t>
  </si>
  <si>
    <t>รายงานยอดเก็บ Foodland เดือน กุมภาพันธ์ 2564</t>
  </si>
  <si>
    <t>6. บิลเดือน 9/63-11/63</t>
  </si>
  <si>
    <t xml:space="preserve">7. บิลเดือน 5/63-12/63 </t>
  </si>
  <si>
    <t>8. บิลเดือน 5-7/63-10/63</t>
  </si>
  <si>
    <t>ยอดเก็บประจำเดือน  กุมภาพันธ์ 2564</t>
  </si>
  <si>
    <t>รายงานยอดเก็บ PT เดือน มีนาคม 2564</t>
  </si>
  <si>
    <t>ยอดเก็บประจำเดือน
มีนาคม 2564</t>
  </si>
  <si>
    <t>ยอดเก็บประจำเดือน มีนาคม 2564</t>
  </si>
  <si>
    <t>ทำจ่าย 23/4/64</t>
  </si>
  <si>
    <t>เดือนกุมภาพันธ์</t>
  </si>
  <si>
    <t>บิลปลายเดือน จ่าย23/4/64</t>
  </si>
  <si>
    <t>รายงานยอดเก็บ Foodland เดือน มีนาคม 2564</t>
  </si>
  <si>
    <t>ยอดขายเดือน
27/12/63-24/1/64
(2)</t>
  </si>
  <si>
    <t>ยอดขายเดือน
1/1/64-31/1/64
(2)</t>
  </si>
  <si>
    <t>ติด CN เก่า(sale อนงค์นาฎ) วางบิล20/3/64 เก็บเดือน4/64</t>
  </si>
  <si>
    <t>ยอดเก็บประจำเดือน
ธันวาคม  2563</t>
  </si>
  <si>
    <t>17/12/63-26/01/64</t>
  </si>
  <si>
    <t>16/12/63-27/01/64</t>
  </si>
  <si>
    <t>รายงานยอดเก็บ Watson เดือน มีนาคม  2564</t>
  </si>
  <si>
    <t>03/02/64-24/02/64</t>
  </si>
  <si>
    <t>06/01/64-01/02/64</t>
  </si>
  <si>
    <t>06/01/64-16/01/64</t>
  </si>
  <si>
    <t>21/11/63-16/12/63</t>
  </si>
  <si>
    <t>06/01/64-27/01/64</t>
  </si>
  <si>
    <t>ระบบลูกค้าผิดพลาด จะทำจ่าย ด.04/64 ค่ะ</t>
  </si>
  <si>
    <t>รายงานยอดเก็บ วิลล่า เดือน มีนาคม 2564</t>
  </si>
  <si>
    <t>01/12/63-08/01/64</t>
  </si>
  <si>
    <t>17/12/63-27/01/64</t>
  </si>
  <si>
    <t>24/12/63-27/01/64</t>
  </si>
  <si>
    <t>18/12/63-27/01/64</t>
  </si>
  <si>
    <t>08/12/63-11/01/64</t>
  </si>
  <si>
    <t>รายงานยอดเก็บ อิออน AEON มีนาคม   2564</t>
  </si>
  <si>
    <t>ยอดเก็บประจำเดือน มีนาคม  2564</t>
  </si>
  <si>
    <t>ยอดขายเดือน
มกราคม 2564
(2)</t>
  </si>
  <si>
    <t>บิลปลายเดือน วันที่30 มกราคม 2564 จำนวน 9 ใบ  วางบิล รอบวันที่ 5 เมษายน 2564 กำหนดจ่าย 16 เมษายน 2564</t>
  </si>
  <si>
    <t>บิลติดปัญหาสถานะCanceled  ทำใบแทน วางบิลใหม่  / ยอดเงินไม่ตรงในระบบ  ติดต่อประสานกับลูกค้าทำADJ ให้ในรอบ จ่าย เดือน เมษายน 2564 ค่ะ</t>
  </si>
  <si>
    <t>รายงานยอดเก็บ Boot เดือน มีนาคม   2564</t>
  </si>
  <si>
    <t>ยอดเก็บประจำเดือน
มีนาคม    2564</t>
  </si>
  <si>
    <r>
      <t xml:space="preserve">ยอดขายเดือน
กุมภาพันธ์ 2564
</t>
    </r>
    <r>
      <rPr>
        <b/>
        <sz val="11"/>
        <color indexed="8"/>
        <rFont val="Arial Narrow"/>
        <family val="2"/>
      </rPr>
      <t>(2)</t>
    </r>
  </si>
  <si>
    <t>สินค้าฟิชชเอร์แมน  จำนวน 11 ใบ เป็นบิลเดือน 2  ชุดนี้ ลูกค้าไม่จ่ายเลย เนื่องจากค่าใช้จ่ายมากกว่า</t>
  </si>
  <si>
    <t>สินค้ายาหม่องน้ำเซียงเพียวอิ๊ว/ยาดมเป๊ปเปอร์มินท์  จำนวน 15 ใบ  ชุดนี้ ลูกค้าไม่จ่ายเลย เนื่องจากค่าใช้จ่ายมากกว่า</t>
  </si>
  <si>
    <t>สินค้าประเภทขนม  จำนวน 25 ใบ   ลูกค้าไม่จ่ายเลย เนื่องจากค่าใช้จ่ายมากกว่า</t>
  </si>
  <si>
    <t>รายงานยอดเก็บ Lotus เดือนมีนาคม  2564</t>
  </si>
  <si>
    <t>ยอดเก็บประจำเดือน
มีนาคม 64(Lotus Pay 5-26.03.64)</t>
  </si>
  <si>
    <t>01/12/63-31/12/63</t>
  </si>
  <si>
    <t>1. บิลเดือน3/63</t>
  </si>
  <si>
    <t>ติดตามโลตัสแล้ว สนญ.แจ้งว่ามีบางสาขาทำMemo เข้ามาแล้วรอที่จะทำจ่ายในเดือน4/64 และกำลังติดตามMemo อีกบางส่วน</t>
  </si>
  <si>
    <t>2. บิลเดือน11/63</t>
  </si>
  <si>
    <t>รอทำเอกสารรับเข้าแล้วจะทำจ่ายประมาณเดือน 4/64</t>
  </si>
  <si>
    <t>3.บิลเดือน 12/63</t>
  </si>
  <si>
    <t>บิลปลายเดือน12/63 จ่าย 02.04.64</t>
  </si>
  <si>
    <t>บิลปลายเดือน1/64 จ่าย 02.04.64</t>
  </si>
  <si>
    <t>รายงานยอดเก็บ Makro เดือนมีนาคม 64</t>
  </si>
  <si>
    <t>ยอดเก็บประจำเดือน
มีนาคม 64</t>
  </si>
  <si>
    <t>2. บิลเดือน11.63 ( 26.11.63 )  คงค้าง</t>
  </si>
  <si>
    <t>บาท =&gt; จ่ายเดือน 4.64</t>
  </si>
  <si>
    <t>1. บิลเดือน1.64 (16 -18.1.64)คงค้าง</t>
  </si>
  <si>
    <t>บาท =&gt; จ่ายเดือน4.64</t>
  </si>
  <si>
    <t>ยอด STL</t>
  </si>
  <si>
    <t>1. บิลเดือน1.64 (31.01.64)คงค้าง</t>
  </si>
  <si>
    <t>จ่ายรอบเดือน 16-04-64</t>
  </si>
  <si>
    <t>เดือน มกราคม  2564</t>
  </si>
  <si>
    <t>รายงานยอดเก็บ TOPS เดือน มีนาคม 2564</t>
  </si>
  <si>
    <t>ลูกค้าบันทึกรับยอดเงินผิดรอปรับปรุง</t>
  </si>
  <si>
    <t>รายงานยอดเก็บ CJ เดือน มีนาคม  2564</t>
  </si>
  <si>
    <t>ยอดขายเดือนมกราคม 2564</t>
  </si>
  <si>
    <t>เดือน มกราคม 2564</t>
  </si>
  <si>
    <t>บิลปลายเดือนรอจ่ายรอบเดือน 04/64</t>
  </si>
  <si>
    <t>รายงานยอดเก็บ The Mall เดือน มีนาคม   2564</t>
  </si>
  <si>
    <t>ยอดเก็บประจำเดือน
มีนาคม  2564</t>
  </si>
  <si>
    <t>ยอดขายเดือน
ธันวาคม  2563
(2)</t>
  </si>
  <si>
    <t>บาท  จ่าย 16.04.64</t>
  </si>
  <si>
    <t>รายงานยอดเก็บ Family เดือน มีนาคม 2564</t>
  </si>
  <si>
    <t>2. บิลเดือน 2/63,5/63 - 01/64</t>
  </si>
  <si>
    <t>3. บิลเดือน 10/63,12/63-01/64</t>
  </si>
  <si>
    <t>4. บิลเดือน2/63</t>
  </si>
  <si>
    <t xml:space="preserve">5. บิลเดือน 7/63-01/64 </t>
  </si>
  <si>
    <t>6. บิลเดือน 01/64</t>
  </si>
  <si>
    <t>บิลปลายเดือน จ่าย 16/04/64</t>
  </si>
  <si>
    <t>1. บิลเดือน 01/64</t>
  </si>
  <si>
    <t>รายงานยอดเก็บ  Saha Lawson เดือน มีนาคม 2564</t>
  </si>
  <si>
    <t>รายงานยอดเก็บ B2S เดือน มีนาคม  2564</t>
  </si>
  <si>
    <t>ห้างบันทึกรับล่าช้าโอนแล้ว เดือน 4/64</t>
  </si>
  <si>
    <t>รายงานยอดเก็บ Big C เดือน มีนาคม  2564</t>
  </si>
  <si>
    <t>ยอดขายเดือน มกราคม 2564</t>
  </si>
  <si>
    <t xml:space="preserve">เดือน พฤศจิฯ-ธันวาฯ 2563 </t>
  </si>
  <si>
    <t>คอนซูเมอร์ (GREENDAY)</t>
  </si>
  <si>
    <t>ติด CN ยื่นแล้ว 11.02.64 รอโอน</t>
  </si>
  <si>
    <t>ทำใบแทนใบกำกับภาษีให้ห้าง 23.03.64 รอโอน เดือน 5 ปี 64</t>
  </si>
  <si>
    <t>ในระบบห้างมีแจ้งติด CN รอห้าง ADJ ออก</t>
  </si>
  <si>
    <t>เป็นบิลปลายเดือน  30/12/63</t>
  </si>
  <si>
    <t>รายงานยอดเก็บ CP All เดือน มีนาคม  2564</t>
  </si>
  <si>
    <t>บิลปลายเดือน 26-30/01/64</t>
  </si>
  <si>
    <t>บิลปลายเดือน 30/01/64</t>
  </si>
  <si>
    <t>01.11.63-30.11.63</t>
  </si>
  <si>
    <t>01/01/64-31/1/64</t>
  </si>
  <si>
    <t>1.บิลเดือน 1/64</t>
  </si>
  <si>
    <t>สินค้า Monde</t>
  </si>
  <si>
    <r>
      <t>เป็นบิลที่ยังไม่ถึงดิว เนื่องจากลูกค้า</t>
    </r>
    <r>
      <rPr>
        <sz val="11"/>
        <color rgb="FFFF0000"/>
        <rFont val="Arial Narrow"/>
        <family val="2"/>
      </rPr>
      <t>นับจากวันที่บันทึกรับสินค้า</t>
    </r>
  </si>
  <si>
    <t xml:space="preserve">ยอดค้างชำระทั้งหมด ณ เดือน 03/64  </t>
  </si>
  <si>
    <t xml:space="preserve">ยอดค้างชำระทั้งหมด ณ เดือน 02/64 </t>
  </si>
  <si>
    <t xml:space="preserve">ยอดค้างชำระทั้งหมด ณ เดือน 02/64  </t>
  </si>
  <si>
    <t>รายงานยอดเก็บ Watson เดือน เมษายน  2564</t>
  </si>
  <si>
    <t>ยอดเก็บประจำเดือน
เมษายน 2564</t>
  </si>
  <si>
    <t>03/03/64-31/03/64</t>
  </si>
  <si>
    <t>02/02/64-27/02/64</t>
  </si>
  <si>
    <t>20/01/64-13/02/64</t>
  </si>
  <si>
    <t>21/12/63-13/01/64</t>
  </si>
  <si>
    <t>03/02/64-27/02/64</t>
  </si>
  <si>
    <t>ระบบลูกค้าผิดพลาด จะทำจ่าย ด.05/64 ค่ะ</t>
  </si>
  <si>
    <t>รายงานยอดเก็บ Family เดือน เมษายน 2564</t>
  </si>
  <si>
    <t>ลูกค้ากำลังตรวจสอบข้อมูลและจะแจ้งปัญหากลับ</t>
  </si>
  <si>
    <t>รายงานยอดเก็บ The Mall เดือน เมษายน   2564</t>
  </si>
  <si>
    <t>ยอดเก็บประจำเดือน
เมษายน  2564</t>
  </si>
  <si>
    <t>ยอดขายเดือน
มกราคม  2564
(2)</t>
  </si>
  <si>
    <t xml:space="preserve">ยอดค้างชำระทั้งหมด ณ เดือน 04/64  </t>
  </si>
  <si>
    <t>สาขาเอ็มฟู๊ด บิลเดือน  1/64</t>
  </si>
  <si>
    <t>บาท  บันทึกรับสินค้า  เม.ย.  จ่ายรอบดีล 15 ก.ค. 2564</t>
  </si>
  <si>
    <t>บิลปลายเดือน(29-30/01/64)</t>
  </si>
  <si>
    <t xml:space="preserve"> บาท  จ่าย 17.05.64</t>
  </si>
  <si>
    <t xml:space="preserve">ยอดค้างชำระทั้งหมด ณ เดือน 04/64 </t>
  </si>
  <si>
    <t>บิลปลายเดือน(30/01/64)</t>
  </si>
  <si>
    <t>รายงานยอดเก็บ  Saha Lawson เดือน เมษายน 2564</t>
  </si>
  <si>
    <t>ยอดขายเดือน
1/2/64-28/2/64
(2)</t>
  </si>
  <si>
    <t>รายงานยอดเก็บ PT เดือน เมษายน 2564</t>
  </si>
  <si>
    <t>ยอดขายเดือน
1/3/64-31/3/64
(2)</t>
  </si>
  <si>
    <t>ทำจ่าย 28/5/64</t>
  </si>
  <si>
    <t>เดือนมีนาคม</t>
  </si>
  <si>
    <t>บิลปลายเดือน จ่าย28/5/64</t>
  </si>
  <si>
    <t>**เนื่องจากโควิด-19 หลังจากวันหยุดสงกรานต์คนที่รับบิลไม่ได้เข้าออฟฟิศ1สัปดาห์ทำให้ได้บิลช้า วางบิลช้า1สัปดาห์ ค่ะ</t>
  </si>
  <si>
    <t>รายงานยอดเก็บ Foodland เดือน เมษายน 2564</t>
  </si>
  <si>
    <t>ยอดขายเดือน
25/01/64-24/2/64
(2)</t>
  </si>
  <si>
    <t>เดือนกุมภาพันธ์  2564</t>
  </si>
  <si>
    <t>วางบิล 10/5/64 จ่ายเดือน5/64</t>
  </si>
  <si>
    <t>รายงานยอดเก็บ วิลล่า เดือน เมษายน  2564</t>
  </si>
  <si>
    <t>27/01/64-17/02/64</t>
  </si>
  <si>
    <t>28/01/64-17/02/64</t>
  </si>
  <si>
    <t>28/01/64-24/02/64</t>
  </si>
  <si>
    <t>09/01/64-03/02/64</t>
  </si>
  <si>
    <t>09/01/64-27/01/64</t>
  </si>
  <si>
    <t>12/01/64-09/02/64</t>
  </si>
  <si>
    <t>รายงานยอดเก็บ B2S เดือน เมษายน  2564</t>
  </si>
  <si>
    <t>ยอดเก็บประจำเดือน
เมษายน  256</t>
  </si>
  <si>
    <t>ห้างบันทึกรับ 08.03.64 รอโอน เดือน 6/64</t>
  </si>
  <si>
    <t>ห้างจ่ายยอดไม่ตรงรอบเดือน 04/64 ตั้งค้างไว้</t>
  </si>
  <si>
    <t>ห้างบันทึกรับล่าช้าโอนแล้ว เดือน 5/64</t>
  </si>
  <si>
    <t>ยอดเก็บประจำเดือน
มีนาคม  256</t>
  </si>
  <si>
    <t>รายงานยอดเก็บ CP All เดือน เมษายน  2564</t>
  </si>
  <si>
    <t>ยอดขายเดือน
กุมภาพันธ์ 2564
(2)</t>
  </si>
  <si>
    <t>บิลปลายเดือน 27/02/64</t>
  </si>
  <si>
    <t>รายงานยอดเก็บ อิออน AEON เมษายน  2564</t>
  </si>
  <si>
    <t>ยอดเก็บประจำเดือนเมษายน  2564</t>
  </si>
  <si>
    <t>ยอดเก็บประจำเดือน เมษายน  2564</t>
  </si>
  <si>
    <t>บิลปลายเดือน วันที่ 27 กุมภาพันธ์  2564 จำนวน 5 ใบ  วางบิล รอบวันที่ 7  พฤษภาคม  2564 กำหนดจ่าย 17  พฤษภาคม  2564</t>
  </si>
  <si>
    <t>รายงานยอดเก็บ Big C เดือน เมษายน  2564</t>
  </si>
  <si>
    <t>ยอดขายเดือน กุมภาพันธ์ 2564</t>
  </si>
  <si>
    <t xml:space="preserve">เดือน ธันวาคม 2563-มกราคม 2564 </t>
  </si>
  <si>
    <t>ห้างไม่จ่ายเนื่องจาก ค่าใช้จ่าย มากกว่ายอดขาย (จ่ายแล้วเดือน 5 ปี 64)</t>
  </si>
  <si>
    <t>คอนซูเมอร์ (TAKRAI)</t>
  </si>
  <si>
    <t>คอนซูเมอร์ (mMILK)</t>
  </si>
  <si>
    <t>เป็นบิลปลายเดือน  30/01/64 (จ่ายแล้วเดือน 5 ปี 64)</t>
  </si>
  <si>
    <t>ทำใบแทนใบกำกับภาษีให้ห้าง 23.03.64 รอโอน เดือน 6 ปี 64</t>
  </si>
  <si>
    <t>ห้างแจ้งติด CN กำลังติดตาม</t>
  </si>
  <si>
    <t>รายงานยอดเก็บ Boot เดือนเมษายน    2564</t>
  </si>
  <si>
    <t>ยอดเก็บประจำเดือน
เมษายน    2564</t>
  </si>
  <si>
    <r>
      <t xml:space="preserve">ยอดขายเดือน
มีนาคม 2564
</t>
    </r>
    <r>
      <rPr>
        <b/>
        <sz val="11"/>
        <color indexed="8"/>
        <rFont val="Arial Narrow"/>
        <family val="2"/>
      </rPr>
      <t>(2)</t>
    </r>
  </si>
  <si>
    <t>บิลปลายเดือน จำนวน 1 ใบ วางวันที่ 2 มีนาคม 2564 ทำจ่าย 30 มีนาคม 2564</t>
  </si>
  <si>
    <t>สินค้าประเภทขนม  จำนวน 33 ใบ   ลูกค้าไม่จ่ายเลย เนื่องจากค่าใช้จ่ายมากกว่า</t>
  </si>
  <si>
    <t>สินค้ายาหม่องน้ำเซียงเพียวอิ๊ว/ยาดมเป๊ปเปอร์มินท์  จำนวน 20 ใบ  ชุดนี้ ลูกค้าไม่จ่ายเลย เนื่องจากค่าใช้จ่ายมากกว่า</t>
  </si>
  <si>
    <t>สินค้าฟิชชเอร์แมน  จำนวน 15 ใบ เป็นบิลเดือน 2  ชุดนี้ ลูกค้าไม่จ่ายเลย เนื่องจากค่าใช้จ่ายมากกว่า</t>
  </si>
  <si>
    <t xml:space="preserve">บิลปลายเดือน จำนวน4 ใบ </t>
  </si>
  <si>
    <t xml:space="preserve">บิลปลายเดือน จำนวน1 ใบ </t>
  </si>
  <si>
    <t>รายงานยอดเก็บ CJ เดือน เมษายน  2564</t>
  </si>
  <si>
    <t>ยอดเก็บประจำเดือน เมษายน 2564</t>
  </si>
  <si>
    <t>ยอดขายเดือนกุมภาพันธ์ 2564</t>
  </si>
  <si>
    <t>รายงานยอดเก็บ TOPS เดือน เมษายน 2564</t>
  </si>
  <si>
    <r>
      <t xml:space="preserve">ยอดยกมา
</t>
    </r>
    <r>
      <rPr>
        <b/>
        <sz val="16"/>
        <color indexed="8"/>
        <rFont val="Angsana New"/>
        <family val="1"/>
      </rPr>
      <t>(1)</t>
    </r>
  </si>
  <si>
    <r>
      <t xml:space="preserve">ยอดขายเดือน
กุมภาพันธ์ 2564
</t>
    </r>
    <r>
      <rPr>
        <b/>
        <sz val="16"/>
        <color indexed="8"/>
        <rFont val="Angsana New"/>
        <family val="1"/>
      </rPr>
      <t>(2)</t>
    </r>
  </si>
  <si>
    <r>
      <t xml:space="preserve">ค่าใช้จ่าย
</t>
    </r>
    <r>
      <rPr>
        <b/>
        <sz val="16"/>
        <color indexed="8"/>
        <rFont val="Angsana New"/>
        <family val="1"/>
      </rPr>
      <t>(3)</t>
    </r>
  </si>
  <si>
    <r>
      <t xml:space="preserve">CN
</t>
    </r>
    <r>
      <rPr>
        <b/>
        <sz val="16"/>
        <color indexed="8"/>
        <rFont val="Angsana New"/>
        <family val="1"/>
      </rPr>
      <t>(4)</t>
    </r>
  </si>
  <si>
    <r>
      <t xml:space="preserve">ยอดที่ต้องชำระ(5)
</t>
    </r>
    <r>
      <rPr>
        <b/>
        <sz val="16"/>
        <color indexed="8"/>
        <rFont val="Angsana New"/>
        <family val="1"/>
      </rPr>
      <t>[(1)+(2)-(3)-(4)]</t>
    </r>
  </si>
  <si>
    <r>
      <t xml:space="preserve">ยอดที่ลูกค้าจ่าย
</t>
    </r>
    <r>
      <rPr>
        <b/>
        <sz val="16"/>
        <color indexed="8"/>
        <rFont val="Angsana New"/>
        <family val="1"/>
      </rPr>
      <t>(6)</t>
    </r>
  </si>
  <si>
    <r>
      <t xml:space="preserve">ยอดที่ค้างชำระ(7)
</t>
    </r>
    <r>
      <rPr>
        <b/>
        <sz val="16"/>
        <color indexed="8"/>
        <rFont val="Angsana New"/>
        <family val="1"/>
      </rPr>
      <t>(5) - (6)</t>
    </r>
  </si>
  <si>
    <t>เดือน กุมภาพันธ์  2564</t>
  </si>
  <si>
    <t>จ่ายรอบเดือน 17-05-64</t>
  </si>
  <si>
    <t>ลูกค้าคีย์รับยอดเงินผิดรอปรับปรุงรอบโอน15-06-64</t>
  </si>
  <si>
    <t>รายงานยอดเก็บ Lotus เดือนเมษายน  2564</t>
  </si>
  <si>
    <t>ยอดเก็บประจำเดือน
เมษายน 64(Lotus Pay 2-23.04.64)</t>
  </si>
  <si>
    <t>01/01/64-31/01/64</t>
  </si>
  <si>
    <t>01/02/64-28/02/64</t>
  </si>
  <si>
    <t>ยอดเก็บประจำเดือน
เมษายน 64(Lotus Pay 30.04.64)</t>
  </si>
  <si>
    <t>01/03/64-02/03/64</t>
  </si>
  <si>
    <t>สาขาทำรับเข้าแล้ว รอสนญ ทำจ่าย แต่เจ้าที่ WFH ต้องรอกลับมาดูเอกสารจึงทำจ่ายได้</t>
  </si>
  <si>
    <t>4.บิลเดือน 1/64</t>
  </si>
  <si>
    <t>สาขาขอตรวจสอบเอกสารและขอมูลในระบบก่อนค่ะ และจะแจ้งปัญหากลับ ติดต่ออีกครั้ง</t>
  </si>
  <si>
    <t>5.บิลเดือน 2/64</t>
  </si>
  <si>
    <t>บิลปลายเดือน2/64 จ่าย 04.06.64</t>
  </si>
  <si>
    <t>1.บิลวันที่ 02.03.64</t>
  </si>
  <si>
    <t>ติดตามโลตัสแล้ว แต่เจ้าหน้ายังคง WFH ต้องรอกลับมาดูที่เอกสารก่อน</t>
  </si>
  <si>
    <t>2.บิลเดือน 2/64</t>
  </si>
  <si>
    <t>รอบจ่ายเดิอน4.64   สินค้า Credit 60 วัน จะจ่าย  2 รอบจ่าย คือวันที่ 2/04/64 และ 30/04/64  เนื่องจากครบรอบจ่ายและวันศุกร์สุดท้ายของเดือนเมษายน เป็น วันที่ 30 เมษายน (วันสิ้นเดือน)</t>
  </si>
  <si>
    <t>รายงานยอดเก็บ Makro เดือนเมษายน 64</t>
  </si>
  <si>
    <t>ยอดเก็บประจำเดือน
เมษายน 64</t>
  </si>
  <si>
    <t>19.1.64 - 13.02.64</t>
  </si>
  <si>
    <t>01.02.64-28.02.64</t>
  </si>
  <si>
    <t>3. บิลเดือน2.64 คงค้าง</t>
  </si>
  <si>
    <t>บาท =&gt; จ่ายเดือน 5.64</t>
  </si>
  <si>
    <t>1. บิลเดือน1.64 (12 -13.2.64)คงค้าง</t>
  </si>
  <si>
    <r>
      <t>บิลปลายเดือน วันที่ 27 กุมภาพันธ์  Vendor</t>
    </r>
    <r>
      <rPr>
        <sz val="11"/>
        <color rgb="FFFF0000"/>
        <rFont val="Arial Narrow"/>
        <family val="2"/>
      </rPr>
      <t xml:space="preserve"> 83909 และ 70009  </t>
    </r>
    <r>
      <rPr>
        <sz val="11"/>
        <rFont val="Arial Narrow"/>
        <family val="2"/>
      </rPr>
      <t>วางวันที่ 7  พฤษภาคม  2564 กำหนดจ่าย 17  พฤษภาคม  2564</t>
    </r>
  </si>
  <si>
    <r>
      <t xml:space="preserve">บิลปลายเดือน วันที่ 27 กุมภาพันธ์  </t>
    </r>
    <r>
      <rPr>
        <sz val="11"/>
        <color rgb="FFFF0000"/>
        <rFont val="Arial Narrow"/>
        <family val="2"/>
      </rPr>
      <t xml:space="preserve"> Vendor 19488 </t>
    </r>
    <r>
      <rPr>
        <sz val="11"/>
        <rFont val="Arial Narrow"/>
        <family val="2"/>
      </rPr>
      <t>วางวันที่ 7  พฤษภาคม  2564 กำหนดจ่าย 17  พฤษภาคม  2564</t>
    </r>
  </si>
  <si>
    <t>บิลปลายเดือน วันที่ 29-30 มกราคม Vendor 19488 วางวันที่ 5 เดือน เมษายน  2564 กำหนดจ่าย 16 เมษายน</t>
  </si>
  <si>
    <r>
      <t>บิลปลายเดือน วันที่ 29-30 มกราคม Vendor</t>
    </r>
    <r>
      <rPr>
        <sz val="11"/>
        <color rgb="FFFF0000"/>
        <rFont val="Arial Narrow"/>
        <family val="2"/>
      </rPr>
      <t xml:space="preserve"> 65426 </t>
    </r>
    <r>
      <rPr>
        <sz val="11"/>
        <rFont val="Arial Narrow"/>
        <family val="2"/>
      </rPr>
      <t>วางวันที่ 5 เดือน เมษายน  2564 กำหนดจ่าย 16 เมษายน</t>
    </r>
  </si>
  <si>
    <t>บิลปลายเดือน  Vendor 19488 วางวันที่ 5 เดือน กุมภาพันธ์  2565</t>
  </si>
  <si>
    <t>บิลติดปัญหาสถานะCancelled  ทำใบแทน วางบิลใหม่  / ยอดเงินไม่ตรงในระบบ  ติดต่อประสานกับลูกค้าทำADJ ให้ในรอบ จ่าย เดือน พฤษภาคม 2564 ค่ะ</t>
  </si>
  <si>
    <t>1. บิลเดือน 2/63,5/63 - 02/64</t>
  </si>
  <si>
    <t>2. บิลเดือน 10/63,12/63-02/64</t>
  </si>
  <si>
    <t>3 บิลเดือน2/63</t>
  </si>
  <si>
    <t xml:space="preserve">4. บิลเดือน 7/63-01/64 </t>
  </si>
  <si>
    <t>5. บิลเดือน 01-02/64</t>
  </si>
  <si>
    <t>รายงานยอดเก็บ Foodland เดือน พฤษภาคม 2564</t>
  </si>
  <si>
    <t>ยอดเก็บประจำเดือน
พฤษภาคม 2564</t>
  </si>
  <si>
    <t>ยอดขายเดือน
25/02/64-29/3/64
(2)</t>
  </si>
  <si>
    <t>ยอดเก็บประจำเดือน พฤษภาคม 2564</t>
  </si>
  <si>
    <t>เดือนมีนาคม 2564</t>
  </si>
  <si>
    <t>ยอดขายเดือน
1/4/64-30/4/64
(2)</t>
  </si>
  <si>
    <t>อยู่ระหว่างทำส่งใบแทนทำจ่าย 25/6/64</t>
  </si>
  <si>
    <t>เดือนเมษายน</t>
  </si>
  <si>
    <t>บิลปลายเดือน จ่าย25/6/64</t>
  </si>
  <si>
    <t>รายงานยอดเก็บ Watson เดือน พฤษภาคม  2564</t>
  </si>
  <si>
    <t>03/04/64-29/04/64</t>
  </si>
  <si>
    <t>03/03/64-05/04/64</t>
  </si>
  <si>
    <t>17/02/64-20/03/64</t>
  </si>
  <si>
    <t>01/02/64-06/03/64</t>
  </si>
  <si>
    <t>15/01/64-19/02/64</t>
  </si>
  <si>
    <t>03/03/64-03/04/64</t>
  </si>
  <si>
    <t>16/01/63-17/02/64</t>
  </si>
  <si>
    <t>ลูกค้าบันทึกรับล่าช้า รอโอนเดือน 06/64 ค่ะ</t>
  </si>
  <si>
    <t>ลูกค้า Hold ไว้ก่อนเนื่องจากมีการคืนสินค้าจำนวนมาก รอบหน้าถ้ามีเปิด Po เพิ่มจะจ่ายตามปกติ ค่ะ</t>
  </si>
  <si>
    <t>รายงานยอดเก็บ วิลล่า เดือน พฤษภาคม  2564</t>
  </si>
  <si>
    <t>18/02/64-17/03/64</t>
  </si>
  <si>
    <t>25/02/64-24/03/64</t>
  </si>
  <si>
    <t>18/02/64-24/03/64</t>
  </si>
  <si>
    <t>10/02/64-08/03/64</t>
  </si>
  <si>
    <t>28/01/64-03/03/64</t>
  </si>
  <si>
    <t>18/02/64-03/03/64</t>
  </si>
  <si>
    <t>10/02/64-03/03/64</t>
  </si>
  <si>
    <t>09/01/64-09/02/64</t>
  </si>
  <si>
    <r>
      <t>เป็นบิลที่ยังไม่ถึงดิว เนื่องจากลูกค้า</t>
    </r>
    <r>
      <rPr>
        <sz val="11"/>
        <color rgb="FFFF0000"/>
        <rFont val="Arial Narrow"/>
        <family val="2"/>
      </rPr>
      <t>นับจากวันที่บันทึกรับสินค้า มี CN สินค้ายินตัน เกิน มีจ่ายมาวันที่ 1-6-64</t>
    </r>
  </si>
  <si>
    <t>รายงานยอดเก็บ Big C เดือน พฤษภาคม  2564</t>
  </si>
  <si>
    <t>ยอดเก็บประจำเดือน
พฤษภาคม  2564</t>
  </si>
  <si>
    <t>ยอดขายเดือน มีนาคม 2564</t>
  </si>
  <si>
    <t xml:space="preserve">เดือน ธันวาคม 2563-กุมภาพันธ์ 2564 </t>
  </si>
  <si>
    <t>คอนซูเมอร์ (คราฟ ซิงเกิลชีส)</t>
  </si>
  <si>
    <t>ห้างไม่จ่ายเนื่องจาก ค่าใช้จ่าย มากกว่ายอดขาย</t>
  </si>
  <si>
    <t>เป็นบิลปลายเดือน  27/02/64</t>
  </si>
  <si>
    <t>เป็นบิลปลายเดือน  31/03/64</t>
  </si>
  <si>
    <t>ทำใบแทนใบกำกับภาษีให้ห้าง 23/03/64โอนแล้วเดือน 6/64</t>
  </si>
  <si>
    <t>รายงานยอดเก็บ CP All เดือน พฤษภาคม  2564</t>
  </si>
  <si>
    <t>ยอดขายเดือน
มีนาคม 2564
(2)</t>
  </si>
  <si>
    <t>ห้างไม่ได้บันทึกรับติดตามแล้ว รอโอน</t>
  </si>
  <si>
    <t>บิลปลายเดือน 30-31/03/64</t>
  </si>
  <si>
    <t>รายงานยอดเก็บ B2S เดือน พฤษภาคม  2564</t>
  </si>
  <si>
    <t>ยอดเก็บประจำเดือน
พฤษภาคม  256</t>
  </si>
  <si>
    <t>ห้างบันทึกรับ 08.03.64 รอโอน อยู่ระหว่างติดตาม</t>
  </si>
  <si>
    <t>ห้างจ่ายแล้วเดือน 6/64</t>
  </si>
  <si>
    <t>เดือน กุมภาพันธ์ 2564</t>
  </si>
  <si>
    <t>รายงานยอดเก็บ อิออน AEON พฤษภาคม  2564</t>
  </si>
  <si>
    <t>ยอดเก็บประจำเดือนพฤษภาคม  2564</t>
  </si>
  <si>
    <t>บิลติดปัญหาสถานะCancelled  ทำใบแทน วางบิลใหม่  / ยอดเงินไม่ตรงในระบบ  ติดต่อประสานกับลูกค้าทำADJ ให้ในรอบ จ่าย เดือนมิถุนายน 2564 ค่ะ</t>
  </si>
  <si>
    <t>รายงานยอดเก็บ Boot เดือน พฤษภาคม    2564</t>
  </si>
  <si>
    <t>ยอดเก็บประจำเดือน
พฤษภาคม    2564</t>
  </si>
  <si>
    <r>
      <t xml:space="preserve">ยอดขายเดือนเมษายน 2564
</t>
    </r>
    <r>
      <rPr>
        <b/>
        <sz val="11"/>
        <color indexed="8"/>
        <rFont val="Arial Narrow"/>
        <family val="2"/>
      </rPr>
      <t>(2)</t>
    </r>
  </si>
  <si>
    <t>หมายเหตุ  ยอดคงค้าง 637669.12  เป็นบิลที่ลูกค้า Hold ไม่จ่ายเนื่องจาก มีค่าใช้จ่ายมากกว่า และลูกค้าจะทยอยหักกับค่าใช้จ่ายในรอบต่อๆๆไป ค่ะ</t>
  </si>
  <si>
    <t>สินค้าประเภทขนม  จำนวน 7 ใบ   ลูกค้าไม่จ่ายเลย เนื่องจากค่าใช้จ่ายมากกว่า</t>
  </si>
  <si>
    <t>สินค้ายาหม่องน้ำเซียงเพียวอิ๊ว/ยาดมเป๊ปเปอร์มินท์  จำนวน 2 ใบ  ชุดนี้ ลูกค้าไม่จ่ายเลย เนื่องจากค่าใช้จ่ายมากกว่า</t>
  </si>
  <si>
    <t xml:space="preserve">บิลปลายเดือน จำนวน2 ใบ </t>
  </si>
  <si>
    <t>รายงานยอดเก็บ PT เดือน พฤษภาคม 2564</t>
  </si>
  <si>
    <t>รายงานยอดเก็บ Makro เดือนพฤษภาคม 64</t>
  </si>
  <si>
    <t>ยอดเก็บประจำเดือน
พฤษภาคม 64</t>
  </si>
  <si>
    <t>14.02.64 - 20.03.64</t>
  </si>
  <si>
    <t>01.03.64-04.04.64</t>
  </si>
  <si>
    <t>2. บิลเดือน11.63 คงค้าง</t>
  </si>
  <si>
    <t>บาท =&gt; รอติดต่อเจ้าหน้าที่ เนื่องจาก WFH</t>
  </si>
  <si>
    <t>4. บิลเดือน3.64 (19 - 20.03.64)คงค้าง</t>
  </si>
  <si>
    <t>บาท =&gt; จ่ายเดือน 6.64</t>
  </si>
  <si>
    <t>1. บิลเดือน3.64 (19 - 20.03.64)คงค้าง</t>
  </si>
  <si>
    <t>รายงานยอดเก็บ Lotus เดือนพฤษภาคม  2564</t>
  </si>
  <si>
    <t>ยอดเก็บประจำเดือน
พฤษภาคม 64(Lotus Pay 7-28.05.64)</t>
  </si>
  <si>
    <t>รอบจ่ายเดิอน4.64 จ่ายสินค้าที่ Credit 60 วัน  2 รอบ เนื่องจากครบรอบจ่ายแล้วและวันศุกร์สุดท้ายของเดือนเมษายน เป็น วันที่ 30 เมษายน ดังนันเดือนพฤษภาคมจึงมีDue การจ่ายจะจ่ายอีกครั้งวันที่ 04.06.64</t>
  </si>
  <si>
    <t>1.บิลเดือน 3/6</t>
  </si>
  <si>
    <t>บิลปลายเดือน3/64 จ่าย 04.06.64</t>
  </si>
  <si>
    <t>วางบิล 14/6/64 จ่ายเดือนปลายเดือน 6/64</t>
  </si>
  <si>
    <t>บิลปลายเดือน 25-27/02/64  จ่าย 17/05/64</t>
  </si>
  <si>
    <t>บิลปลายเดือน 30-31/01/64  จ่าย 16/04/64</t>
  </si>
  <si>
    <t>บิลปลายเดือน 30/11/63  จ่าย 15/02/64</t>
  </si>
  <si>
    <t>รายงานยอดเก็บ  Saha Lawson เดือน พฤษภาคม 2564</t>
  </si>
  <si>
    <t>บิลปลายเดือน  31/03/64  จ่าย 15/06/64</t>
  </si>
  <si>
    <t>รายงานยอดเก็บ The Mall เดือน พฤษภาคม   2564</t>
  </si>
  <si>
    <t>ยอดขายเดือน
กุมภาพันธ์  2564
(2)</t>
  </si>
  <si>
    <t>บาท  บันทึกรับสินค้า  เม.ย.  จ่ายรอบดีล 15/07/64</t>
  </si>
  <si>
    <t>บิลปลายเดือน(25-27/02/64)</t>
  </si>
  <si>
    <t xml:space="preserve"> บาท  จ่าย 15.06.64</t>
  </si>
  <si>
    <t>บิลสาขาลาดพร้าว บิลเดือน 2</t>
  </si>
  <si>
    <t>บาท บันึกรับเดือน  3 จ่าย 15/06/64</t>
  </si>
  <si>
    <t>บิลสาขาหัวหิน บิลเดือน 2</t>
  </si>
  <si>
    <t>บาท ยอดลูกหนี้ติดลบ  มียอดบวกเข้ามาบันทึกเข้าเดือน 4 จ่าย 15/8/64</t>
  </si>
  <si>
    <t>รายงานยอดเก็บ Family เดือน พฤษภาคม  2564</t>
  </si>
  <si>
    <r>
      <t xml:space="preserve">ยอดขายเดือน
มีนาคม  2564
</t>
    </r>
    <r>
      <rPr>
        <b/>
        <sz val="11"/>
        <color indexed="8"/>
        <rFont val="Arial Narrow"/>
        <family val="2"/>
      </rPr>
      <t>(2)</t>
    </r>
  </si>
  <si>
    <t>ขอใบแทน  นำส่งแล้ว</t>
  </si>
  <si>
    <t xml:space="preserve">3. บิลเดือน 7/63-01/64 </t>
  </si>
  <si>
    <t>4. บิลปลายเดือน 30-31/03/64</t>
  </si>
  <si>
    <t>จ่าย  15.06.64</t>
  </si>
  <si>
    <t>5. บิลเดือน 02-03/64</t>
  </si>
  <si>
    <t>รายงานยอดเก็บ TOPS เดือน พฤษภาคม 2564</t>
  </si>
  <si>
    <r>
      <t xml:space="preserve">ยอดขายเดือน
มีนาคม 2564
</t>
    </r>
    <r>
      <rPr>
        <b/>
        <sz val="16"/>
        <color indexed="8"/>
        <rFont val="Angsana New"/>
        <family val="1"/>
      </rPr>
      <t>(2)</t>
    </r>
  </si>
  <si>
    <t>เดือน มีนาคม  2564</t>
  </si>
  <si>
    <t>จ่ายรอบเดือน 15-06-64</t>
  </si>
  <si>
    <t>รายงานยอดเก็บ CJ เดือน พฤษภาคม  2564</t>
  </si>
  <si>
    <t>ยอดขายเดือนมีนาคม 2564</t>
  </si>
  <si>
    <t>เดือน มีนาคม 2564</t>
  </si>
  <si>
    <t>บิลปลายเดือนรอจ่ายรอบเดือน 06/64</t>
  </si>
  <si>
    <t>ยอดเก็บประจำเดือนมิถุนายน  2564</t>
  </si>
  <si>
    <t>ยอดเก็บประจำเดือนมิถุนายน 2564</t>
  </si>
  <si>
    <r>
      <t xml:space="preserve">ยอดขายเดือน
เมษายน 2564
</t>
    </r>
    <r>
      <rPr>
        <b/>
        <sz val="11"/>
        <color indexed="8"/>
        <rFont val="Arial Narrow"/>
        <family val="2"/>
      </rPr>
      <t>(2)</t>
    </r>
  </si>
  <si>
    <t>ยอดขายเดือน
เมษายน 2564
(2)</t>
  </si>
  <si>
    <t>บิลปลายเดือน วันที่ 30 เมษายน   2564 จำนวน 4 ใบ  วางบิล รอบวันที่ 5  กรกฎาคม  2564 กำหนดจ่าย 15  กรกฎาคม  2564</t>
  </si>
  <si>
    <t>บิลปลายเดือน วันที่ 30 เมษายน   2564 จำนวน 106 ใบ  วางบิล รอบวันที่ 5  กรกฎาคม  2564 กำหนดจ่าย 15  กรกฎาคม  2564</t>
  </si>
  <si>
    <t>บิลติดปัญหาสถานะCancelled  ทำใบแทน วางบิลใหม่  / ยอดเงินไม่ตรงในระบบ  ติดต่อประสานกับลูกค้าทำADJ ให้ในรอบ จ่าย เดือนกรกฎาคม 2564 ค่ะ</t>
  </si>
  <si>
    <t>รายงานยอดเก็บ Watson เดือน มิถุนายน  2564</t>
  </si>
  <si>
    <t>ยอดเก็บประจำเดือน
มิถุนายน 2564</t>
  </si>
  <si>
    <t>01/05/64-29/05/64</t>
  </si>
  <si>
    <t>06/04/64-01/05/64</t>
  </si>
  <si>
    <t>27/03/64-10/04/64</t>
  </si>
  <si>
    <t>09/03/64-03/04/64</t>
  </si>
  <si>
    <t>23/02/64-16/03/64</t>
  </si>
  <si>
    <t>07/04/64-21/04/64</t>
  </si>
  <si>
    <t>20/02/63-17/03/64</t>
  </si>
  <si>
    <t>ลูกค้าบันทึกรับล่าช้า รอโอนเดือน 07/64 ค่ะ</t>
  </si>
  <si>
    <t>รายงานยอดเก็บ Foodland เดือน มิถุนายน 2564</t>
  </si>
  <si>
    <t>ยอดขายเดือน
30/03/64-30/4/64
(2)</t>
  </si>
  <si>
    <t>วางบิล 15/7/64 จ่ายเดือน7/64</t>
  </si>
  <si>
    <t>เดือนเมษายน  2564</t>
  </si>
  <si>
    <t>รายงานยอดเก็บ PT เดือน มิถุนายน 2564</t>
  </si>
  <si>
    <t>ยอดขายเดือน
1/5/64-31/5/64
(2)</t>
  </si>
  <si>
    <t>ลูกค้าได้รับใบแทนเลยรอบทำจ่าย ลูกค้าแจ้งทำจ่าย 23/7/64</t>
  </si>
  <si>
    <t>เดือนพฤษภาคม</t>
  </si>
  <si>
    <t>บิลปลายเดือน จ่าย23/7/64</t>
  </si>
  <si>
    <t>รายงานยอดเก็บ วิลล่า เดือน มิถุนายน 2564</t>
  </si>
  <si>
    <t>รายงานยอดเก็บ Family เดือน มิถุนายน  2564</t>
  </si>
  <si>
    <r>
      <t xml:space="preserve">ยอดขายเดือน
เมษายน  2564
</t>
    </r>
    <r>
      <rPr>
        <b/>
        <sz val="11"/>
        <color indexed="8"/>
        <rFont val="Arial Narrow"/>
        <family val="2"/>
      </rPr>
      <t>(2)</t>
    </r>
  </si>
  <si>
    <t>2. บิลเดือน 10/63,12/63-04/64</t>
  </si>
  <si>
    <t xml:space="preserve">4. บิลเดือน 03/64 </t>
  </si>
  <si>
    <t>บิลติด รอออก CN ราคาผิด</t>
  </si>
  <si>
    <t>5. บิลปลายเดือน 30/04/64</t>
  </si>
  <si>
    <t>จ่าย  15.07.64</t>
  </si>
  <si>
    <t>6. บิลเดือน 02-04/64</t>
  </si>
  <si>
    <t>1. บิลเดือน 04/64</t>
  </si>
  <si>
    <t>บิลปลายเดือน จ่าย 15/07/64</t>
  </si>
  <si>
    <t>รายงานยอดเก็บ The Mall เดือน มิถุนายน  2564</t>
  </si>
  <si>
    <t>ยอดเก็บประจำเดือน
มิถุนายน  2564</t>
  </si>
  <si>
    <t>มีนาคม  2564
(2)</t>
  </si>
  <si>
    <t>บิลปลายเดือน(30-31/03/64)</t>
  </si>
  <si>
    <t xml:space="preserve"> บาท  จ่าย 15.07.64</t>
  </si>
  <si>
    <t>บิลสาขาลาดพร้าว บิลเดือน 3</t>
  </si>
  <si>
    <r>
      <t xml:space="preserve">บาท  </t>
    </r>
    <r>
      <rPr>
        <sz val="11"/>
        <color rgb="FFFF0000"/>
        <rFont val="Arial Narrow"/>
        <family val="2"/>
      </rPr>
      <t>ลูกค้าไม่มีการบันทึกรับ ให้ดำเนินการติดต่อที่ฝ่าย คอนโทรล</t>
    </r>
  </si>
  <si>
    <t>บิลปลายเดือน(31/03/64)</t>
  </si>
  <si>
    <t>บิลสาขาหัวหิน บิลเดือน 2-3</t>
  </si>
  <si>
    <t>รายงานยอดเก็บ  Saha Lawson เดือน มิถุนายน 2564</t>
  </si>
  <si>
    <t>บิลปลายเดือน  26-29/04/64  จ่าย 15/07/64</t>
  </si>
  <si>
    <t>รายงานยอดเก็บ B2S เดือน มิถุนายน  2564</t>
  </si>
  <si>
    <t>ยอดเก็บประจำเดือน
มิถุนายน  256</t>
  </si>
  <si>
    <t>เดือน ม.ค,ก.พ 2564</t>
  </si>
  <si>
    <t>เดือน ม.ค,ก.พ,มี.ค 2564</t>
  </si>
  <si>
    <t>ห้างบันทึกรับล่าช้า โอนแล้วเดือน 7/64</t>
  </si>
  <si>
    <t>บิลปลายเดือน 29-31/03/64</t>
  </si>
  <si>
    <t>รายงานยอดเก็บ อิออน AEONมิถุนายน  2564</t>
  </si>
  <si>
    <t>รายงานยอดเก็บ CP All เดือน มิถุนายน  2564</t>
  </si>
  <si>
    <t>ห้างบันทึกรับล่าช้า รอโอน</t>
  </si>
  <si>
    <t>บิลปลายเดือน 26-30/04/64</t>
  </si>
  <si>
    <t>บิลปลายเดือน 29-30/04/64</t>
  </si>
  <si>
    <t>รายงานยอดเก็บ Big C เดือน มิถุนายน  2564</t>
  </si>
  <si>
    <t>ยอดขายเดือน เมษายน 2564</t>
  </si>
  <si>
    <t xml:space="preserve">เดือน ธันวาคม 2563-เมษายน 2564 </t>
  </si>
  <si>
    <t>คอนซูเมอร์ (คราฟ,mMilk)</t>
  </si>
  <si>
    <t>ห้างบันทึกล่าช้าโอนแล้วเดือน  7/64</t>
  </si>
  <si>
    <t>เป็นบิลปลายเดือน  30/04/64</t>
  </si>
  <si>
    <t>ห้างแจ้งปลด Hold แล้ว รอโอน</t>
  </si>
  <si>
    <t>รายงานยอดเก็บ TOPS เดือน มิถุนายน 2564</t>
  </si>
  <si>
    <r>
      <t xml:space="preserve">ยอดขายเดือน
เมษายน 2564
</t>
    </r>
    <r>
      <rPr>
        <b/>
        <sz val="16"/>
        <color indexed="8"/>
        <rFont val="Angsana New"/>
        <family val="1"/>
      </rPr>
      <t>(2)</t>
    </r>
  </si>
  <si>
    <t>จ่ายรอบเดือน 15-07-64</t>
  </si>
  <si>
    <t>รายงานยอดเก็บ CJ เดือน มิถุนายน  2564</t>
  </si>
  <si>
    <t>ยอดเก็บประจำเดือน มิถุนายน 2564</t>
  </si>
  <si>
    <t>ยอดขายเดือน      เมเษายน 2564</t>
  </si>
  <si>
    <t>เดือน เมษายน 2564</t>
  </si>
  <si>
    <t>บิลปลายเดือนรอจ่ายรอบเดือน 07/64</t>
  </si>
  <si>
    <t>09/03/64-08/04/64</t>
  </si>
  <si>
    <t>18/03/64-28/04/64</t>
  </si>
  <si>
    <t>04/03/64-06/04/64</t>
  </si>
  <si>
    <t>04/03/64-09/04/64</t>
  </si>
  <si>
    <t>25/03/64-24/04/64</t>
  </si>
  <si>
    <t>25/03//64-28/04/64</t>
  </si>
  <si>
    <t>25/03/64-28/04/64</t>
  </si>
  <si>
    <r>
      <t>เป็นบิลที่ยังไม่ถึงดิว เนื่องจากลูกค้า</t>
    </r>
    <r>
      <rPr>
        <sz val="11"/>
        <color rgb="FFFF0000"/>
        <rFont val="Arial Narrow"/>
        <family val="2"/>
      </rPr>
      <t xml:space="preserve">นับจากวันที่บันทึกรับสินค้า </t>
    </r>
  </si>
  <si>
    <t>รายงานยอดเก็บ Makro เดือนมิถุนายน 64</t>
  </si>
  <si>
    <t>21.03.64 - 17.04.64</t>
  </si>
  <si>
    <t>ยอดเก็บประจำเดือน
มิถุนายน 64</t>
  </si>
  <si>
    <t xml:space="preserve"> 05.04.64 - 03.05.64 </t>
  </si>
  <si>
    <t xml:space="preserve"> -   </t>
  </si>
  <si>
    <t xml:space="preserve"> บาท แยกดังนี้ </t>
  </si>
  <si>
    <t xml:space="preserve"> บาท =&gt; รอเอกสารจากrecall เตรียมทำจ่าย เนื่องจากโควิด เอกสารยังไม่มา </t>
  </si>
  <si>
    <t>3. บิลเดือน4.64 (02.04.64-17.04.64) คงค้าง</t>
  </si>
  <si>
    <t xml:space="preserve"> บาท =&gt; จ่ายเดือน 7.64 </t>
  </si>
  <si>
    <t>1. บิลเดือน4.64 (16 - 17.04.64)คงค้าง</t>
  </si>
  <si>
    <t>รายงานยอดเก็บ Lotus เดือนมิถุนายน  2564</t>
  </si>
  <si>
    <t>ยอดเก็บประจำเดือน_x000D_
มิถุนายน 64(Lotus Pay 4-25.06.64)</t>
  </si>
  <si>
    <t xml:space="preserve"> 01/03/64-31/03/64 </t>
  </si>
  <si>
    <t>01/04/64-30/04/64</t>
  </si>
  <si>
    <t>01/03/64-31/03/64</t>
  </si>
  <si>
    <t xml:space="preserve"> บาท รายละเอียดดังนี้ </t>
  </si>
  <si>
    <t xml:space="preserve"> บาท </t>
  </si>
  <si>
    <t xml:space="preserve"> ติดตามโลตัสแล้ว สนญ.แจ้งว่ามีบางสาขาทำMemo เข้ามาแล้วรอที่จะทำจ่ายในเดือน4/64 และกำลังติดตามMemo อีกบางส่วน </t>
  </si>
  <si>
    <t xml:space="preserve"> สาขาทำรับเข้าแล้ว รอสนญ ทำจ่าย แต่เจ้าที่ WFH ต้องรอกลับมาดูเอกสารจึงทำจ่ายได้ </t>
  </si>
  <si>
    <t xml:space="preserve"> บิลคงค้าง คือ สินค้ากราฟท์ ซิงเกิ้ลชีส  เนื่องจากมีสินค้าคืน มากกว่า จำนวนบิล จะจ่ายในวันที่ 02.07.64 </t>
  </si>
  <si>
    <t>6.บิลเดือน 3/64</t>
  </si>
  <si>
    <t xml:space="preserve"> บิลปลายเดือน3/64 จ่าย 02.07.64 </t>
  </si>
  <si>
    <t>1.บิลเดือน 4/64</t>
  </si>
  <si>
    <t xml:space="preserve"> บิลปลายเดือน4/64 จ่าย 02.07.64 </t>
  </si>
  <si>
    <t xml:space="preserve"> ติดตามโลตัสแล้ว แต่เจ้าหน้ายังคง WFH ต้องรอกลับมาดูที่เอกสารก่อน </t>
  </si>
  <si>
    <t>รายงานยอดเก็บ Boot เดือน มิถุนายน    2564</t>
  </si>
  <si>
    <t>ยอดเก็บประจำเดือน
มิถุนายน    2564</t>
  </si>
  <si>
    <t>สินค้าฟิชเชอร์แมน</t>
  </si>
  <si>
    <r>
      <t xml:space="preserve">ยอดขายเดือนพฤษภาคม 2564
</t>
    </r>
    <r>
      <rPr>
        <b/>
        <sz val="11"/>
        <color indexed="8"/>
        <rFont val="Arial Narrow"/>
        <family val="2"/>
      </rPr>
      <t>(2)</t>
    </r>
  </si>
  <si>
    <t>รายงานยอดเก็บ Foodland เดือน กรกฎาคม 2564</t>
  </si>
  <si>
    <t>ยอดเก็บประจำเดือน
กรกฎาคม 2564</t>
  </si>
  <si>
    <t>ยอดขายเดือน
01/05/64-31/5/64
(2)</t>
  </si>
  <si>
    <t>เดือนพฤษภาคม  2564</t>
  </si>
  <si>
    <t>วางบิล 20/7/64 จ่ายเดือน8/64</t>
  </si>
  <si>
    <t>รายงานยอดเก็บ PT เดือน กรกฎาคม 2564</t>
  </si>
  <si>
    <t>ยอดขายเดือน
1/6/64-30/6/64
(2)</t>
  </si>
  <si>
    <t>บิลปลายเดือน จ่าย27/8/64</t>
  </si>
  <si>
    <t>เดือนมิถุนายน</t>
  </si>
  <si>
    <t>**ได้รับเอกสารจากคลังและเอกสารจากสาขาล่าช้าเนื่องจากปัญหาการขนส่ง</t>
  </si>
  <si>
    <t>คัดสำเนา</t>
  </si>
  <si>
    <t>รายงานยอดเก็บ Watson เดือน กรกฎาคม  2564</t>
  </si>
  <si>
    <t>02/06/64-30/06/64</t>
  </si>
  <si>
    <t>06/05/64-31/05/64</t>
  </si>
  <si>
    <t>21/04/64-15/05/64</t>
  </si>
  <si>
    <t>05/04/64-01/05/64</t>
  </si>
  <si>
    <t>17/03/64-10/04/64</t>
  </si>
  <si>
    <t>05/05/64-26/05/64</t>
  </si>
  <si>
    <t>20/03/63-10/04/64</t>
  </si>
  <si>
    <t>รายงานยอดเก็บ Big C เดือน กรกฎาคม  2564</t>
  </si>
  <si>
    <t>ยอดเก็บประจำเดือน
กรกฎาคม  2564</t>
  </si>
  <si>
    <t>ยอดขายเดือน พฤษภาคม 2564</t>
  </si>
  <si>
    <t>คอนซูเมอร์(KRAFTซิงเกิ้ลโพรเซสชีส)</t>
  </si>
  <si>
    <t xml:space="preserve">เดือน ธันวาคม 2563-พฤษภาคม 2564 </t>
  </si>
  <si>
    <t>ห้างแจ้งติด CN สาขา ADJ CN ออก 26/07/64 รอโอน</t>
  </si>
  <si>
    <t>เป็นบิลปลายเดือน  31/05/64</t>
  </si>
  <si>
    <t>ห้างแจ้งปลด Hold แล้วโอนเดือน 8/64</t>
  </si>
  <si>
    <t>รายงานยอดเก็บ B2S เดือน กรกฏาคม  2564</t>
  </si>
  <si>
    <t>ยอดเก็บประจำเดือน
กรกฎาคม  256</t>
  </si>
  <si>
    <t>เดือน มี.ค , พ.ย 2563</t>
  </si>
  <si>
    <t>ห้างแจ้งไม่พบข้อมูลในระบบ อยู่ระหว่างติดตาม</t>
  </si>
  <si>
    <t xml:space="preserve">ห้างบันทึกรับ เดือน 7 รอโอนเดือน 10/64 </t>
  </si>
  <si>
    <t>เดือน ม.ค,ก.พ,มี.ค,เม.ย 2564</t>
  </si>
  <si>
    <t>ห้างบันทึกรับล่าช้า โอนแล้วเดือน 8/64</t>
  </si>
  <si>
    <t>รายงานยอดเก็บ CP All เดือน กรกฎาคม  2564</t>
  </si>
  <si>
    <t>ยอดขายเดือน
พฤษภาคม 2564
(2)</t>
  </si>
  <si>
    <t>บิลปลายเดือน 29-31/05/64</t>
  </si>
  <si>
    <t>ติดเอกสารใบลดหนี้ ยื่นแล้ว รอโอน</t>
  </si>
  <si>
    <t>รายงานยอดเก็บ วิลล่า เดือน กรกฎาคม  2564</t>
  </si>
  <si>
    <t>29/04/64-26/05/64</t>
  </si>
  <si>
    <t>29/04/64-19/05/64</t>
  </si>
  <si>
    <t>25/04/64-26/05/64</t>
  </si>
  <si>
    <t>09/04//64-10/05/64</t>
  </si>
  <si>
    <t>29/04//64-26/05/64</t>
  </si>
  <si>
    <t>07/04/64-07/05/64</t>
  </si>
  <si>
    <t>10/04/64-07/05/64</t>
  </si>
  <si>
    <t>26/04/64-26/05/64</t>
  </si>
  <si>
    <t>รายงานยอดเก็บ อิออน AEON กรกฎาคม  2564</t>
  </si>
  <si>
    <t>ยอดเก็บประจำเดือนกรกฎาคม  2564</t>
  </si>
  <si>
    <r>
      <t xml:space="preserve">ยอดขายเดือน
พฤษภาคม 2564
</t>
    </r>
    <r>
      <rPr>
        <b/>
        <sz val="11"/>
        <color indexed="8"/>
        <rFont val="Arial Narrow"/>
        <family val="2"/>
      </rPr>
      <t>(2)</t>
    </r>
  </si>
  <si>
    <t xml:space="preserve"> Total</t>
  </si>
  <si>
    <t>1. บิลเดือน1/64 คงค้างจำนวน</t>
  </si>
  <si>
    <t>4. บิลเดือน4/64 คงค้างจำนวน</t>
  </si>
  <si>
    <t>3. บิลเดือน3/64 คงค้างจำนวน</t>
  </si>
  <si>
    <t>5. บิลเดือน5/64 คงค้างจำนวน</t>
  </si>
  <si>
    <t>2. บิลเดือน2/64 คงค้างจำนวน</t>
  </si>
  <si>
    <t xml:space="preserve">ยอดคงค้าง คอนซูเมอร์ </t>
  </si>
  <si>
    <t>จำนวนทั้งสิ้น</t>
  </si>
  <si>
    <t>บาท กำลังติดตามแก้ไขปัญหา</t>
  </si>
  <si>
    <t>6. บิลปลายเดือน5/64 จำนวน</t>
  </si>
  <si>
    <t>บาท วางบิล 05/08/64 จ่าย 16/08/64</t>
  </si>
  <si>
    <t>บาท  บิลติดปัญหา PO. ยกเลิก ให้ลูกค้าแก้ไขแล้วจ่าย 16/08/64</t>
  </si>
  <si>
    <t>รายงานยอดเก็บ Makro เดือนกรกฏาคม 64</t>
  </si>
  <si>
    <t>ยอดเก็บประจำเดือน
กรกฎาคม 64</t>
  </si>
  <si>
    <r>
      <t xml:space="preserve">ยอดยกมา
</t>
    </r>
    <r>
      <rPr>
        <sz val="11"/>
        <color indexed="8"/>
        <rFont val="Arial Narrow"/>
        <family val="2"/>
      </rPr>
      <t>(1)</t>
    </r>
  </si>
  <si>
    <r>
      <t xml:space="preserve">จำนวนเงินยอดขาย
</t>
    </r>
    <r>
      <rPr>
        <sz val="11"/>
        <color indexed="8"/>
        <rFont val="Arial Narrow"/>
        <family val="2"/>
      </rPr>
      <t>(2)</t>
    </r>
  </si>
  <si>
    <r>
      <t xml:space="preserve">ค่าใช้จ่าย
</t>
    </r>
    <r>
      <rPr>
        <sz val="11"/>
        <color indexed="8"/>
        <rFont val="Arial Narrow"/>
        <family val="2"/>
      </rPr>
      <t>(3)</t>
    </r>
  </si>
  <si>
    <r>
      <t xml:space="preserve">CN
</t>
    </r>
    <r>
      <rPr>
        <sz val="11"/>
        <color indexed="8"/>
        <rFont val="Arial Narrow"/>
        <family val="2"/>
      </rPr>
      <t>(4)</t>
    </r>
  </si>
  <si>
    <r>
      <t xml:space="preserve">ยอดที่ต้องชำระ(5)
</t>
    </r>
    <r>
      <rPr>
        <sz val="11"/>
        <color indexed="8"/>
        <rFont val="Arial Narrow"/>
        <family val="2"/>
      </rPr>
      <t xml:space="preserve">[(1)+(2)-(3)-(4)]
</t>
    </r>
  </si>
  <si>
    <r>
      <t xml:space="preserve">ยอดที่ลูกค้าจ่าย
</t>
    </r>
    <r>
      <rPr>
        <sz val="11"/>
        <color indexed="8"/>
        <rFont val="Arial Narrow"/>
        <family val="2"/>
      </rPr>
      <t>(6)</t>
    </r>
  </si>
  <si>
    <r>
      <t>% ที่เก็บได้
 [(6/5)*100]</t>
    </r>
    <r>
      <rPr>
        <sz val="11"/>
        <color indexed="8"/>
        <rFont val="Arial Narrow"/>
        <family val="2"/>
      </rPr>
      <t xml:space="preserve">
</t>
    </r>
  </si>
  <si>
    <r>
      <t xml:space="preserve">ยอดที่ค้างชำระ(7)
</t>
    </r>
    <r>
      <rPr>
        <sz val="11"/>
        <color indexed="8"/>
        <rFont val="Arial Narrow"/>
        <family val="2"/>
      </rPr>
      <t>(5) - (6)</t>
    </r>
  </si>
  <si>
    <r>
      <t>% ยอดคงค้าง
 [(7/5)]*100]</t>
    </r>
    <r>
      <rPr>
        <sz val="11"/>
        <color indexed="8"/>
        <rFont val="Arial Narrow"/>
        <family val="2"/>
      </rPr>
      <t xml:space="preserve">
</t>
    </r>
  </si>
  <si>
    <t>18.04.64-15.05.64</t>
  </si>
  <si>
    <t>04.05.64-31.05.64</t>
  </si>
  <si>
    <t>2. บิลเดือน5.64 (14.05.64-15.05.64) คงค้าง</t>
  </si>
  <si>
    <t>บาท =&gt; จ่ายเดือน 8.64</t>
  </si>
  <si>
    <t>1. บิลเดือน5.64 (15.04.64)คงค้าง</t>
  </si>
  <si>
    <t>รายงานยอดเก็บ Boot เดือน กรกฎาคม    2564</t>
  </si>
  <si>
    <t>ยอดเก็บประจำเดือน
กรกฎาคม    2564</t>
  </si>
  <si>
    <r>
      <t xml:space="preserve">ยอดขายเดือนมิถุนายน 2564
</t>
    </r>
    <r>
      <rPr>
        <b/>
        <sz val="11"/>
        <color indexed="8"/>
        <rFont val="Arial Narrow"/>
        <family val="2"/>
      </rPr>
      <t>(2)</t>
    </r>
  </si>
  <si>
    <t>รายงานยอดเก็บ Family เดือน กรกฎาคม  2564</t>
  </si>
  <si>
    <r>
      <t xml:space="preserve">ยอดขายเดือน
พฤษภาคม  2564
</t>
    </r>
    <r>
      <rPr>
        <b/>
        <sz val="11"/>
        <color indexed="8"/>
        <rFont val="Arial Narrow"/>
        <family val="2"/>
      </rPr>
      <t>(2)</t>
    </r>
  </si>
  <si>
    <t>1. บิลเดือน 8-10/63,12/63  - 05/64</t>
  </si>
  <si>
    <t xml:space="preserve">ขอใบแทน  </t>
  </si>
  <si>
    <t>2. บิลเดือน 02/63,10/63,01/64,03-05/64</t>
  </si>
  <si>
    <t xml:space="preserve">3. บิลเดือน 7/63-05/64 </t>
  </si>
  <si>
    <t>บิลติด รอออก CN</t>
  </si>
  <si>
    <t>5. บิลปลายเดือน 31/05/64</t>
  </si>
  <si>
    <t>จ่าย  15.08.64</t>
  </si>
  <si>
    <t>6. บิลเดือน 06-07/63,10/63-05/64</t>
  </si>
  <si>
    <t>อยู่ระหว่าง IT ลูกค้านำข้อมูลเข้าระบบ</t>
  </si>
  <si>
    <t>รายงานยอดเก็บ The Mall เดือน กรกฎาคม  2564</t>
  </si>
  <si>
    <t>เมษายน  2564
(2)</t>
  </si>
  <si>
    <t>บิลปลายเดือน(28/04/64)</t>
  </si>
  <si>
    <t xml:space="preserve"> บาท  จ่าย 16.08.64</t>
  </si>
  <si>
    <t>บาท  ลูกค้าไม่มีข้อมูลบันทึกรับ เซลล์กำลังดำเนินการติดต่อฝ่ายคอนโทรล</t>
  </si>
  <si>
    <t>บิลปลายเดือน(30/04/64)</t>
  </si>
  <si>
    <t>บิลสาขาหัวหิน บิลเดือน 2-4</t>
  </si>
  <si>
    <t>บาท ยอดลูกหนี้ติดลบ  มียอดบวกเข้ามาบันทึกเข้าเดือน 4 จ่าย 16/8/64</t>
  </si>
  <si>
    <t>บิลสาขาอ่อนนุช  บิลเดือน 3- 4</t>
  </si>
  <si>
    <t>บาท ยอดลูกหนี้ติดลบ  CN มากกว่าบิล</t>
  </si>
  <si>
    <t>รายงานยอดเก็บ  Saha Lawson เดือน กรกฎาคม 2564</t>
  </si>
  <si>
    <t>บิลปลายเดือน  27-31/05/64  จ่าย 16/08/64</t>
  </si>
  <si>
    <t>รายงานยอดเก็บ Lotus เดือนกรกฎาคม 2564</t>
  </si>
  <si>
    <t>ยอดเก็บประจำเดือน
กรกฎาคม 64(Lotus Pay 2-23.07.64)</t>
  </si>
  <si>
    <t>01/05/64-31/05/64</t>
  </si>
  <si>
    <t>ยอดเก็บประจำเดือน
กรกฎาคม 64(Lotus Pay 31.07.64)</t>
  </si>
  <si>
    <t>25/05/64-31/05/64</t>
  </si>
  <si>
    <t>รอบจ่ายเดิอน7.64 จ่ายสินค้าที่ Credit 60 วัน  2 รอบ เนื่องจากครบรอบจ่ายแล้วและวันศุกร์สุดท้ายของเดือนกรกฎาคม เป็น วันที่ 31 ก.ค   ดังนัน โลตัสจะมีDue การจ่ายอีกครั้งวันที่ 03.09.64ค่ะ</t>
  </si>
  <si>
    <t>4.บิลเดือน 3/64</t>
  </si>
  <si>
    <t>แยกเป็นบิลคงค้าง เฟอเรโร จำนวนเงิน 127,555.35 บาท  เนื่องจากไม่ได้บันทึกตั้งหนี้ ได้แก้ไขแล้ว จะจ่ายวันที่ 03.09.64 และ</t>
  </si>
  <si>
    <t xml:space="preserve">บิลคงค้าง สินค้าบะหมีลัคกี้มี จำนวนเงิน 670,109.11 บาท  มีค่าใช้จ่าย ที่สูงกว่า ยอดชำระ </t>
  </si>
  <si>
    <t>5.บิลเดือน 4/64</t>
  </si>
  <si>
    <t>บิลคงค้าง สินค้าบะหมีลัคกี้มี จำนวนเงิน 67,896.46 บาท   มีค่าใช้จ่าย ที่สูงกว่า ยอดชำระ และ</t>
  </si>
  <si>
    <t>บิลค้าง สินค้าเมจิชอค จำนวนเงิน 133,863.55 บาท มีค่าใช้จ่าย ที่สูงกว่า ยอดชำระ</t>
  </si>
  <si>
    <t>6.บิลเดือน 5/64</t>
  </si>
  <si>
    <t>จ่าย 03.09.64</t>
  </si>
  <si>
    <t>1.บิลวันที่ 30.05.64</t>
  </si>
  <si>
    <t>บิลปลายเดือน5/64 จ่าย 06.08.64</t>
  </si>
  <si>
    <t>แก้ไขปัญหาแล้ว เกิดจากการคีย์รับสินค้า เลขที่POผิด คาดว่าจะทำจ่ายวันที่ 03.09.64</t>
  </si>
  <si>
    <t>2.บิลเดือน 5/64</t>
  </si>
  <si>
    <t>บิลปลายเดือน5/64 จ่าย 03.09.64</t>
  </si>
  <si>
    <t>รายงานยอดเก็บ CJ เดือน กรกฎาคม  2564</t>
  </si>
  <si>
    <t>ยอดเก็บประจำเดือน กรกฎาคม 2564</t>
  </si>
  <si>
    <t>ยอดขายเดือน      พฤษภาคม 2564</t>
  </si>
  <si>
    <t>เดือน พฤษภาคม 2564</t>
  </si>
  <si>
    <t>บิลปลายเดือนรอจ่ายรอบเดือน 08/64</t>
  </si>
  <si>
    <t>ลูกค้าไม่จ่ายเนื่องจากไม่ได้รับ CN กำลังติดตาม</t>
  </si>
  <si>
    <t>รายงานยอดเก็บ TOPS เดือน กรกฎาคม 2564</t>
  </si>
  <si>
    <r>
      <t xml:space="preserve">ยอดขายเดือน
พฤษภาคม 2564
</t>
    </r>
    <r>
      <rPr>
        <b/>
        <sz val="16"/>
        <color indexed="8"/>
        <rFont val="Angsana New"/>
        <family val="1"/>
      </rPr>
      <t>(2)</t>
    </r>
  </si>
  <si>
    <t>เดือน พฤษภาคม  2564</t>
  </si>
  <si>
    <t>จ่ายรอบเดือน 16-08-64</t>
  </si>
  <si>
    <t xml:space="preserve">       บิลเดือน6/64</t>
  </si>
  <si>
    <t>บิลค้างเดือน12/63 - เดือน5/64 เนื่องจากยอดค่าใช้จ่าย มากกว่า ยอดที่ต้องชำระ</t>
  </si>
  <si>
    <t>กลุ่มสินค้าชอค(Sensitive)</t>
  </si>
  <si>
    <t>บิลเดือน5/64 ลูกค้าไม่จ่าย เนื่องจากยอดค่าใช้จ่าย มากกว่า ยอดที่ต้องชำระ</t>
  </si>
  <si>
    <t>บิลค้างเดือน2/64 - เดือน5/64 เนื่องจากยอดค่าใช้จ่าย มากกว่า ยอดที่ต้องชำระ</t>
  </si>
  <si>
    <t xml:space="preserve">บิลค้างเดือน12/63 - เดือน6/64 เนื่องจากยอดค่าใช้จ่าย มากกว่า ยอดที่ต้องชำระ </t>
  </si>
  <si>
    <t>บิลเดือน5/64 - เดือน6/64  เนื่องจากยอดค่าใช้จ่าย มากกว่า ยอดที่ต้องชำระ</t>
  </si>
  <si>
    <t>บิลค้างเดือน2/64 - เดือน6/64 เนื่องจากยอดค่าใช้จ่าย มากกว่า ยอดที่ต้องชำระ</t>
  </si>
  <si>
    <t>บิลเดือน5/64-เดือน6/64 เนื่องจากยอดค่าใช้จ่าย มากกว่า ยอดที่ต้องชำระ</t>
  </si>
  <si>
    <t>จากข้อมูลที่ได้รับแจ้งจากลูกค้า ค่าใช้จ่ายทุกกลุ่มสินค้าประมาณ 1,196,000 และ  CN ยอดรวม  115,000  จึงยังทำจ่ายไม่ได้</t>
  </si>
  <si>
    <t>บิลเดือน6/64 เนื่องจากยอดค่าใช้จ่าย มากกว่า ยอดที่ต้องชำระ</t>
  </si>
  <si>
    <t>รายงานยอดเก็บ Watson เดือน สิงหาคม  2564</t>
  </si>
  <si>
    <t>ยอดเก็บประจำเดือน
สิงหาคม 2564</t>
  </si>
  <si>
    <t>03/07/64-30/07/64</t>
  </si>
  <si>
    <t>02/06/64-3/07/64</t>
  </si>
  <si>
    <t>22/05/64-19/06/64</t>
  </si>
  <si>
    <t>06/05/64-05/06/64</t>
  </si>
  <si>
    <t>21/04/64-19/05/64</t>
  </si>
  <si>
    <t>26/06/64-02/07/64</t>
  </si>
  <si>
    <t>21/04/63-19/05/64</t>
  </si>
  <si>
    <t>ลูกค้าบันทึกรับล่าช้า รอโอนเดือน 09/64 ค่ะ</t>
  </si>
  <si>
    <t>รายงานยอดเก็บ PT เดือน สิงหาคม 2564</t>
  </si>
  <si>
    <t>ยอดขายเดือน
1/7/64-31/7/64
(2)</t>
  </si>
  <si>
    <t>จ่ายวันที่ 24/9/64</t>
  </si>
  <si>
    <t>เดือนกรกฎาคม</t>
  </si>
  <si>
    <t>**ได้รับเอกสารจากคลังและได้รับเอกสารจากสาขาล่าช้าเนื่องจากปัญหาการขนส่ง</t>
  </si>
  <si>
    <t>รายงานยอดเก็บ Foodland เดือน สิงหาคม 2564</t>
  </si>
  <si>
    <t>ยอดขายเดือน
01/06/64-27/6/64
(2)</t>
  </si>
  <si>
    <t>จ่ายวันที่15/9/64</t>
  </si>
  <si>
    <t>รายงานยอดเก็บ อิออน AEON สิงหาคม  2564</t>
  </si>
  <si>
    <r>
      <t xml:space="preserve">ยอดขายเดือน
มิถุนายน 2564
</t>
    </r>
    <r>
      <rPr>
        <b/>
        <sz val="11"/>
        <color indexed="8"/>
        <rFont val="Arial Narrow"/>
        <family val="2"/>
      </rPr>
      <t>(2)</t>
    </r>
  </si>
  <si>
    <t>ยอดเก็บประจำเดือนสิงหาคม  2564</t>
  </si>
  <si>
    <t>คอนซูเมอร์ - สินค้าตะไคร้</t>
  </si>
  <si>
    <r>
      <t xml:space="preserve">ยอดขายเดือน
กรกฎาคม 2564
</t>
    </r>
    <r>
      <rPr>
        <b/>
        <sz val="11"/>
        <color indexed="8"/>
        <rFont val="Arial Narrow"/>
        <family val="2"/>
      </rPr>
      <t>(2)</t>
    </r>
  </si>
  <si>
    <t>2. บิลเดือน3/64 คงค้างจำนวน</t>
  </si>
  <si>
    <t>3. บิลเดือน4/64 คงค้างจำนวน</t>
  </si>
  <si>
    <t>4. บิลเดือน5/64 คงค้างจำนวน</t>
  </si>
  <si>
    <t>5. บิลปลายเดือน5/64 จำนวน</t>
  </si>
  <si>
    <t>บาท บิลเดือน6/64 =&gt; ที่ติดปัญหา แก้ไขแล้ว รอจ่าย 15.09.64</t>
  </si>
  <si>
    <t>เปลี่ยนการวางบิลและจ่ายเงิน  เมื่อขายแล้วให้วางบิล 1-5 ของเดือนถัดไปและ โอนเงินภายในสิ้นเดือน เช่น บิลเดือน7 วางบิล วันที่ 5/8/64 โอนเงิน 31/8/64 ซึ่งทำให้ได้รับเงินเร็วขึ้น 15 วัน</t>
  </si>
  <si>
    <t>รายงานยอดเก็บ Boot เดือน สิงหาคม    2564</t>
  </si>
  <si>
    <t>ยอดเก็บประจำเดือน
สิงหาคม    2564</t>
  </si>
  <si>
    <r>
      <t xml:space="preserve">ยอดขายเดือนกรกฎาคม 2564
</t>
    </r>
    <r>
      <rPr>
        <b/>
        <sz val="11"/>
        <color indexed="8"/>
        <rFont val="Arial Narrow"/>
        <family val="2"/>
      </rPr>
      <t>(2)</t>
    </r>
  </si>
  <si>
    <t xml:space="preserve">       บิลเดือน7/64</t>
  </si>
  <si>
    <t>ลูกค้า Hold ไว้สำรองค่าใช้จ่าย</t>
  </si>
  <si>
    <t>บิลค้างเดือน7/64</t>
  </si>
  <si>
    <t xml:space="preserve">รอบจ่ายเดือน8/64  ยังคงมียอดใบลดหนี้อีกจำนวน 409,632.24 บาท ที่ขอ Boot อย่าเพิ่งนำมาหัก ขอเคลียร์ ค่าใช้จ่ายที่คงค้างมาระยะหนึ่งแล้ว </t>
  </si>
  <si>
    <t xml:space="preserve">ส่วนใบลดหนี้จำนวนนี้ให้หักในรอบจ่ายถัดไป  Boot จึงขอ Hold  บิลเดือน7/64 ไว้ก่อน </t>
  </si>
  <si>
    <t>ยอดเก็บประจำเดือน
 พฤษภาคม 2564</t>
  </si>
  <si>
    <t>รายงานยอดเก็บ วิลล่า เดือน สิงหาคม  2564</t>
  </si>
  <si>
    <t>27/05/64-30/06/64</t>
  </si>
  <si>
    <t>20/05/64-30/06/64</t>
  </si>
  <si>
    <t>11/05//64-15/06/64</t>
  </si>
  <si>
    <t>27/05//64-30/06/64</t>
  </si>
  <si>
    <t>08/05/64-09/06/64</t>
  </si>
  <si>
    <t>ยูซีซี</t>
  </si>
  <si>
    <t>รายงานยอดเก็บ Makro เดือนสิงหาคม 64</t>
  </si>
  <si>
    <t>ยอดเก็บประจำเดือน
สิงหาคม 64</t>
  </si>
  <si>
    <t>16.05.64-19.06.64</t>
  </si>
  <si>
    <t>01.06.64-05.07.64</t>
  </si>
  <si>
    <t>บาท =&gt; รอเอกสารจากrecall เตรียมทำจ่าย เนื่องจากโควิด เอกสารยังไม่มา และเจ้าหน้าที่ยังไม่เข้าบริษัท</t>
  </si>
  <si>
    <t>2. บิลเดือน6.64 (13.06.64-19.06.64) คงค้าง</t>
  </si>
  <si>
    <t>1. บิลเดือน6.64 (18-19.06.64)คงค้าง</t>
  </si>
  <si>
    <t>บาท =&gt; จ่ายเดือน 9.64</t>
  </si>
  <si>
    <t>รายงานยอดเก็บ Lotus เดือนสิงหาคม 2564</t>
  </si>
  <si>
    <t>ยอดเก็บประจำเดือน
สิงหาคม 64(Lotus Pay 6-27.08.64)</t>
  </si>
  <si>
    <t>01/06/64-30/06/64</t>
  </si>
  <si>
    <t>1.บิลวันที่ 29-30.06.64</t>
  </si>
  <si>
    <t>บิลปลายเดือน6/64 จ่าย 03.09.64</t>
  </si>
  <si>
    <t>รอบจ่ายเดิอน7.64 จ่ายสินค้าที่ Credit 60 วัน  2 รอบ เนื่องจากครบรอบจ่ายแล้วและวันศุกร์สุดท้ายของเดือนกรกฎาคม เป็น วันที่ 31 ก.ค   ดังนัน โลตัสจะมีDue การจ่ายอีกครั้งวันที่ 03.09.64</t>
  </si>
  <si>
    <t>รายงานยอดเก็บ  Saha Lawson เดือน สิงหาคม 2564</t>
  </si>
  <si>
    <t>บิลปลายเดือน  28-30/06/64  จ่าย 15/09/64</t>
  </si>
  <si>
    <t>บิล 24/06/64 วางบิลบิล 08/64 จ่าย 15/9/64</t>
  </si>
  <si>
    <t>รายงานยอดเก็บ Family เดือน สิงหาคม  2564</t>
  </si>
  <si>
    <r>
      <t xml:space="preserve">ยอดขายเดือน
มิถุนายน  2564
</t>
    </r>
    <r>
      <rPr>
        <b/>
        <sz val="11"/>
        <color indexed="8"/>
        <rFont val="Arial Narrow"/>
        <family val="2"/>
      </rPr>
      <t>(2)</t>
    </r>
  </si>
  <si>
    <t>2. บิลเดือน 02/63,10/63,01/64,03-06/64</t>
  </si>
  <si>
    <t xml:space="preserve">3. บิลเดือน 7/63-06/64 </t>
  </si>
  <si>
    <t>5. บิลปลายเดือน 29-30/06/64</t>
  </si>
  <si>
    <t>7.บิลเดือน 06/64</t>
  </si>
  <si>
    <t>1. บิลเดือน 06/64</t>
  </si>
  <si>
    <t>บันทึกตั้งหนี้แล้ว  จ่าย 15/09/64</t>
  </si>
  <si>
    <t>รายงานยอดเก็บ The Mall เดือน สิงหาคม  2564</t>
  </si>
  <si>
    <t>ยอดเก็บประจำเดือน
สิงหาคม  2564</t>
  </si>
  <si>
    <t>พฤษภาคม  2564
(2)</t>
  </si>
  <si>
    <t xml:space="preserve">ยอดค้างชำระทั้งหมด ณ เดือน 08/64  </t>
  </si>
  <si>
    <t>บิลปลายเดือน(31/05/64)</t>
  </si>
  <si>
    <t xml:space="preserve"> บาท  จ่าย 15.09.64</t>
  </si>
  <si>
    <t xml:space="preserve">ยอดค้างชำระทั้งหมด ณ เดือน 08/64 </t>
  </si>
  <si>
    <t>บิลสาขาลาดพร้าว บิลเดือน 5</t>
  </si>
  <si>
    <t>บิลสาขาอ่อนนุช  บิลเดือน 3- 5</t>
  </si>
  <si>
    <t>รายงานยอดเก็บ TOPS เดือน สิงหาคม 2564</t>
  </si>
  <si>
    <r>
      <t xml:space="preserve">ยอดขายเดือน
มิถุนายน 2564
</t>
    </r>
    <r>
      <rPr>
        <b/>
        <sz val="16"/>
        <color indexed="8"/>
        <rFont val="Angsana New"/>
        <family val="1"/>
      </rPr>
      <t>(2)</t>
    </r>
  </si>
  <si>
    <t>เดือน มิถุนายน  2564</t>
  </si>
  <si>
    <t>รายงานยอดเก็บ CJ เดือน สิงหาคม  2564</t>
  </si>
  <si>
    <t>ยอดเก็บประจำเดือน สิงหาคม 2564</t>
  </si>
  <si>
    <t>ยอดขายเดือน      มิถุนายน 2564</t>
  </si>
  <si>
    <t>เดือน มิถุนายน 2564</t>
  </si>
  <si>
    <t>บิลปลายเดือนรอจ่ายรอบเดือน 09/64</t>
  </si>
  <si>
    <t>ติดปัญหาลูกค้าแจ้งว่าออกCNไม่ครบ  กำลังติดตาม</t>
  </si>
  <si>
    <t>บาท CN มากกว่าบิล จ่าย 15.09.64</t>
  </si>
  <si>
    <t>บาท  นัดจ่าย 15.10.64</t>
  </si>
  <si>
    <t>รายงานยอดเก็บ B2S เดือน สิงหาคม  2564</t>
  </si>
  <si>
    <t>ยอดเก็บประจำเดือน
สิงหาคม  256</t>
  </si>
  <si>
    <t>เดือน ม.ค,ก.พ,เม.ย 2564</t>
  </si>
  <si>
    <t>ห้างบันทึกรับล่าช้า โอนแล้วเดือน 9/64</t>
  </si>
  <si>
    <t>เดือน ม.ค-ก.พ 2564</t>
  </si>
  <si>
    <t>ห้างบันทึกรับล่าช้า นัดโอนเดือน 10/64</t>
  </si>
  <si>
    <t>บิลปลายเดือน 26-31/05/64</t>
  </si>
  <si>
    <t>บิลปลายเดือน 28-30/04/64</t>
  </si>
  <si>
    <t>บิลติด รอออก CN  จ่ายแล้ว 15.09.64</t>
  </si>
  <si>
    <t>จ่าย  15.09.64</t>
  </si>
  <si>
    <t>รายงานยอดเก็บ Big C เดือน สิงหาคม  2564</t>
  </si>
  <si>
    <t>ยอดขายเดือน มิถุนายน 2564</t>
  </si>
  <si>
    <t>คอนซูเมอร์ (mMilk)</t>
  </si>
  <si>
    <t>ห้างบันทึกรับล่าช้าโอนแล้ว เดือน 9/64</t>
  </si>
  <si>
    <t>Cerebos(STL) ธ.ค ปี 63</t>
  </si>
  <si>
    <t>คอนซูเมอร์ (คราฟ)</t>
  </si>
  <si>
    <t>ห้างไม่มีข้อมูลบันทึกรับ กำลังติดตาม</t>
  </si>
  <si>
    <t>เป็นบิลปลายเดือน  30/06/64</t>
  </si>
  <si>
    <t>รายงานยอดเก็บ CP All เดือน สิงหาคม  2564</t>
  </si>
  <si>
    <t>ยอดขายเดือน
มิถุนายน 2564
(2)</t>
  </si>
  <si>
    <t>บิลปลายเดือน 29-30/06/64</t>
  </si>
  <si>
    <t>บิลปลายเดือน 28-30/06/64</t>
  </si>
  <si>
    <t>รายงานยอดเก็บ อิออน AEON กันยายน  2564</t>
  </si>
  <si>
    <t>ยอดเก็บประจำเดือนกันยายน  2564</t>
  </si>
  <si>
    <r>
      <t xml:space="preserve">ยอดขายเดือน
สิงหาคม 2564
</t>
    </r>
    <r>
      <rPr>
        <b/>
        <sz val="11"/>
        <color indexed="8"/>
        <rFont val="Arial Narrow"/>
        <family val="2"/>
      </rPr>
      <t>(2)</t>
    </r>
  </si>
  <si>
    <t>ยอดขายเดือน
กรกฎาคม 2564
(2)</t>
  </si>
  <si>
    <t>6. บิลปลายเดือน7/64 จำนวน</t>
  </si>
  <si>
    <t>บาท บิลเดือน6/64 =&gt; จ่าย 15.10.64</t>
  </si>
  <si>
    <t>3. บิลเดือน5/64 คงค้างจำนวน</t>
  </si>
  <si>
    <t>5. บิลปลายเดือน6/64 จำนวน</t>
  </si>
  <si>
    <t>4. บิลเดือน6/64 จำนวน</t>
  </si>
  <si>
    <t>5. บิลเดือน7/64 จำนวน</t>
  </si>
  <si>
    <t xml:space="preserve"> จำนวนคงค้างทั้งสิ้น</t>
  </si>
  <si>
    <t>มีรายละเอียดดังนี้</t>
  </si>
  <si>
    <t>บิลเดือน6/64</t>
  </si>
  <si>
    <t>บิลปลายเดือน6 จ่าย 15/09/2021</t>
  </si>
  <si>
    <t>บิลติด CN - Tophold ได้นำใบลดหนี้ส่งแล้ว จะจ่าย 15/09/2021</t>
  </si>
  <si>
    <t>บิลเดือน5/64</t>
  </si>
  <si>
    <t>บิลเดือน4/64</t>
  </si>
  <si>
    <t>เดือน มิถุนายน  2564 ทั้งสิ้น</t>
  </si>
  <si>
    <t>รายงานยอดเก็บ Watsons เดือน กันยายน  2564</t>
  </si>
  <si>
    <t>ยอดเก็บประจำเดือน
กันยายน 2564</t>
  </si>
  <si>
    <t>30/07/64-13/08/64</t>
  </si>
  <si>
    <t>07/07/64-30/07/64</t>
  </si>
  <si>
    <t>26/06/64-09/07/64</t>
  </si>
  <si>
    <t>05/06/64-02/07/64</t>
  </si>
  <si>
    <t>22/05/64-18/06/64</t>
  </si>
  <si>
    <t>22/05/63-18/06/64</t>
  </si>
  <si>
    <t>ลูกค้าบันทึกรับล่าช้า รอโอนเดือน 10/64 ค่ะ</t>
  </si>
  <si>
    <t>รายงานยอดเก็บ Lotus เดือนกันยายน 2564</t>
  </si>
  <si>
    <t>ยอดเก็บประจำเดือน
กันยายน 64(Lotus Pay 3-24.09.64)</t>
  </si>
  <si>
    <t>01/07/64-31/07/64</t>
  </si>
  <si>
    <t>ติดตามโลตัสแล้ว สนญ.กำลังทยอยทำจ่ายให้ เจ้าหน้าที่ยังทำงาน WFH</t>
  </si>
  <si>
    <t>6.บิลเดือน 6/64</t>
  </si>
  <si>
    <t>บิลปลายเดือน6/64 จ่าย 01.10.64</t>
  </si>
  <si>
    <t>1.บิลวันที่ 29-31.07.64</t>
  </si>
  <si>
    <t>แก้ไขปัญหาแล้ว เกิดจากการคีย์รับสินค้า เลขที่POผิด รอทำจ่าย</t>
  </si>
  <si>
    <t>2.บิลเดือน 6/64</t>
  </si>
  <si>
    <t>รายงานยอดเก็บ Makro เดือนกันยายน 64</t>
  </si>
  <si>
    <t>ยอดเก็บประจำเดือน
กันยายน 64</t>
  </si>
  <si>
    <t>20.06.64 - 16.07.64</t>
  </si>
  <si>
    <t>06.07.64-31.07.64</t>
  </si>
  <si>
    <t>บาท =&gt; จ่ายเดือน 10.64</t>
  </si>
  <si>
    <t>1. บิลเดือน7.64 (16.07.64)คงค้าง</t>
  </si>
  <si>
    <t>1. บิลเดือน7.64 (31.07.64)คงค้าง</t>
  </si>
  <si>
    <t>บาท =&gt; จ่ายเดือน10.64</t>
  </si>
  <si>
    <t>รายงานยอดเก็บ PT เดือน กันยายน 2564</t>
  </si>
  <si>
    <t>ยอดขายเดือน
1/8/64-31/8/64
(2)</t>
  </si>
  <si>
    <t>จ่ายวันที่ 22/10/64</t>
  </si>
  <si>
    <t>เดือนสิงหาคม</t>
  </si>
  <si>
    <t>รายงานยอดเก็บ Foodland เดือน กันยายน 2564</t>
  </si>
  <si>
    <t>ยอดขายเดือน
01/07/64-31/7/64
(2)</t>
  </si>
  <si>
    <t>เดือนมิถุนายน  2564</t>
  </si>
  <si>
    <t>จ่ายวันที่15/10/64</t>
  </si>
  <si>
    <t>เดือนกรกฎาคม  2564</t>
  </si>
  <si>
    <t>รายงานยอดเก็บ Family เดือน กันยายน  2564</t>
  </si>
  <si>
    <r>
      <t xml:space="preserve">ยอดขายเดือน
กรกฎาคม  2564
</t>
    </r>
    <r>
      <rPr>
        <b/>
        <sz val="11"/>
        <color indexed="8"/>
        <rFont val="Arial Narrow"/>
        <family val="2"/>
      </rPr>
      <t>(2)</t>
    </r>
  </si>
  <si>
    <t>1. บิลเดือน 8-10/63,12/63  - 07/64</t>
  </si>
  <si>
    <t xml:space="preserve">3. บิลเดือน 7/63-07/64 </t>
  </si>
  <si>
    <t xml:space="preserve">4. บิลเดือน 07/64 </t>
  </si>
  <si>
    <t>บิลติด CNRQ</t>
  </si>
  <si>
    <t>5. บิลเดือน 07/63,11/63-07/64</t>
  </si>
  <si>
    <t>1. บิลเดือน 07/64</t>
  </si>
  <si>
    <t>รายงานยอดเก็บ The Mall เดือน กันยายน  2564</t>
  </si>
  <si>
    <t>ยอดเก็บประจำเดือน
กันยายน  2564</t>
  </si>
  <si>
    <t>มิถุนายน  2564
(2)</t>
  </si>
  <si>
    <t xml:space="preserve">ยอดค้างชำระทั้งหมด ณ เดือน 09/64  </t>
  </si>
  <si>
    <t>บิลปลายเดือน(29-30/06/64)</t>
  </si>
  <si>
    <t xml:space="preserve"> บาท  จ่าย 15.10.64</t>
  </si>
  <si>
    <t xml:space="preserve">ยอดค้างชำระทั้งหมด ณ เดือน 09/64 </t>
  </si>
  <si>
    <t>บาท  จ่าย 15.10.64</t>
  </si>
  <si>
    <t>รายงานยอดเก็บ  Saha Lawson เดือน กันยายน 2564</t>
  </si>
  <si>
    <t>บิลปลายเดือน  26-29/07/64  จ่าย 15/10/64</t>
  </si>
  <si>
    <t>บิล เดือน 07/64 วางบิลบิล 09/64 จ่าย 15/10/64</t>
  </si>
  <si>
    <t>บิลปลายเดือน  29-31/07/64  จ่าย 15/10/64</t>
  </si>
  <si>
    <t>รายงานยอดเก็บ วิลล่า เดือน กันยาน  2564</t>
  </si>
  <si>
    <t>10/06/64-07/07/64</t>
  </si>
  <si>
    <t>1/07/64-27/07/64</t>
  </si>
  <si>
    <t>16/06//64-12/07/64</t>
  </si>
  <si>
    <t>10/06/64-08/07/64</t>
  </si>
  <si>
    <t>01/07/64-27/07/64</t>
  </si>
  <si>
    <t>01/07/64-28/07/64</t>
  </si>
  <si>
    <t>01/07//64-28/07/64</t>
  </si>
  <si>
    <t>รายงานยอดเก็บ Big C เดือน กันยายน  2564</t>
  </si>
  <si>
    <t>ยอดขายเดือน กรกฎาคม 2564</t>
  </si>
  <si>
    <t xml:space="preserve">ธันวาคม 2563-มิถุนายน 2564 </t>
  </si>
  <si>
    <t>คอนซูเมอร์ (BERTRAM)</t>
  </si>
  <si>
    <t>ส่งเอกสารใบลดหนี้ 24/08/64 โอนแล้วเดือน 10/64</t>
  </si>
  <si>
    <t>ห้างนัดโอน เดือน 11/64</t>
  </si>
  <si>
    <t>กรกฎาคม 2564</t>
  </si>
  <si>
    <t>เป็นบิลปลายเดือน  29-30/07/64</t>
  </si>
  <si>
    <t>รายงานยอดเก็บ B2S เดือน กันยายน  2564</t>
  </si>
  <si>
    <t>ยอดเก็บประจำเดือน
กันยายน  256</t>
  </si>
  <si>
    <t>ห้างบันทึกรับล่าช้า จ่ายแล้วเดือน 10/64</t>
  </si>
  <si>
    <t>ห้างค้างจ่ายบิลเดือน 6 เนื่องจากจ่ายแค่ 50%  จ่ายแล้วเดือน 10/64</t>
  </si>
  <si>
    <t>รายงานยอดเก็บ CP All เดือน กันยายน  2564</t>
  </si>
  <si>
    <t>ห้างไม่มีข้อมูล อยู่ระหว่างติดตาม</t>
  </si>
  <si>
    <t>บิลปลายเดือน 31/07/64</t>
  </si>
  <si>
    <t>ทำใบแทนใบกำกับให้ร้านค้า โอนแล้วเดือน 10/64</t>
  </si>
  <si>
    <t>บิลปลายเดือน 29-31/07/64</t>
  </si>
  <si>
    <t>รายงานยอดเก็บ CJ เดือน กันยายน  2564</t>
  </si>
  <si>
    <t>ยอดเก็บประจำเดือน กันยายน 2564</t>
  </si>
  <si>
    <t>ยอดขายเดือน      กรกฎาคม 2564</t>
  </si>
  <si>
    <t>เดือน กรกฎาคม 2564</t>
  </si>
  <si>
    <t>ลูกค้าจ่ายวันที่06-10-64</t>
  </si>
  <si>
    <t>ลูกค้าจ่ายวันที่14-10-64</t>
  </si>
  <si>
    <t>บิลปลายเดือนลูกค้าจ่ายวันที่06-10-64</t>
  </si>
  <si>
    <t>รายงานยอดเก็บ TOPS เดือน กันยายน 2564</t>
  </si>
  <si>
    <r>
      <t xml:space="preserve">ยอดขายเดือน
กรกฎาคม 2564
</t>
    </r>
    <r>
      <rPr>
        <b/>
        <sz val="16"/>
        <color indexed="8"/>
        <rFont val="Angsana New"/>
        <family val="1"/>
      </rPr>
      <t>(2)</t>
    </r>
  </si>
  <si>
    <t>เดือน กรกฎาคม  2564</t>
  </si>
  <si>
    <t>บิลเดือน7/64</t>
  </si>
  <si>
    <t>บิลปลายเดือน 7 จ่าย 15/10/64</t>
  </si>
  <si>
    <t>บิลติด CN - Tophold ได้นำใบลดหนี้ส่งแล้ว จะจ่าย 15/10/64</t>
  </si>
  <si>
    <t>ส่งของเดือน9ลูกค้าจะจ่าย15/11/64</t>
  </si>
  <si>
    <t>เดือน กรกฎาคม  2564รวมทั้งสิ้น</t>
  </si>
  <si>
    <t>รายงานยอดเก็บ Foodland เดือน ตุลาคม 2564</t>
  </si>
  <si>
    <t>ยอดเก็บประจำเดือน
ตุลาคม 2564</t>
  </si>
  <si>
    <t>ยอดขายเดือน
01/08/64-31/8/64
(2)</t>
  </si>
  <si>
    <t>รายงานยอดเก็บ PT เดือน ตุลาคม 2564</t>
  </si>
  <si>
    <t>ยอดขายเดือน
1/9/64-30/9/64
(2)</t>
  </si>
  <si>
    <t>จ่ายวันที่ 26/11/64</t>
  </si>
  <si>
    <t>เดือนกันยายน</t>
  </si>
  <si>
    <t xml:space="preserve">2. บิลเดือน 02/63,05-07/64   </t>
  </si>
  <si>
    <t>รายงานยอดเก็บ วิลล่า เดือน ตุลาคม  2564</t>
  </si>
  <si>
    <t>รายงานยอดเก็บ Watsons เดือน ตุลาคม  2564</t>
  </si>
  <si>
    <t>11/09/64-30/09/64</t>
  </si>
  <si>
    <t>23/07/64-07/08/64</t>
  </si>
  <si>
    <t>07/07/64-07/08/64</t>
  </si>
  <si>
    <t>19/06/64-23/07/64</t>
  </si>
  <si>
    <t>06/08/64-13/08/64</t>
  </si>
  <si>
    <t>23/06/63-23/07/64</t>
  </si>
  <si>
    <t>ลูกค้าบันทึกรับล่าช้า รอโอนเดือน 11/64 ค่ะ</t>
  </si>
  <si>
    <t>29/07/64-17/08/64</t>
  </si>
  <si>
    <t>29/07/64-18/08/64</t>
  </si>
  <si>
    <t>29/07//64-18/08/64</t>
  </si>
  <si>
    <t>08/07/64-04/08/64</t>
  </si>
  <si>
    <t>28/07/64-18/08/64</t>
  </si>
  <si>
    <t>09/07/64-04/08/64</t>
  </si>
  <si>
    <t>13/07//64-09/08/64</t>
  </si>
  <si>
    <t>10/06/64-13/07/64</t>
  </si>
  <si>
    <t>14/07/64-04/08/64</t>
  </si>
  <si>
    <t>04/08/64-18/08/64</t>
  </si>
  <si>
    <t>01/07/64-03/08/64</t>
  </si>
  <si>
    <t xml:space="preserve">ออกใบแทนให้ลูกค้า เนื่องจากลูกค้าไม่ได้รับใบกำกับภาษี </t>
  </si>
  <si>
    <t>รายงานยอดเก็บ B2S เดือน ตุลาคม  2564</t>
  </si>
  <si>
    <t>ยอดเก็บประจำเดือน
ตุลาคม  256</t>
  </si>
  <si>
    <t>บิลปลายเดือน 26-31/07/64</t>
  </si>
  <si>
    <t>รายงานยอดเก็บ CP All เดือน ตุลาคม  2564</t>
  </si>
  <si>
    <t>ยอดเก็บประจำเดือน
ตุลาคม  2564</t>
  </si>
  <si>
    <t>ยอดขายเดือน
สิงหาคม 2564
(2)</t>
  </si>
  <si>
    <t>ติด CN ยื่นแล้ว รอโอน</t>
  </si>
  <si>
    <t>ทำใบแทนใบกำกับให้ร้านค้า รอโอน</t>
  </si>
  <si>
    <t>บิลปลายเดือน 30-31/08/64</t>
  </si>
  <si>
    <t>บิลปลายเดือน 30/08/64</t>
  </si>
  <si>
    <t>รายงานยอดเก็บ Big C เดือน ตุลาคม  2564</t>
  </si>
  <si>
    <t>ยอดขายเดือน สิงหาคม 2564</t>
  </si>
  <si>
    <t>ห้างไม่จ่าย ยอด ค่าใช้จ่าย 2,073,200.08 บาท มากกว่ายอดขาย เคลียร์แล้วโอนเดือน 11/64</t>
  </si>
  <si>
    <t>คอนซูเมอร์ (Greenday)</t>
  </si>
  <si>
    <t>ห้างไม่จ่าย ยอด ค่าใช้จ่าย 322,386.35 บาท มากกว่ายอดขาย เคลียร์แล้วโอนเดือน 11/64</t>
  </si>
  <si>
    <t>เป็นบิลปลายเดือน  29-31/07/64</t>
  </si>
  <si>
    <t>ห้างเลื่อนนัดโอน เดือน 12/64</t>
  </si>
  <si>
    <t>เป็นบิลปลายเดือน  31/07/64</t>
  </si>
  <si>
    <t>ห้างบันทึกล่าช้า+บิลปลายเดือน โอนแล้ว เดือน 11/64</t>
  </si>
  <si>
    <t>รายงานยอดเก็บ CJ เดือน ตุลาคม  2564</t>
  </si>
  <si>
    <t>ยอดเก็บประจำเดือน ตุลาคม 2564</t>
  </si>
  <si>
    <t>ยอดขายเดือน      สิงหาคม 2564</t>
  </si>
  <si>
    <t>เดือน สิงหาคม 2564</t>
  </si>
  <si>
    <t>บิลปลายเดือนลูกค้าจ่ายวันที่04-11-64</t>
  </si>
  <si>
    <t>รายงานยอดเก็บ TOPS เดือน ตุลาคม 2564</t>
  </si>
  <si>
    <r>
      <t xml:space="preserve">ยอดขายเดือน
สิงหาคม 2564
</t>
    </r>
    <r>
      <rPr>
        <b/>
        <sz val="16"/>
        <color indexed="8"/>
        <rFont val="Angsana New"/>
        <family val="1"/>
      </rPr>
      <t>(2)</t>
    </r>
  </si>
  <si>
    <t>เดือน สิงหาคม  2564</t>
  </si>
  <si>
    <t>ส่งของเดือน9ลูกค้าจ่าย15/11/64</t>
  </si>
  <si>
    <t>บิลเดือน8/64</t>
  </si>
  <si>
    <t>ลูกค้าบันทึกรับเกินตั้งเกินไว้ก่อน</t>
  </si>
  <si>
    <t>บิลปลายเดือน 8 จ่าย 15/11/64</t>
  </si>
  <si>
    <t>บิลติด CN - Tophold ได้นำใบลดหนี้ส่งแล้ว จ่าย 15/11/64</t>
  </si>
  <si>
    <t>บิลติด CN - Tophold กำลังติดตาม</t>
  </si>
  <si>
    <t>รายงานยอดเก็บ อิออน AEON ตุลาคม  2564</t>
  </si>
  <si>
    <t>ยอดเก็บประจำเดือนตุลาคม  2564</t>
  </si>
  <si>
    <r>
      <t xml:space="preserve">ยอดขายเดือน
กันยายน 2564
</t>
    </r>
    <r>
      <rPr>
        <b/>
        <sz val="11"/>
        <color indexed="8"/>
        <rFont val="Arial Narrow"/>
        <family val="2"/>
      </rPr>
      <t>(2)</t>
    </r>
  </si>
  <si>
    <t>บาทดำเนินการแก้ไขแล้ว ลูกค้า นัดจ่าย 15.11.64</t>
  </si>
  <si>
    <t>6.บิลเดือน8/64 คงค้างจำนวน</t>
  </si>
  <si>
    <t>7. บิลปลายเดือน8/64 จำนวน</t>
  </si>
  <si>
    <t>บาท บิลเดือน8/64 =&gt; จ่าย 15.11.64</t>
  </si>
  <si>
    <t>ติดตามโลตัสแล้ว สนญ.แจ้งกำหนดจ่าย 01.10.2021</t>
  </si>
  <si>
    <t>รายงานยอดเก็บ Lotus เดือนตุลาคม 2564</t>
  </si>
  <si>
    <t>ตุลาคม 64(Lotus Pay 1-29.10.64)</t>
  </si>
  <si>
    <t>01/08/64-3108/64</t>
  </si>
  <si>
    <t>4.บิลเดือน 4/64</t>
  </si>
  <si>
    <t>ติดตามโลตัสแล้ว สนญ.แจ้งกำหนดจ่าย 05.11.64</t>
  </si>
  <si>
    <t>6.บิลเดือน 7/64</t>
  </si>
  <si>
    <t>บิลปลายเดือน7/64 จ่าย 05.11.64</t>
  </si>
  <si>
    <t>ลูกค้าแจ้งว่า จะจ่าย 05.11.2021</t>
  </si>
  <si>
    <t>2.บิลเดือน 7/64</t>
  </si>
  <si>
    <t>บิลปลายเดือน7/64 จ่าย 05.11.2021</t>
  </si>
  <si>
    <t>รายงานยอดเก็บ Makro เดือนตุลาคม 64</t>
  </si>
  <si>
    <t>ยอดเก็บประจำเดือน
ตุลาคม 64</t>
  </si>
  <si>
    <t>17.07.64-21.08.64</t>
  </si>
  <si>
    <t>01.08.64-31.01.64</t>
  </si>
  <si>
    <t>2. บิลเดือน6.64 คงค้าง</t>
  </si>
  <si>
    <t>บาท =&gt; กำลังติดตาม แก้ไข</t>
  </si>
  <si>
    <t>3. บิลเดือน7.64 คงค้าง</t>
  </si>
  <si>
    <t xml:space="preserve">บาท =&gt; จ่ายเดือน 11.64 </t>
  </si>
  <si>
    <t>4. บิลเดือน8.64 คงค้าง ( 16-21.08.64)</t>
  </si>
  <si>
    <t>1. บิลเดือน8.64 (16-21.08.64)คงค้าง</t>
  </si>
  <si>
    <t>บาท =&gt; จ่ายเดือน 11.64</t>
  </si>
  <si>
    <t>1. บิลเดือน8.64 (31.07.64)คงค้าง</t>
  </si>
  <si>
    <t>บาท =&gt; จ่ายเดือน11.64</t>
  </si>
  <si>
    <t>รายงานยอดเก็บ Family เดือน  ตุลาคม  2564</t>
  </si>
  <si>
    <r>
      <t xml:space="preserve">ยอดขายเดือน
สิงหาคม  2564
</t>
    </r>
    <r>
      <rPr>
        <b/>
        <sz val="11"/>
        <color indexed="8"/>
        <rFont val="Arial Narrow"/>
        <family val="2"/>
      </rPr>
      <t>(2)</t>
    </r>
  </si>
  <si>
    <t>2. บิลเดือน 02/63,3-07/64</t>
  </si>
  <si>
    <t>5. บิลเดือน 08-10/63,01-07/64</t>
  </si>
  <si>
    <t>6.บิลเดือน 05/64,08/64</t>
  </si>
  <si>
    <t>7. บิลเดือน 30-31/08/64</t>
  </si>
  <si>
    <t>บิลปลายเดือน</t>
  </si>
  <si>
    <t>บิลติด CNRQ ออก CN แล้ว</t>
  </si>
  <si>
    <t>2. บิลเดือน 08/64</t>
  </si>
  <si>
    <t>รายงานยอดเก็บ The Mall เดือน  ตุลาคม 2564</t>
  </si>
  <si>
    <t>กรกฎาคม  2564
(2)</t>
  </si>
  <si>
    <t xml:space="preserve">ยอดค้างชำระทั้งหมด ณ เดือน 10/64  </t>
  </si>
  <si>
    <t>บิลปลายเดือน(30/07/64)</t>
  </si>
  <si>
    <t xml:space="preserve"> บาท  จ่าย 15.11.64</t>
  </si>
  <si>
    <t>รายงานยอดเก็บ  Saha Lawson เดือน ตุลาคม 2564</t>
  </si>
  <si>
    <t>บิลปลายเดือน  30-31/08/64  จ่าย 15/11/64</t>
  </si>
  <si>
    <t>รายงานยอดเก็บ Boot เดือน กันยายน    2564</t>
  </si>
  <si>
    <t>ยอดเก็บประจำเดือน
กันยายน    2564</t>
  </si>
  <si>
    <r>
      <t xml:space="preserve">ยอดขายเดือนสิงหาคม 2564
</t>
    </r>
    <r>
      <rPr>
        <b/>
        <sz val="11"/>
        <color indexed="8"/>
        <rFont val="Arial Narrow"/>
        <family val="2"/>
      </rPr>
      <t>(2)</t>
    </r>
  </si>
  <si>
    <t>รายงานยอดเก็บ Boot เดือน ตุลาคม    2564</t>
  </si>
  <si>
    <t>ยอดเก็บประจำเดือน
ตุลาคม    2564</t>
  </si>
  <si>
    <r>
      <t xml:space="preserve">ยอดขายเดือนกันยายน 2564
</t>
    </r>
    <r>
      <rPr>
        <b/>
        <sz val="11"/>
        <color indexed="8"/>
        <rFont val="Arial Narrow"/>
        <family val="2"/>
      </rPr>
      <t>(2)</t>
    </r>
  </si>
  <si>
    <t>บิลค้างเดือน7-8/64</t>
  </si>
  <si>
    <t xml:space="preserve">ส่วนใบลดหนี้จำนวนนี้ให้หักในรอบจ่ายถัดไป  Boot จึงขอ Hold  บิลเดือน7-8/64 ไว้ก่อน </t>
  </si>
  <si>
    <t>รายงานยอดเก็บ Foodland เดือน พฤศจิกายน 2564</t>
  </si>
  <si>
    <t>ยอดเก็บประจำเดือน
พฤศจิกายน 2564</t>
  </si>
  <si>
    <t>ยอดขายเดือน
01/09/64-30/9/64
(2)</t>
  </si>
  <si>
    <t>เดือนกันยายน  2564</t>
  </si>
  <si>
    <t>วางบิลวันที่15/12/64</t>
  </si>
  <si>
    <t>วางบิลวันที่14/12/64</t>
  </si>
  <si>
    <t>รายงานยอดเก็บ PT เดือน พฤศจิกายน 2564</t>
  </si>
  <si>
    <t>ยอดขายเดือน
1/10/64-31/10/64
(2)</t>
  </si>
  <si>
    <t>รายงานยอดเก็บ Watsons เดือน พฤศจิกายน  2564</t>
  </si>
  <si>
    <t>09/10/64-28/10/64</t>
  </si>
  <si>
    <t>07/08/64-02/10/64</t>
  </si>
  <si>
    <t>25/08/64-18/09/64</t>
  </si>
  <si>
    <t>07/08/64-04/09/64</t>
  </si>
  <si>
    <t>24/07/64-13/08/64</t>
  </si>
  <si>
    <t>10/09/64-02/10/64</t>
  </si>
  <si>
    <t>24/07/63-14/08/64</t>
  </si>
  <si>
    <t>รายงานยอดเก็บ TOPS เดือน พฤศจิกายน 2564</t>
  </si>
  <si>
    <r>
      <t xml:space="preserve">ยอดขายเดือน
กันยายน 2564
</t>
    </r>
    <r>
      <rPr>
        <b/>
        <sz val="16"/>
        <color indexed="8"/>
        <rFont val="Angsana New"/>
        <family val="1"/>
      </rPr>
      <t>(2)</t>
    </r>
  </si>
  <si>
    <t>เดือน กันยายน  2564</t>
  </si>
  <si>
    <t>ลูกค้าบันทึกรับเกินตั้งเกินไว้ก่อนรับชำระ15/12/64</t>
  </si>
  <si>
    <t>ส่งของเดือน10ลูกค้าจ่าย15/12/64</t>
  </si>
  <si>
    <t>บิลติด CN - Tophold ได้นำใบลดหนี้ส่งแล้ว จ่าย 15/12/64</t>
  </si>
  <si>
    <t>ลูกค้ายกเลิก CN ให้แล้วจ่าย 17/01/65</t>
  </si>
  <si>
    <t>ลูกค้าบันทึกรับสินค้าสลับกันกำลังติดตาม</t>
  </si>
  <si>
    <t>บิลเดือน9/64</t>
  </si>
  <si>
    <t>บิลปลายเดือน 9 จ่าย 15/12/64</t>
  </si>
  <si>
    <t>ลูกค้ายกเลิกCNแล้วจะทำจ่ายคืน15/12/64</t>
  </si>
  <si>
    <t>สาขาไม่ได้บันทึกรับเข้าระบบกำลังติดตาม</t>
  </si>
  <si>
    <t>รายงานยอดเก็บ CJ เดือน พฤศจิกายน  2564</t>
  </si>
  <si>
    <t>ยอดเก็บประจำเดือน พฤศจิกายน 2564</t>
  </si>
  <si>
    <t>ยอดขายเดือน กันยายน 2564</t>
  </si>
  <si>
    <t>เดือน กันยายน 2564</t>
  </si>
  <si>
    <t>บิลปลายเดือนลูกค้าจ่ายวันที่01-12-64</t>
  </si>
  <si>
    <t>รายงานยอดเก็บ วิลล่า เดือน พฤศจิกายน  2564</t>
  </si>
  <si>
    <t>19/08/64-29/09/64</t>
  </si>
  <si>
    <t>10/08//64-13/09/64</t>
  </si>
  <si>
    <t>19/08//64-22/09/64</t>
  </si>
  <si>
    <t>05/08/64-10/09/64</t>
  </si>
  <si>
    <t>05/08/64-08/09/64</t>
  </si>
  <si>
    <t>18/08/64-29/09/64</t>
  </si>
  <si>
    <t>รายงานยอดเก็บ CP All เดือน พฤศจิกายน  2564</t>
  </si>
  <si>
    <t>ยอดเก็บประจำเดือน
พฤศจิกายน  2564</t>
  </si>
  <si>
    <t>ยอดขายเดือน
กันยายน 2564
(2)</t>
  </si>
  <si>
    <t>บิลปลายเดือน 27-30/09/64</t>
  </si>
  <si>
    <t>บิลปลายเดือน 29-30/09/64</t>
  </si>
  <si>
    <t>รายงานยอดเก็บ B2S เดือน พฤศจิกายน  2564</t>
  </si>
  <si>
    <t>ยอดเก็บประจำเดือน
พฤศจิกายน  256</t>
  </si>
  <si>
    <t>ยอดขายเดือน 8 ห้างไม่จ่ายเนื่องจากมียอดค่าใช้จ่าย(962,535.99)มากกว่ายอดขาย</t>
  </si>
  <si>
    <t>รายงานยอดเก็บ Family เดือน  พฤศจิกายน  2564</t>
  </si>
  <si>
    <r>
      <t xml:space="preserve">ยอดขายเดือน
กันยายน  2564
</t>
    </r>
    <r>
      <rPr>
        <b/>
        <sz val="11"/>
        <color indexed="8"/>
        <rFont val="Arial Narrow"/>
        <family val="2"/>
      </rPr>
      <t>(2)</t>
    </r>
  </si>
  <si>
    <t>1. บิลเดือน 8-10/63,12/63  - 09/64</t>
  </si>
  <si>
    <t>2. บิลเดือน 05/64,7-09/64</t>
  </si>
  <si>
    <t xml:space="preserve">3. บิลเดือน 7/63-09/64 </t>
  </si>
  <si>
    <t>4. บิลเดือน 07/64 -09/64</t>
  </si>
  <si>
    <t>5. บิลเดือน 02/64, 05/64-09/64</t>
  </si>
  <si>
    <t>6.บิลเดือน 08/63-10/63,08/64</t>
  </si>
  <si>
    <t>สาขาปิด</t>
  </si>
  <si>
    <t>7. บิลเดือน 29-30/09/64</t>
  </si>
  <si>
    <t>1. บิลเดือน 29-30/09/64</t>
  </si>
  <si>
    <t>รายงานยอดเก็บ The Mall เดือน  พฤศจิกายน 2564</t>
  </si>
  <si>
    <t>สิงหาคม  2564
(2)</t>
  </si>
  <si>
    <t xml:space="preserve">ยอดค้างชำระทั้งหมด ณ เดือน 11/64  </t>
  </si>
  <si>
    <t>บิลปลายเดือน(27-30/08/64)</t>
  </si>
  <si>
    <t xml:space="preserve"> บาท  จ่าย 15.12.64</t>
  </si>
  <si>
    <t xml:space="preserve">ยอดค้างชำระทั้งหมด ณ เดือน 11/64 </t>
  </si>
  <si>
    <t>บิลปลายเดือน(31/08/64)</t>
  </si>
  <si>
    <t>รายงานยอดเก็บ  Saha Lawson เดือน พฤศจิกายน 2564</t>
  </si>
  <si>
    <t>บิลปลายเดือน  30/09/64       วางบิล  04/11/64  จ่าย 15/12/64</t>
  </si>
  <si>
    <t>บิลปลายเดือน  23-30/09/64  วางบิล  04/11/64  จ่าย 15/12/64</t>
  </si>
  <si>
    <t>รายงานยอดเก็บ Big C เดือน พฤศจิกายน  2564</t>
  </si>
  <si>
    <t>ถึง สิงหาคม 2564</t>
  </si>
  <si>
    <t>ติดปัญหาเรื่อง CN เดือน 12/64 รอโอน</t>
  </si>
  <si>
    <t>เป็นบิลปลายเดือน  31/08/64</t>
  </si>
  <si>
    <t>ติดปัญหาเรื่อง CN เคลียร์แล้ว ห้างโอนเดือน 12/64</t>
  </si>
  <si>
    <t>ถึง กันยายน 2564</t>
  </si>
  <si>
    <t>ห้างไม่จ่าย ค่าใช้จ่ายมากกว่ายอดขาย,ถูก Hold หน้าบัญชีจากจัดซื้อ เคลียร์แล้วนัดโอน เดือน 1/65</t>
  </si>
  <si>
    <t>บิลปลายเดือน  30/09/64</t>
  </si>
  <si>
    <t xml:space="preserve">ธันวาคม 2563-กรกฎาคม 2564 </t>
  </si>
  <si>
    <t>สิงหาคม 2564</t>
  </si>
  <si>
    <t>ยอดเก็บประจำเดือน_x000D_
พฤศจิกายน 64</t>
  </si>
  <si>
    <t>22.08.64-18.09.64</t>
  </si>
  <si>
    <t xml:space="preserve"> 31.08.64-02.10.64 </t>
  </si>
  <si>
    <t xml:space="preserve"> บาท =&gt; รอเอกสารจากrecall เตรียมทำจ่าย เนื่องจากโควิด เอกสารยังไม่มา และเจ้าหน้าที่ยังไม่เข้าบริษัท </t>
  </si>
  <si>
    <t xml:space="preserve"> บาท =&gt; ติดตามแก้ไขปัญหาแล้ว นัดจ่ายเดือน12.64 </t>
  </si>
  <si>
    <t xml:space="preserve"> บาท =&gt; รับสินค้าผิดรายการ แก้ไขแล้ว นัดจ่ายเดือน12.64 </t>
  </si>
  <si>
    <t xml:space="preserve"> บาท =&gt; ลูกค้ากำลังตรวจสอบเอกสาร  </t>
  </si>
  <si>
    <t>5. บิลเดือน9.64 คงค้าง ( 17-19.09.64)</t>
  </si>
  <si>
    <t xml:space="preserve"> บาท =&gt; จ่ายเดือน 12.64 </t>
  </si>
  <si>
    <t xml:space="preserve"> รายงานยอดเก็บ Lotus เดือนพฤศจิกายน 2564 </t>
  </si>
  <si>
    <t xml:space="preserve"> 01/08/64-31/08/64 </t>
  </si>
  <si>
    <t>01/09/64-30/09/64</t>
  </si>
  <si>
    <t>01/08/64-31/08/64</t>
  </si>
  <si>
    <t>4.บิลเดือน 7/64</t>
  </si>
  <si>
    <t xml:space="preserve">  ติดตามโลตัสแล้ว สนญ.แจ้งกำหนดจ่าย 03.12.64 </t>
  </si>
  <si>
    <t>5.บิลเดือน 8/64</t>
  </si>
  <si>
    <t xml:space="preserve"> บิลปลายดือน8/64 จ่าย 03.12.64 </t>
  </si>
  <si>
    <t>1.บิลวันที่ 28-30.09.64</t>
  </si>
  <si>
    <t xml:space="preserve"> บิลปลายเดือน9/64 จ่าย 03.12.64 </t>
  </si>
  <si>
    <t>1.บิลเดือน8/64</t>
  </si>
  <si>
    <t xml:space="preserve"> บิลปลายเดือน8/64 จ่าย 03.12.64 </t>
  </si>
  <si>
    <t>รายงานยอดเก็บ อิออน AEON พฤศจิกายน  2564</t>
  </si>
  <si>
    <r>
      <t xml:space="preserve">ยอดขายเดือน
ตุลาคม 2564
</t>
    </r>
    <r>
      <rPr>
        <b/>
        <sz val="11"/>
        <color indexed="8"/>
        <rFont val="Arial Narrow"/>
        <family val="2"/>
      </rPr>
      <t>(2)</t>
    </r>
  </si>
  <si>
    <t>1. บิลเดือน5/64 คงค้างจำนวน</t>
  </si>
  <si>
    <t>2. บิลเดือน6/64 จำนวน</t>
  </si>
  <si>
    <t>3. บิลเดือน7/64 จำนวน</t>
  </si>
  <si>
    <t>4.บิลเดือน8/64 คงค้างจำนวน</t>
  </si>
  <si>
    <t>5.บิลเดือน 9/64ค้งค้าง</t>
  </si>
  <si>
    <t>รายงานยอดเก็บ Boot เดือน พฤศจิกายน    2564</t>
  </si>
  <si>
    <t>ยอดเก็บประจำเดือน
พฤศจิกายน    2564</t>
  </si>
  <si>
    <r>
      <t xml:space="preserve">ยอดขายเดือนตุลาคม 2564
</t>
    </r>
    <r>
      <rPr>
        <b/>
        <sz val="11"/>
        <color indexed="8"/>
        <rFont val="Arial Narrow"/>
        <family val="2"/>
      </rPr>
      <t>(2)</t>
    </r>
  </si>
  <si>
    <t>บิลค้างเดือน7-10/64</t>
  </si>
  <si>
    <t>รายงานยอดเก็บ Makro เดือนพฤศจิกายน 64</t>
  </si>
  <si>
    <t>รายงานยอดเก็บ Watsons เดือน ธันวาคม  2564</t>
  </si>
  <si>
    <t>ยอดเก็บประจำเดือน
ธันวาคม 2564</t>
  </si>
  <si>
    <t>04/11/64-24/11/64</t>
  </si>
  <si>
    <t>06/10/64-30/10/64</t>
  </si>
  <si>
    <t>25/09/64-16/10/64</t>
  </si>
  <si>
    <t>07/09/64-02/10/64</t>
  </si>
  <si>
    <t>21/08/64-15/09/64</t>
  </si>
  <si>
    <t>28/08/63-17/09/64</t>
  </si>
  <si>
    <t>ลูกค้าบันทึกรับล่าช้า รอโอนเดือน 01/65 ค่ะ</t>
  </si>
  <si>
    <t>รายงานยอดเก็บ The Mall เดือน  ธันวาคม 2564</t>
  </si>
  <si>
    <t>กันยายน  2564
(2)</t>
  </si>
  <si>
    <t xml:space="preserve">ยอดค้างชำระทั้งหมด ณ เดือน 12/64  </t>
  </si>
  <si>
    <t>บิลปลายเดือน(29-30/09/64)</t>
  </si>
  <si>
    <t xml:space="preserve"> บาท  จ่าย 17.01.65</t>
  </si>
  <si>
    <t xml:space="preserve">ยอดค้างชำระทั้งหมด ณ เดือน 12/64 </t>
  </si>
  <si>
    <t>บิลปลายเดือน(29/09/64)</t>
  </si>
  <si>
    <t>รายงานยอดเก็บ  Saha Lawson เดือน ธันวาคม 2564</t>
  </si>
  <si>
    <r>
      <t xml:space="preserve">ยอดขายเดือน
ตุลาคม  2564
</t>
    </r>
    <r>
      <rPr>
        <b/>
        <sz val="11"/>
        <color indexed="8"/>
        <rFont val="Arial Narrow"/>
        <family val="2"/>
      </rPr>
      <t>(2)</t>
    </r>
  </si>
  <si>
    <t>บิลปลายเดือน  28-30/10/64   จ่าย  17/01/65</t>
  </si>
  <si>
    <t>บิลปลายเดือน  30/10/64       จ่าย   17/01/65</t>
  </si>
  <si>
    <t>รายงานยอดเก็บ Family เดือน  ธันวาคม  2564</t>
  </si>
  <si>
    <t>2. บิลเดือน 05/64,7-10/64</t>
  </si>
  <si>
    <t>4. บิลเดือน 08/64 -09/64</t>
  </si>
  <si>
    <t>7.บิลเดือน 10/64</t>
  </si>
  <si>
    <t>8. บิลเดือน 30/10/64</t>
  </si>
  <si>
    <t>1.บิลเดือน 30/09/64 , 10/64</t>
  </si>
  <si>
    <t>บันทึกตั้งหนี้แล้วเดือน 10/64  ติด Top Hold</t>
  </si>
  <si>
    <t>2.บิลเดือน 30/10/64</t>
  </si>
  <si>
    <t>รายงานยอดเก็บ CJ เดือน ธันวาคม  2564</t>
  </si>
  <si>
    <t>ยอดเก็บประจำเดือน ธันวาคม 2564</t>
  </si>
  <si>
    <t>ยอดขายเดือน ตุลาคม 2564</t>
  </si>
  <si>
    <t>เดือน ตุลาคม 2564</t>
  </si>
  <si>
    <t>รอออก CN ลูกค้าหักหน้าบัญชี</t>
  </si>
  <si>
    <t>รายงานยอดเก็บ Foodland เดือน ธันวาคม 2564</t>
  </si>
  <si>
    <t>ยอดขายเดือน
01/10/64-31/10/64
(2)</t>
  </si>
  <si>
    <t>เดือนตุลาคม  2564</t>
  </si>
  <si>
    <t>เก็บเดือน1/2565</t>
  </si>
  <si>
    <t>รายงานยอดเก็บ PT เดือน ธันวาคม 2564</t>
  </si>
  <si>
    <t>ยอดขายเดือน
1/11/64-30/11/64
(2)</t>
  </si>
  <si>
    <t>รอรับชำระวันที่ 13-01-65 เนื่องจากลูกค้าคืนค่าใช้จ่ายมามากกว่าค่าใช้จ่าย</t>
  </si>
  <si>
    <t>รายงานยอดเก็บ อิออน AEON ธันวาคม  2564</t>
  </si>
  <si>
    <r>
      <t xml:space="preserve">ยอดขายเดือนพฤศจิกายน2564
</t>
    </r>
    <r>
      <rPr>
        <b/>
        <sz val="11"/>
        <color indexed="8"/>
        <rFont val="Arial Narrow"/>
        <family val="2"/>
      </rPr>
      <t>(2)</t>
    </r>
  </si>
  <si>
    <t>ยอดขายเดือน
ตุลาคม 2564
(2)</t>
  </si>
  <si>
    <t>ยอดเก็บประจำเดือนธันวาคม   2564</t>
  </si>
  <si>
    <t>ยอดเก็บประจำเดือนธันวาคม  2564</t>
  </si>
  <si>
    <t>บาท วางบิล 7 มกราคม 2565</t>
  </si>
  <si>
    <t>บาท ติดปัญหา ราคาไม่ตรง สินค้าส่งไม่ครบ ออกใบลดหนี้ วางบิลรอบ 7/01/2565</t>
  </si>
  <si>
    <t>บาทตรวจสอบล่าสุด ลูกค้าแจ้งเปลี่ยนบิล ใบเดิมทำใบลดหนี้ล้างในระบบ</t>
  </si>
  <si>
    <t>2..บิลเดือน8/64 คงค้างจำนวน</t>
  </si>
  <si>
    <t>3.บิลเดือน 9/64ค้งค้าง</t>
  </si>
  <si>
    <t>4.บิลเดือน 10/64ค้งค้าง</t>
  </si>
  <si>
    <t>รายงานยอดเก็บ Boot เดือน ธันวาคม    2564</t>
  </si>
  <si>
    <t>ยอดเก็บประจำเดือน
ธันวาคม    2564</t>
  </si>
  <si>
    <r>
      <t xml:space="preserve">ยอดขายเดือนพฤศจิกายน 2564
</t>
    </r>
    <r>
      <rPr>
        <b/>
        <sz val="11"/>
        <color indexed="8"/>
        <rFont val="Arial Narrow"/>
        <family val="2"/>
      </rPr>
      <t>(2)</t>
    </r>
  </si>
  <si>
    <t>สินค้าแบรนด์</t>
  </si>
  <si>
    <t>บิลปลายเดือน11 วาง4 /01/2565 จ่าย 28 /01/2565</t>
  </si>
  <si>
    <t>บิลค้างเดือน7-11/64</t>
  </si>
  <si>
    <t>สินค้ากระเช้าปีใหม่</t>
  </si>
  <si>
    <t>บิลค้างเดือน11/64</t>
  </si>
  <si>
    <t>รายงานยอดเก็บ TOPS เดือน ธันวาคม 2564</t>
  </si>
  <si>
    <r>
      <t xml:space="preserve">ยอดขายเดือน
ตุลาคม 2564
</t>
    </r>
    <r>
      <rPr>
        <b/>
        <sz val="16"/>
        <color indexed="8"/>
        <rFont val="Angsana New"/>
        <family val="1"/>
      </rPr>
      <t>(2)</t>
    </r>
  </si>
  <si>
    <t>เดือน ตุลาคม  2564</t>
  </si>
  <si>
    <t xml:space="preserve"> จำนวนคงค้าง</t>
  </si>
  <si>
    <t>ลูกค้าบันทึกรับสินค้าสลับกันจ่าย 17/01/65</t>
  </si>
  <si>
    <t>สาขาไม่ได้บันทึกรับเข้าระบบบันทึกรับเป็นINV.U03-1164016307กำลังติดตาม</t>
  </si>
  <si>
    <t>บิลติด CN - Tophold ลูกค้าคืนสินค้าแบรน์ดปนมาแต่คลังเช็คแล้วไม่มีสินค้าคืนมาลูกค้าจะทำADJ.ออกให้</t>
  </si>
  <si>
    <t>บิลติด CN - Tophold ได้นำใบลดหนี้ส่งแล้ว จ่าย 17/01/65</t>
  </si>
  <si>
    <t>บิลเดือน10/64</t>
  </si>
  <si>
    <t>บิลปลายเดือน 10 จ่าย 17/01/65</t>
  </si>
  <si>
    <t>เดือน ตุลาคม  2564รวมทั้งสิ้น</t>
  </si>
  <si>
    <t>14/09//64-27/09/64</t>
  </si>
  <si>
    <t>30/09/64-19/10/64</t>
  </si>
  <si>
    <t>23/09//64-20/10/64</t>
  </si>
  <si>
    <t>30/09/64-20/10/64</t>
  </si>
  <si>
    <t>09/09/64-29/09/64</t>
  </si>
  <si>
    <t>รายงานยอดเก็บ วิลล่า เดือน ธันวาคม 2564</t>
  </si>
  <si>
    <t>11/09/64-29/09/64</t>
  </si>
  <si>
    <r>
      <t>เป็นบิลที่ยังไม่ถึงดิว เนื่องจากลูกค้า</t>
    </r>
    <r>
      <rPr>
        <sz val="11"/>
        <color rgb="FFFF0000"/>
        <rFont val="Arial Narrow"/>
        <family val="2"/>
      </rPr>
      <t>นับจากวันที่บันทึกรับสินค้า /สิ้นค้ากลุ่ม ล้อตเต้ มี CN เกิน</t>
    </r>
  </si>
  <si>
    <t>รายงานยอดเก็บ B2S เดือน ธันวาคม  2564</t>
  </si>
  <si>
    <t>ยอดเก็บประจำเดือน
ธันวาคม  256</t>
  </si>
  <si>
    <t>เดือน ม.ค-มิ.ย 2564</t>
  </si>
  <si>
    <t>ห้างบันทึกล่าช้าโอนแล้วเดือน 1/65</t>
  </si>
  <si>
    <t>บิลปลายเดือน 23-28/09/64 โอนแล้วเดือน 1/65</t>
  </si>
  <si>
    <t>รายงานยอดเก็บ Big C เดือน ธันวาคม  2564</t>
  </si>
  <si>
    <t>ยอดเก็บประจำเดือน
ธันวาคม  2564</t>
  </si>
  <si>
    <t>ห้างแจ้งติด CN ในระบบ เคลียร์แล้วโอน เดือน 1/65</t>
  </si>
  <si>
    <t>เป็นบิลปลายเดือน  29-30/09/64</t>
  </si>
  <si>
    <t>เป็นบิลปลายเดือน  30/09/64</t>
  </si>
  <si>
    <t>ถึง ตุลาคม 2564</t>
  </si>
  <si>
    <t>ห้างไม่จ่าย ค่าใช้จ่ายมากกว่ายอดขาย,ถูก Hold หน้าบัญชีจากจัดซื้อ เคลียร์แล้วโอน เดือน 1/65</t>
  </si>
  <si>
    <t>บิลปลายเดือน  30/10/64</t>
  </si>
  <si>
    <t>เป็นบิลปลายเดือน  30-31/08/64</t>
  </si>
  <si>
    <t>รายงานยอดเก็บ CP All เดือน ธันวาคม  2564</t>
  </si>
  <si>
    <t>ติด CN ยื่นแล้ว รอโอน เดือน 1</t>
  </si>
  <si>
    <t>เอกสารแก้ไขเปิดใหม่รอห้างโอน เดือน 1</t>
  </si>
  <si>
    <t>บิลปลายเดือน 30/10/64</t>
  </si>
  <si>
    <t>รายงานยอดเก็บ Lotus เดือนธันวาคม 2564</t>
  </si>
  <si>
    <t>ธันวาคม 64(Lotus Pay 3-24.12.64)</t>
  </si>
  <si>
    <t>01/10/64-31/10/64</t>
  </si>
  <si>
    <t>ติดตามโลตัสแล้ว สนญ.กำลังทยอยทำจ่าย</t>
  </si>
  <si>
    <t>ติดตามนัดจ่ายเดือน 04.01.2022</t>
  </si>
  <si>
    <t>4.บิลเดือน 8/64</t>
  </si>
  <si>
    <t>5.บิลเดือน 9/64</t>
  </si>
  <si>
    <t>1.บิลวันที่ 26-31.10.64</t>
  </si>
  <si>
    <t>บิลปลายเดือน10/64 จ่าย 04.01.2022</t>
  </si>
  <si>
    <t>1.บิลเดือน29 - 30.09.64</t>
  </si>
  <si>
    <t>บิลปลายเดือน 9/64 จ่าย 04.01.2022</t>
  </si>
  <si>
    <t>1. บิลเดือน9.64 (16-21.08.64)คงค้าง</t>
  </si>
  <si>
    <t>รายงานยอดเก็บ Makro เดือนธันวาคม 64</t>
  </si>
  <si>
    <t>ยอดเก็บประจำเดือน
ธันวาคม 64</t>
  </si>
  <si>
    <t>19.09.64-16.10.64</t>
  </si>
  <si>
    <t>07.10.64-03.11.64</t>
  </si>
  <si>
    <t>1. บิลเดือน6.64 คงค้าง</t>
  </si>
  <si>
    <t xml:space="preserve">บาท =&gt; ลูกค้ากำลังตรวจสอบเอกสาร </t>
  </si>
  <si>
    <t xml:space="preserve">2. บิลเดือน8.64 คงค้าง </t>
  </si>
  <si>
    <t>3. บิลเดือน9.64 คงค้าง</t>
  </si>
  <si>
    <t>4. บิลเดือน10.64 (13-16.10.64)คงค้าง</t>
  </si>
  <si>
    <t>บาท =&gt;  จ่ายเดือน1.65</t>
  </si>
  <si>
    <t>1. บิลเดือน10.64 (14-16.10.64)คงค้าง</t>
  </si>
  <si>
    <t>บาท =&gt; จ่ายเดือน 1.65</t>
  </si>
  <si>
    <t>1. บิลเดือน11.64 (03.11.64)คงค้าง</t>
  </si>
  <si>
    <t>บาท =&gt; จ่ายเดือน1.65</t>
  </si>
  <si>
    <t>5.บิลปลายเดือน10 /64</t>
  </si>
  <si>
    <t>บิลปลายเดือนลูกค้าจ่ายวันที่07-01-65</t>
  </si>
  <si>
    <t>บิลปลายเดือนลูกค้าจ่ายวันที่13-01-65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</si>
</sst>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#,##0.000000000_ ;[Red]\-#,##0.000000000\ "/>
    <numFmt numFmtId="166" formatCode="#,##0.0_ ;[Red]\-#,##0.0\ "/>
    <numFmt numFmtId="167" formatCode="#,##0.0_);[Red]\(#,##0.0\)"/>
    <numFmt numFmtId="168" formatCode="#,##0.000000000000_ ;[Red]\-#,##0.000000000000\ "/>
    <numFmt numFmtId="169" formatCode="#,##0.0000000000_ ;[Red]\-#,##0.0000000000\ "/>
  </numFmts>
  <fonts count="10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color theme="9" tint="-0.249977111117893"/>
      <name val="Arial Narrow"/>
      <family val="2"/>
    </font>
    <font>
      <sz val="11"/>
      <color rgb="FFFF0000"/>
      <name val="Arial Narrow"/>
      <family val="2"/>
    </font>
    <font>
      <b/>
      <i/>
      <sz val="11"/>
      <color theme="1"/>
      <name val="Arial Narrow"/>
      <family val="2"/>
    </font>
    <font>
      <b/>
      <i/>
      <sz val="11"/>
      <name val="Arial Narrow"/>
      <family val="2"/>
    </font>
    <font>
      <b/>
      <i/>
      <sz val="11"/>
      <color rgb="FFFF0000"/>
      <name val="Arial Narrow"/>
      <family val="2"/>
    </font>
    <font>
      <b/>
      <i/>
      <u val="double"/>
      <sz val="11"/>
      <color theme="1"/>
      <name val="Arial Narrow"/>
      <family val="2"/>
    </font>
    <font>
      <b/>
      <sz val="11"/>
      <color rgb="FFFF0000"/>
      <name val="Arial Narrow"/>
      <family val="2"/>
    </font>
    <font>
      <sz val="11"/>
      <color rgb="FF0070C0"/>
      <name val="Arial Narrow"/>
      <family val="2"/>
    </font>
    <font>
      <b/>
      <sz val="11"/>
      <color theme="8" tint="-0.249977111117893"/>
      <name val="Arial Narrow"/>
      <family val="2"/>
    </font>
    <font>
      <b/>
      <sz val="11"/>
      <color theme="2" tint="-0.749992370372631"/>
      <name val="Arial Narrow"/>
      <family val="2"/>
    </font>
    <font>
      <b/>
      <u/>
      <sz val="11"/>
      <color rgb="FFFF0000"/>
      <name val="Arial Narrow"/>
      <family val="2"/>
    </font>
    <font>
      <b/>
      <u/>
      <sz val="11"/>
      <color theme="1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b/>
      <sz val="11"/>
      <color rgb="FF0070C0"/>
      <name val="Arial Narrow"/>
      <family val="2"/>
    </font>
    <font>
      <b/>
      <i/>
      <sz val="11"/>
      <color theme="9" tint="-0.249977111117893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Arial Narrow"/>
      <family val="2"/>
    </font>
    <font>
      <sz val="11"/>
      <color indexed="8"/>
      <name val="Arial Narrow"/>
      <family val="2"/>
    </font>
    <font>
      <u val="double"/>
      <sz val="11"/>
      <name val="Arial Narrow"/>
      <family val="2"/>
    </font>
    <font>
      <u val="double"/>
      <sz val="11"/>
      <color rgb="FFFF0000"/>
      <name val="Arial Narrow"/>
      <family val="2"/>
    </font>
    <font>
      <i/>
      <u val="double"/>
      <sz val="11"/>
      <color rgb="FFFF0000"/>
      <name val="Arial Narrow"/>
      <family val="2"/>
    </font>
    <font>
      <b/>
      <i/>
      <u val="doubleAccounting"/>
      <sz val="11"/>
      <color theme="1"/>
      <name val="Arial Narrow"/>
      <family val="2"/>
    </font>
    <font>
      <b/>
      <sz val="11"/>
      <color theme="5" tint="-0.249977111117893"/>
      <name val="Arial Narrow"/>
      <family val="2"/>
    </font>
    <font>
      <sz val="11"/>
      <color theme="3" tint="-0.249977111117893"/>
      <name val="Arial Narrow"/>
      <family val="2"/>
    </font>
    <font>
      <sz val="12"/>
      <color rgb="FFFF0000"/>
      <name val="Arial Narrow"/>
      <family val="2"/>
    </font>
    <font>
      <sz val="12"/>
      <name val="Arial Narrow"/>
      <family val="2"/>
    </font>
    <font>
      <b/>
      <sz val="11"/>
      <color indexed="8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1"/>
      <color indexed="8"/>
      <name val="Arial"/>
      <family val="2"/>
    </font>
    <font>
      <sz val="11"/>
      <color theme="4" tint="-0.249977111117893"/>
      <name val="Arial Narrow"/>
      <family val="2"/>
    </font>
    <font>
      <b/>
      <sz val="12"/>
      <color rgb="FFFF0000"/>
      <name val="Arial Narrow"/>
      <family val="2"/>
    </font>
    <font>
      <b/>
      <sz val="12"/>
      <color theme="1"/>
      <name val="Arial Narrow"/>
      <family val="2"/>
    </font>
    <font>
      <sz val="12"/>
      <color indexed="8"/>
      <name val="Arial Narrow"/>
      <family val="2"/>
    </font>
    <font>
      <sz val="12"/>
      <color theme="2" tint="-0.749992370372631"/>
      <name val="Arial Narrow"/>
      <family val="2"/>
    </font>
    <font>
      <b/>
      <u val="double"/>
      <sz val="12"/>
      <name val="Arial Narrow"/>
      <family val="2"/>
    </font>
    <font>
      <b/>
      <u val="double"/>
      <sz val="12"/>
      <color rgb="FFFF0000"/>
      <name val="Arial Narrow"/>
      <family val="2"/>
    </font>
    <font>
      <sz val="14"/>
      <color rgb="FF00B0F0"/>
      <name val="Arial Narrow"/>
      <family val="2"/>
    </font>
    <font>
      <sz val="14"/>
      <color rgb="FFFF0000"/>
      <name val="Arial Narrow"/>
      <family val="2"/>
    </font>
    <font>
      <u val="double"/>
      <sz val="12"/>
      <name val="Arial Narrow"/>
      <family val="2"/>
    </font>
    <font>
      <u val="double"/>
      <sz val="12"/>
      <color rgb="FFFF0000"/>
      <name val="Arial Narrow"/>
      <family val="2"/>
    </font>
    <font>
      <sz val="12"/>
      <color theme="3" tint="-0.249977111117893"/>
      <name val="Arial Narrow"/>
      <family val="2"/>
    </font>
    <font>
      <b/>
      <sz val="10"/>
      <color theme="1"/>
      <name val="Arial Narrow"/>
      <family val="2"/>
    </font>
    <font>
      <u val="singleAccounting"/>
      <sz val="11"/>
      <name val="Arial Narrow"/>
      <family val="2"/>
    </font>
    <font>
      <b/>
      <sz val="9"/>
      <color theme="8" tint="-0.249977111117893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Arial Narrow"/>
      <family val="2"/>
    </font>
    <font>
      <i/>
      <sz val="11"/>
      <color theme="9" tint="-0.249977111117893"/>
      <name val="Arial Narrow"/>
      <family val="2"/>
    </font>
    <font>
      <b/>
      <i/>
      <u val="double"/>
      <sz val="10"/>
      <color theme="1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i/>
      <sz val="12"/>
      <color theme="1"/>
      <name val="Arial Narrow"/>
      <family val="2"/>
    </font>
    <font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rgb="FFFF0000"/>
      <name val="Arial Narrow"/>
      <family val="2"/>
    </font>
    <font>
      <b/>
      <i/>
      <u val="double"/>
      <sz val="12"/>
      <name val="Arial Narrow"/>
      <family val="2"/>
    </font>
    <font>
      <b/>
      <i/>
      <u val="double"/>
      <sz val="12"/>
      <color rgb="FFFF0000"/>
      <name val="Arial Narrow"/>
      <family val="2"/>
    </font>
    <font>
      <sz val="11"/>
      <color rgb="FF000000"/>
      <name val="Arial Narrow"/>
      <family val="2"/>
    </font>
    <font>
      <b/>
      <sz val="9"/>
      <color theme="1"/>
      <name val="Arial Narrow"/>
      <family val="2"/>
    </font>
    <font>
      <sz val="11"/>
      <color rgb="FFFF0000"/>
      <name val="Calibri"/>
      <family val="2"/>
      <scheme val="minor"/>
    </font>
    <font>
      <b/>
      <sz val="18"/>
      <name val="Angsana New"/>
      <family val="1"/>
    </font>
    <font>
      <b/>
      <sz val="16"/>
      <color theme="1"/>
      <name val="Angsana New"/>
      <family val="1"/>
    </font>
    <font>
      <b/>
      <sz val="16"/>
      <color indexed="8"/>
      <name val="Angsana New"/>
      <family val="1"/>
    </font>
    <font>
      <sz val="16"/>
      <name val="Angsana New"/>
      <family val="1"/>
    </font>
    <font>
      <sz val="16"/>
      <color theme="1"/>
      <name val="Angsana New"/>
      <family val="1"/>
    </font>
    <font>
      <sz val="16"/>
      <color rgb="FFFF0000"/>
      <name val="Angsana New"/>
      <family val="1"/>
    </font>
    <font>
      <b/>
      <i/>
      <sz val="16"/>
      <color rgb="FFFF0000"/>
      <name val="Angsana New"/>
      <family val="1"/>
    </font>
    <font>
      <b/>
      <i/>
      <sz val="16"/>
      <name val="Angsana New"/>
      <family val="1"/>
    </font>
    <font>
      <b/>
      <i/>
      <sz val="16"/>
      <color theme="1"/>
      <name val="Angsana New"/>
      <family val="1"/>
    </font>
    <font>
      <b/>
      <sz val="16"/>
      <color rgb="FFFF0000"/>
      <name val="Angsana New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i/>
      <u/>
      <sz val="11"/>
      <name val="Arial Narrow"/>
      <family val="2"/>
    </font>
    <font>
      <sz val="11"/>
      <color theme="2" tint="-0.749992370372631"/>
      <name val="Arial Narrow"/>
      <family val="2"/>
    </font>
    <font>
      <b/>
      <u val="double"/>
      <sz val="11"/>
      <name val="Arial Narrow"/>
      <family val="2"/>
    </font>
    <font>
      <b/>
      <u val="double"/>
      <sz val="11"/>
      <color rgb="FFFF0000"/>
      <name val="Arial Narrow"/>
      <family val="2"/>
    </font>
    <font>
      <b/>
      <i/>
      <u/>
      <sz val="11"/>
      <color rgb="FFFF0000"/>
      <name val="Arial Narrow"/>
      <family val="2"/>
    </font>
    <font>
      <b/>
      <sz val="9"/>
      <name val="Arial Narrow"/>
      <family val="2"/>
    </font>
    <font>
      <b/>
      <i/>
      <u val="double"/>
      <sz val="11"/>
      <color rgb="FFFF0000"/>
      <name val="Arial Narrow"/>
      <family val="2"/>
    </font>
    <font>
      <u/>
      <sz val="11"/>
      <color rgb="FFFF0000"/>
      <name val="Arial Narrow"/>
      <family val="2"/>
    </font>
    <font>
      <sz val="1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F7E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14" borderId="3" applyNumberFormat="0" applyFont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2" fillId="0" borderId="41" applyNumberFormat="0" applyFill="0" applyAlignment="0" applyProtection="0"/>
    <xf numFmtId="0" fontId="83" fillId="0" borderId="42" applyNumberFormat="0" applyFill="0" applyAlignment="0" applyProtection="0"/>
    <xf numFmtId="0" fontId="84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85" fillId="25" borderId="0" applyNumberFormat="0" applyBorder="0" applyAlignment="0" applyProtection="0"/>
    <xf numFmtId="0" fontId="86" fillId="26" borderId="0" applyNumberFormat="0" applyBorder="0" applyAlignment="0" applyProtection="0"/>
    <xf numFmtId="0" fontId="87" fillId="27" borderId="0" applyNumberFormat="0" applyBorder="0" applyAlignment="0" applyProtection="0"/>
    <xf numFmtId="0" fontId="88" fillId="28" borderId="44" applyNumberFormat="0" applyAlignment="0" applyProtection="0"/>
    <xf numFmtId="0" fontId="89" fillId="29" borderId="45" applyNumberFormat="0" applyAlignment="0" applyProtection="0"/>
    <xf numFmtId="0" fontId="90" fillId="29" borderId="44" applyNumberFormat="0" applyAlignment="0" applyProtection="0"/>
    <xf numFmtId="0" fontId="91" fillId="0" borderId="46" applyNumberFormat="0" applyFill="0" applyAlignment="0" applyProtection="0"/>
    <xf numFmtId="0" fontId="92" fillId="30" borderId="47" applyNumberFormat="0" applyAlignment="0" applyProtection="0"/>
    <xf numFmtId="0" fontId="71" fillId="0" borderId="0" applyNumberFormat="0" applyFill="0" applyBorder="0" applyAlignment="0" applyProtection="0"/>
    <xf numFmtId="0" fontId="4" fillId="14" borderId="3" applyNumberFormat="0" applyFont="0" applyAlignment="0" applyProtection="0"/>
    <xf numFmtId="0" fontId="93" fillId="0" borderId="0" applyNumberFormat="0" applyFill="0" applyBorder="0" applyAlignment="0" applyProtection="0"/>
    <xf numFmtId="0" fontId="57" fillId="0" borderId="48" applyNumberFormat="0" applyFill="0" applyAlignment="0" applyProtection="0"/>
    <xf numFmtId="0" fontId="94" fillId="31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94" fillId="32" borderId="0" applyNumberFormat="0" applyBorder="0" applyAlignment="0" applyProtection="0"/>
    <xf numFmtId="0" fontId="94" fillId="33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94" fillId="34" borderId="0" applyNumberFormat="0" applyBorder="0" applyAlignment="0" applyProtection="0"/>
    <xf numFmtId="0" fontId="94" fillId="35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94" fillId="36" borderId="0" applyNumberFormat="0" applyBorder="0" applyAlignment="0" applyProtection="0"/>
    <xf numFmtId="0" fontId="94" fillId="37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94" fillId="38" borderId="0" applyNumberFormat="0" applyBorder="0" applyAlignment="0" applyProtection="0"/>
    <xf numFmtId="0" fontId="94" fillId="39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94" fillId="40" borderId="0" applyNumberFormat="0" applyBorder="0" applyAlignment="0" applyProtection="0"/>
    <xf numFmtId="0" fontId="94" fillId="41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94" fillId="4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95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</cellStyleXfs>
  <cellXfs count="908">
    <xf numFmtId="0" fontId="0" fillId="0" borderId="0" xfId="0"/>
    <xf numFmtId="10" fontId="0" fillId="0" borderId="1" xfId="0" applyNumberFormat="1" applyBorder="1"/>
    <xf numFmtId="0" fontId="0" fillId="0" borderId="1" xfId="0" applyBorder="1" applyAlignment="1">
      <alignment horizontal="center"/>
    </xf>
    <xf numFmtId="43" fontId="4" fillId="0" borderId="1" xfId="13" applyFont="1" applyBorder="1"/>
    <xf numFmtId="9" fontId="4" fillId="0" borderId="1" xfId="37" applyFont="1" applyBorder="1" applyAlignment="1">
      <alignment horizontal="center" vertical="center"/>
    </xf>
    <xf numFmtId="0" fontId="0" fillId="0" borderId="0" xfId="0" applyAlignment="1">
      <alignment horizontal="center"/>
    </xf>
    <xf numFmtId="43" fontId="4" fillId="0" borderId="1" xfId="13" applyFont="1" applyBorder="1" applyAlignment="1">
      <alignment horizontal="center" vertical="center"/>
    </xf>
    <xf numFmtId="4" fontId="4" fillId="0" borderId="1" xfId="37" applyNumberFormat="1" applyFont="1" applyBorder="1"/>
    <xf numFmtId="1" fontId="4" fillId="0" borderId="1" xfId="37" applyNumberFormat="1" applyFont="1" applyBorder="1" applyAlignment="1">
      <alignment horizontal="center"/>
    </xf>
    <xf numFmtId="43" fontId="4" fillId="0" borderId="1" xfId="13" applyNumberFormat="1" applyFont="1" applyBorder="1"/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3" fontId="4" fillId="0" borderId="1" xfId="13" applyNumberFormat="1" applyFont="1" applyBorder="1"/>
    <xf numFmtId="43" fontId="4" fillId="0" borderId="1" xfId="13" applyFont="1" applyBorder="1" applyAlignment="1">
      <alignment horizontal="center" vertical="center"/>
    </xf>
    <xf numFmtId="43" fontId="4" fillId="0" borderId="1" xfId="13" applyFont="1" applyBorder="1"/>
    <xf numFmtId="43" fontId="4" fillId="0" borderId="1" xfId="13" applyFont="1" applyBorder="1"/>
    <xf numFmtId="43" fontId="4" fillId="0" borderId="1" xfId="13" applyFont="1" applyBorder="1" applyAlignment="1">
      <alignment horizontal="center" vertical="center"/>
    </xf>
    <xf numFmtId="9" fontId="6" fillId="15" borderId="0" xfId="37" applyFont="1" applyFill="1" applyBorder="1" applyAlignment="1"/>
    <xf numFmtId="0" fontId="6" fillId="15" borderId="0" xfId="0" applyFont="1" applyFill="1" applyBorder="1" applyAlignment="1">
      <alignment vertical="center"/>
    </xf>
    <xf numFmtId="43" fontId="3" fillId="15" borderId="0" xfId="13" applyFont="1" applyFill="1" applyBorder="1" applyAlignment="1">
      <alignment vertical="center"/>
    </xf>
    <xf numFmtId="9" fontId="3" fillId="15" borderId="0" xfId="37" applyFont="1" applyFill="1" applyBorder="1" applyAlignment="1">
      <alignment vertical="center"/>
    </xf>
    <xf numFmtId="43" fontId="6" fillId="15" borderId="0" xfId="13" applyFont="1" applyFill="1" applyBorder="1" applyAlignment="1">
      <alignment vertical="center"/>
    </xf>
    <xf numFmtId="9" fontId="6" fillId="15" borderId="0" xfId="37" applyFont="1" applyFill="1" applyBorder="1" applyAlignment="1">
      <alignment vertical="center"/>
    </xf>
    <xf numFmtId="0" fontId="7" fillId="15" borderId="0" xfId="0" applyFont="1" applyFill="1" applyBorder="1" applyAlignment="1">
      <alignment vertical="center"/>
    </xf>
    <xf numFmtId="0" fontId="6" fillId="15" borderId="0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vertical="center"/>
    </xf>
    <xf numFmtId="43" fontId="6" fillId="15" borderId="0" xfId="0" applyNumberFormat="1" applyFont="1" applyFill="1" applyBorder="1" applyAlignment="1">
      <alignment vertical="center"/>
    </xf>
    <xf numFmtId="0" fontId="11" fillId="15" borderId="0" xfId="0" applyFont="1" applyFill="1" applyBorder="1" applyAlignment="1">
      <alignment vertical="center"/>
    </xf>
    <xf numFmtId="43" fontId="11" fillId="15" borderId="0" xfId="13" applyFont="1" applyFill="1" applyBorder="1" applyAlignment="1">
      <alignment vertical="center"/>
    </xf>
    <xf numFmtId="40" fontId="13" fillId="15" borderId="0" xfId="13" applyNumberFormat="1" applyFont="1" applyFill="1" applyBorder="1" applyAlignment="1">
      <alignment vertical="center"/>
    </xf>
    <xf numFmtId="0" fontId="9" fillId="15" borderId="0" xfId="0" applyFont="1" applyFill="1" applyBorder="1" applyAlignment="1">
      <alignment vertical="center"/>
    </xf>
    <xf numFmtId="0" fontId="7" fillId="15" borderId="0" xfId="0" applyFont="1" applyFill="1" applyBorder="1" applyAlignment="1">
      <alignment horizontal="right" vertical="center"/>
    </xf>
    <xf numFmtId="43" fontId="6" fillId="15" borderId="0" xfId="13" applyFont="1" applyFill="1" applyBorder="1" applyAlignment="1">
      <alignment horizontal="right" vertical="center"/>
    </xf>
    <xf numFmtId="0" fontId="10" fillId="15" borderId="0" xfId="0" applyFont="1" applyFill="1" applyBorder="1" applyAlignment="1">
      <alignment vertical="center"/>
    </xf>
    <xf numFmtId="43" fontId="12" fillId="15" borderId="0" xfId="13" applyFont="1" applyFill="1" applyBorder="1" applyAlignment="1">
      <alignment vertical="center"/>
    </xf>
    <xf numFmtId="40" fontId="12" fillId="15" borderId="0" xfId="13" applyNumberFormat="1" applyFont="1" applyFill="1" applyBorder="1" applyAlignment="1">
      <alignment vertical="center"/>
    </xf>
    <xf numFmtId="43" fontId="8" fillId="15" borderId="0" xfId="13" applyFont="1" applyFill="1" applyBorder="1" applyAlignment="1">
      <alignment vertical="center"/>
    </xf>
    <xf numFmtId="43" fontId="15" fillId="15" borderId="0" xfId="13" applyFont="1" applyFill="1" applyBorder="1" applyAlignment="1">
      <alignment vertical="center"/>
    </xf>
    <xf numFmtId="43" fontId="10" fillId="15" borderId="0" xfId="13" applyFont="1" applyFill="1" applyBorder="1" applyAlignment="1">
      <alignment vertical="center"/>
    </xf>
    <xf numFmtId="0" fontId="6" fillId="15" borderId="0" xfId="0" applyFont="1" applyFill="1" applyBorder="1" applyAlignment="1">
      <alignment horizontal="right" vertical="center"/>
    </xf>
    <xf numFmtId="4" fontId="6" fillId="15" borderId="0" xfId="0" applyNumberFormat="1" applyFont="1" applyFill="1" applyBorder="1" applyAlignment="1">
      <alignment vertical="center"/>
    </xf>
    <xf numFmtId="164" fontId="6" fillId="15" borderId="0" xfId="0" applyNumberFormat="1" applyFont="1" applyFill="1" applyBorder="1" applyAlignment="1">
      <alignment vertical="center"/>
    </xf>
    <xf numFmtId="0" fontId="7" fillId="15" borderId="0" xfId="0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vertical="center"/>
    </xf>
    <xf numFmtId="43" fontId="16" fillId="15" borderId="0" xfId="13" applyFont="1" applyFill="1" applyBorder="1" applyAlignment="1">
      <alignment vertical="center"/>
    </xf>
    <xf numFmtId="43" fontId="7" fillId="15" borderId="0" xfId="13" applyFont="1" applyFill="1" applyBorder="1" applyAlignment="1">
      <alignment vertical="center"/>
    </xf>
    <xf numFmtId="43" fontId="7" fillId="15" borderId="0" xfId="0" applyNumberFormat="1" applyFont="1" applyFill="1" applyBorder="1" applyAlignment="1">
      <alignment vertical="center"/>
    </xf>
    <xf numFmtId="4" fontId="6" fillId="15" borderId="0" xfId="0" applyNumberFormat="1" applyFont="1" applyFill="1" applyBorder="1" applyAlignment="1"/>
    <xf numFmtId="0" fontId="6" fillId="15" borderId="0" xfId="0" applyFont="1" applyFill="1" applyBorder="1" applyAlignment="1">
      <alignment vertical="center" wrapText="1"/>
    </xf>
    <xf numFmtId="43" fontId="7" fillId="15" borderId="0" xfId="13" applyFont="1" applyFill="1" applyBorder="1" applyAlignment="1"/>
    <xf numFmtId="164" fontId="6" fillId="15" borderId="0" xfId="0" applyNumberFormat="1" applyFont="1" applyFill="1" applyBorder="1" applyAlignment="1"/>
    <xf numFmtId="0" fontId="19" fillId="15" borderId="0" xfId="0" applyFont="1" applyFill="1" applyBorder="1" applyAlignment="1"/>
    <xf numFmtId="0" fontId="20" fillId="15" borderId="0" xfId="0" applyFont="1" applyFill="1" applyBorder="1" applyAlignment="1">
      <alignment horizontal="right"/>
    </xf>
    <xf numFmtId="0" fontId="3" fillId="15" borderId="0" xfId="0" applyFont="1" applyFill="1" applyBorder="1" applyAlignment="1"/>
    <xf numFmtId="43" fontId="3" fillId="15" borderId="0" xfId="13" applyFont="1" applyFill="1" applyBorder="1" applyAlignment="1"/>
    <xf numFmtId="40" fontId="3" fillId="15" borderId="0" xfId="13" applyNumberFormat="1" applyFont="1" applyFill="1" applyBorder="1" applyAlignment="1">
      <alignment vertical="center"/>
    </xf>
    <xf numFmtId="0" fontId="11" fillId="15" borderId="0" xfId="0" applyFont="1" applyFill="1" applyBorder="1" applyAlignment="1"/>
    <xf numFmtId="165" fontId="6" fillId="15" borderId="0" xfId="0" applyNumberFormat="1" applyFont="1" applyFill="1" applyBorder="1" applyAlignment="1"/>
    <xf numFmtId="43" fontId="10" fillId="15" borderId="0" xfId="13" applyFont="1" applyFill="1" applyBorder="1" applyAlignment="1"/>
    <xf numFmtId="43" fontId="9" fillId="15" borderId="0" xfId="13" applyFont="1" applyFill="1" applyBorder="1" applyAlignment="1"/>
    <xf numFmtId="0" fontId="9" fillId="15" borderId="0" xfId="0" applyFont="1" applyFill="1" applyBorder="1" applyAlignment="1"/>
    <xf numFmtId="40" fontId="9" fillId="15" borderId="0" xfId="0" applyNumberFormat="1" applyFont="1" applyFill="1" applyBorder="1" applyAlignment="1"/>
    <xf numFmtId="43" fontId="9" fillId="15" borderId="0" xfId="13" applyFont="1" applyFill="1" applyBorder="1" applyAlignment="1">
      <alignment vertical="center"/>
    </xf>
    <xf numFmtId="9" fontId="10" fillId="15" borderId="0" xfId="37" applyFont="1" applyFill="1" applyBorder="1" applyAlignment="1">
      <alignment vertical="center"/>
    </xf>
    <xf numFmtId="43" fontId="10" fillId="15" borderId="0" xfId="13" applyFont="1" applyFill="1" applyBorder="1" applyAlignment="1">
      <alignment horizontal="center"/>
    </xf>
    <xf numFmtId="165" fontId="10" fillId="15" borderId="0" xfId="0" applyNumberFormat="1" applyFont="1" applyFill="1" applyBorder="1" applyAlignment="1">
      <alignment vertical="center"/>
    </xf>
    <xf numFmtId="40" fontId="10" fillId="15" borderId="0" xfId="13" applyNumberFormat="1" applyFont="1" applyFill="1" applyBorder="1" applyAlignment="1">
      <alignment vertical="center"/>
    </xf>
    <xf numFmtId="40" fontId="15" fillId="15" borderId="0" xfId="13" applyNumberFormat="1" applyFont="1" applyFill="1" applyBorder="1" applyAlignment="1">
      <alignment vertical="center"/>
    </xf>
    <xf numFmtId="0" fontId="6" fillId="15" borderId="0" xfId="0" applyFont="1" applyFill="1" applyBorder="1" applyAlignment="1">
      <alignment horizontal="right"/>
    </xf>
    <xf numFmtId="0" fontId="8" fillId="15" borderId="0" xfId="0" applyFont="1" applyFill="1" applyBorder="1" applyAlignment="1"/>
    <xf numFmtId="0" fontId="7" fillId="15" borderId="0" xfId="0" applyFont="1" applyFill="1" applyBorder="1" applyAlignment="1">
      <alignment horizontal="center" vertical="center" wrapText="1"/>
    </xf>
    <xf numFmtId="43" fontId="7" fillId="15" borderId="0" xfId="13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2" fontId="3" fillId="15" borderId="0" xfId="13" applyNumberFormat="1" applyFont="1" applyFill="1" applyBorder="1" applyAlignment="1">
      <alignment vertical="center"/>
    </xf>
    <xf numFmtId="43" fontId="8" fillId="15" borderId="0" xfId="13" applyFont="1" applyFill="1" applyBorder="1" applyAlignment="1">
      <alignment horizontal="center" vertical="center" wrapText="1"/>
    </xf>
    <xf numFmtId="40" fontId="8" fillId="15" borderId="0" xfId="13" applyNumberFormat="1" applyFont="1" applyFill="1" applyBorder="1" applyAlignment="1">
      <alignment vertical="center"/>
    </xf>
    <xf numFmtId="0" fontId="6" fillId="15" borderId="0" xfId="0" applyFont="1" applyFill="1" applyBorder="1"/>
    <xf numFmtId="43" fontId="6" fillId="15" borderId="0" xfId="13" applyFont="1" applyFill="1" applyBorder="1"/>
    <xf numFmtId="0" fontId="7" fillId="15" borderId="0" xfId="0" applyFont="1" applyFill="1" applyBorder="1" applyAlignment="1"/>
    <xf numFmtId="40" fontId="3" fillId="15" borderId="0" xfId="13" applyNumberFormat="1" applyFont="1" applyFill="1" applyBorder="1" applyAlignment="1"/>
    <xf numFmtId="40" fontId="10" fillId="15" borderId="0" xfId="13" applyNumberFormat="1" applyFont="1" applyFill="1" applyBorder="1" applyAlignment="1"/>
    <xf numFmtId="0" fontId="6" fillId="15" borderId="0" xfId="0" applyFont="1" applyFill="1" applyBorder="1" applyAlignment="1">
      <alignment horizontal="center" vertical="center" wrapText="1"/>
    </xf>
    <xf numFmtId="43" fontId="6" fillId="15" borderId="0" xfId="13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wrapText="1"/>
    </xf>
    <xf numFmtId="43" fontId="12" fillId="15" borderId="0" xfId="13" applyFont="1" applyFill="1" applyBorder="1" applyAlignment="1"/>
    <xf numFmtId="40" fontId="12" fillId="15" borderId="0" xfId="13" applyNumberFormat="1" applyFont="1" applyFill="1" applyBorder="1" applyAlignment="1"/>
    <xf numFmtId="2" fontId="12" fillId="15" borderId="0" xfId="13" applyNumberFormat="1" applyFont="1" applyFill="1" applyBorder="1" applyAlignment="1"/>
    <xf numFmtId="43" fontId="8" fillId="15" borderId="0" xfId="37" applyNumberFormat="1" applyFont="1" applyFill="1" applyBorder="1" applyAlignment="1">
      <alignment vertical="center"/>
    </xf>
    <xf numFmtId="0" fontId="3" fillId="15" borderId="0" xfId="0" applyFont="1" applyFill="1" applyBorder="1" applyAlignment="1">
      <alignment horizontal="right" vertical="center"/>
    </xf>
    <xf numFmtId="0" fontId="13" fillId="15" borderId="0" xfId="0" applyFont="1" applyFill="1" applyBorder="1" applyAlignment="1">
      <alignment horizontal="right" vertical="center"/>
    </xf>
    <xf numFmtId="4" fontId="15" fillId="15" borderId="0" xfId="13" applyNumberFormat="1" applyFont="1" applyFill="1" applyBorder="1" applyAlignment="1">
      <alignment vertical="center"/>
    </xf>
    <xf numFmtId="4" fontId="3" fillId="15" borderId="0" xfId="13" applyNumberFormat="1" applyFont="1" applyFill="1" applyBorder="1" applyAlignment="1">
      <alignment vertical="center"/>
    </xf>
    <xf numFmtId="43" fontId="6" fillId="15" borderId="0" xfId="13" applyFont="1" applyFill="1" applyBorder="1" applyAlignment="1">
      <alignment horizontal="left" vertical="center"/>
    </xf>
    <xf numFmtId="40" fontId="6" fillId="15" borderId="0" xfId="0" applyNumberFormat="1" applyFont="1" applyFill="1" applyBorder="1" applyAlignment="1"/>
    <xf numFmtId="40" fontId="6" fillId="15" borderId="0" xfId="13" applyNumberFormat="1" applyFont="1" applyFill="1" applyBorder="1" applyAlignment="1">
      <alignment vertical="center"/>
    </xf>
    <xf numFmtId="40" fontId="6" fillId="15" borderId="0" xfId="0" applyNumberFormat="1" applyFont="1" applyFill="1" applyBorder="1" applyAlignment="1">
      <alignment vertical="center"/>
    </xf>
    <xf numFmtId="40" fontId="6" fillId="15" borderId="0" xfId="13" applyNumberFormat="1" applyFont="1" applyFill="1" applyBorder="1" applyAlignment="1">
      <alignment horizontal="left" vertical="center"/>
    </xf>
    <xf numFmtId="40" fontId="9" fillId="15" borderId="0" xfId="13" applyNumberFormat="1" applyFont="1" applyFill="1" applyBorder="1" applyAlignment="1">
      <alignment vertical="center"/>
    </xf>
    <xf numFmtId="2" fontId="6" fillId="15" borderId="0" xfId="13" applyNumberFormat="1" applyFont="1" applyFill="1" applyBorder="1" applyAlignment="1">
      <alignment vertical="center"/>
    </xf>
    <xf numFmtId="0" fontId="27" fillId="15" borderId="0" xfId="0" applyFont="1" applyFill="1" applyBorder="1" applyAlignment="1">
      <alignment vertical="center"/>
    </xf>
    <xf numFmtId="0" fontId="29" fillId="15" borderId="0" xfId="0" applyFont="1" applyFill="1" applyBorder="1" applyAlignment="1">
      <alignment vertical="center"/>
    </xf>
    <xf numFmtId="0" fontId="30" fillId="15" borderId="0" xfId="0" applyFont="1" applyFill="1" applyBorder="1" applyAlignment="1">
      <alignment vertical="center"/>
    </xf>
    <xf numFmtId="0" fontId="27" fillId="15" borderId="0" xfId="0" applyFont="1" applyFill="1" applyBorder="1" applyAlignment="1">
      <alignment horizontal="center" vertical="center"/>
    </xf>
    <xf numFmtId="43" fontId="27" fillId="15" borderId="0" xfId="13" applyFont="1" applyFill="1" applyBorder="1" applyAlignment="1">
      <alignment vertical="center"/>
    </xf>
    <xf numFmtId="9" fontId="27" fillId="15" borderId="0" xfId="37" applyFont="1" applyFill="1" applyBorder="1" applyAlignment="1">
      <alignment vertical="center"/>
    </xf>
    <xf numFmtId="0" fontId="3" fillId="15" borderId="0" xfId="0" applyFont="1" applyFill="1" applyBorder="1" applyAlignment="1">
      <alignment horizontal="center"/>
    </xf>
    <xf numFmtId="0" fontId="10" fillId="15" borderId="0" xfId="0" applyFont="1" applyFill="1" applyBorder="1" applyAlignment="1"/>
    <xf numFmtId="43" fontId="3" fillId="15" borderId="0" xfId="13" applyFont="1" applyFill="1" applyBorder="1" applyAlignment="1">
      <alignment horizontal="center" vertical="center" wrapText="1"/>
    </xf>
    <xf numFmtId="43" fontId="10" fillId="15" borderId="0" xfId="13" applyFont="1" applyFill="1" applyBorder="1" applyAlignment="1">
      <alignment horizontal="center" wrapText="1"/>
    </xf>
    <xf numFmtId="0" fontId="31" fillId="15" borderId="0" xfId="0" applyFont="1" applyFill="1" applyBorder="1" applyAlignment="1">
      <alignment vertical="center"/>
    </xf>
    <xf numFmtId="43" fontId="10" fillId="15" borderId="0" xfId="13" applyFont="1" applyFill="1" applyBorder="1" applyAlignment="1">
      <alignment horizontal="center" vertical="center" wrapText="1"/>
    </xf>
    <xf numFmtId="0" fontId="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vertical="center"/>
    </xf>
    <xf numFmtId="43" fontId="3" fillId="15" borderId="0" xfId="0" applyNumberFormat="1" applyFont="1" applyFill="1" applyBorder="1" applyAlignment="1">
      <alignment vertical="center"/>
    </xf>
    <xf numFmtId="40" fontId="11" fillId="15" borderId="0" xfId="13" applyNumberFormat="1" applyFont="1" applyFill="1" applyBorder="1" applyAlignment="1">
      <alignment vertical="center"/>
    </xf>
    <xf numFmtId="43" fontId="13" fillId="15" borderId="0" xfId="13" applyFont="1" applyFill="1" applyBorder="1" applyAlignment="1">
      <alignment vertical="center"/>
    </xf>
    <xf numFmtId="0" fontId="12" fillId="15" borderId="0" xfId="0" applyFont="1" applyFill="1" applyBorder="1" applyAlignment="1">
      <alignment vertical="center"/>
    </xf>
    <xf numFmtId="0" fontId="21" fillId="15" borderId="0" xfId="0" applyFont="1" applyFill="1" applyBorder="1" applyAlignment="1">
      <alignment vertical="center"/>
    </xf>
    <xf numFmtId="4" fontId="6" fillId="15" borderId="0" xfId="13" applyNumberFormat="1" applyFont="1" applyFill="1" applyBorder="1" applyAlignment="1">
      <alignment horizontal="left" vertical="center"/>
    </xf>
    <xf numFmtId="4" fontId="7" fillId="15" borderId="0" xfId="13" applyNumberFormat="1" applyFont="1" applyFill="1" applyBorder="1" applyAlignment="1">
      <alignment vertical="center"/>
    </xf>
    <xf numFmtId="4" fontId="12" fillId="15" borderId="0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vertical="center"/>
    </xf>
    <xf numFmtId="2" fontId="23" fillId="15" borderId="0" xfId="0" applyNumberFormat="1" applyFont="1" applyFill="1" applyBorder="1" applyAlignment="1">
      <alignment vertical="center"/>
    </xf>
    <xf numFmtId="4" fontId="7" fillId="15" borderId="0" xfId="0" applyNumberFormat="1" applyFont="1" applyFill="1" applyBorder="1" applyAlignment="1">
      <alignment vertical="center"/>
    </xf>
    <xf numFmtId="4" fontId="7" fillId="15" borderId="0" xfId="0" applyNumberFormat="1" applyFont="1" applyFill="1" applyBorder="1" applyAlignment="1"/>
    <xf numFmtId="40" fontId="11" fillId="15" borderId="0" xfId="0" applyNumberFormat="1" applyFont="1" applyFill="1" applyBorder="1" applyAlignment="1">
      <alignment vertical="center"/>
    </xf>
    <xf numFmtId="43" fontId="32" fillId="15" borderId="0" xfId="13" applyFont="1" applyFill="1" applyBorder="1" applyAlignment="1">
      <alignment vertical="center"/>
    </xf>
    <xf numFmtId="4" fontId="6" fillId="15" borderId="0" xfId="0" applyNumberFormat="1" applyFont="1" applyFill="1" applyBorder="1"/>
    <xf numFmtId="0" fontId="6" fillId="15" borderId="0" xfId="0" applyFont="1" applyFill="1" applyBorder="1" applyAlignment="1"/>
    <xf numFmtId="43" fontId="6" fillId="15" borderId="0" xfId="13" applyFont="1" applyFill="1" applyBorder="1" applyAlignment="1"/>
    <xf numFmtId="0" fontId="14" fillId="15" borderId="0" xfId="0" applyFont="1" applyFill="1" applyBorder="1" applyAlignment="1">
      <alignment vertical="center"/>
    </xf>
    <xf numFmtId="0" fontId="8" fillId="15" borderId="0" xfId="0" applyFont="1" applyFill="1" applyBorder="1" applyAlignment="1">
      <alignment horizontal="right" vertical="center"/>
    </xf>
    <xf numFmtId="0" fontId="8" fillId="15" borderId="0" xfId="0" applyFont="1" applyFill="1" applyBorder="1" applyAlignment="1">
      <alignment vertical="center"/>
    </xf>
    <xf numFmtId="4" fontId="8" fillId="15" borderId="0" xfId="13" applyNumberFormat="1" applyFont="1" applyFill="1" applyBorder="1" applyAlignment="1">
      <alignment vertical="center"/>
    </xf>
    <xf numFmtId="43" fontId="10" fillId="15" borderId="0" xfId="13" applyFont="1" applyFill="1" applyBorder="1" applyAlignment="1">
      <alignment horizontal="center" vertical="center"/>
    </xf>
    <xf numFmtId="0" fontId="18" fillId="15" borderId="0" xfId="0" applyFont="1" applyFill="1" applyBorder="1" applyAlignment="1">
      <alignment vertical="center"/>
    </xf>
    <xf numFmtId="43" fontId="10" fillId="15" borderId="0" xfId="13" applyNumberFormat="1" applyFont="1" applyFill="1" applyBorder="1" applyAlignment="1">
      <alignment vertical="center"/>
    </xf>
    <xf numFmtId="0" fontId="17" fillId="15" borderId="0" xfId="0" applyFont="1" applyFill="1" applyBorder="1" applyAlignment="1">
      <alignment vertical="center"/>
    </xf>
    <xf numFmtId="2" fontId="12" fillId="15" borderId="0" xfId="13" applyNumberFormat="1" applyFont="1" applyFill="1" applyBorder="1" applyAlignment="1">
      <alignment vertical="center"/>
    </xf>
    <xf numFmtId="43" fontId="13" fillId="15" borderId="0" xfId="13" applyNumberFormat="1" applyFont="1" applyFill="1" applyBorder="1" applyAlignment="1">
      <alignment vertical="center"/>
    </xf>
    <xf numFmtId="4" fontId="8" fillId="15" borderId="0" xfId="13" applyNumberFormat="1" applyFont="1" applyFill="1" applyBorder="1" applyAlignment="1">
      <alignment horizontal="center" vertical="center" wrapText="1"/>
    </xf>
    <xf numFmtId="43" fontId="6" fillId="15" borderId="0" xfId="15" applyFont="1" applyFill="1" applyBorder="1" applyAlignment="1">
      <alignment vertical="center"/>
    </xf>
    <xf numFmtId="43" fontId="6" fillId="15" borderId="0" xfId="0" applyNumberFormat="1" applyFont="1" applyFill="1" applyBorder="1"/>
    <xf numFmtId="0" fontId="6" fillId="15" borderId="0" xfId="0" applyFont="1" applyFill="1" applyBorder="1" applyAlignment="1">
      <alignment horizontal="left" vertical="center"/>
    </xf>
    <xf numFmtId="14" fontId="7" fillId="15" borderId="0" xfId="0" applyNumberFormat="1" applyFont="1" applyFill="1" applyBorder="1" applyAlignment="1">
      <alignment horizontal="center" vertical="center"/>
    </xf>
    <xf numFmtId="43" fontId="3" fillId="15" borderId="0" xfId="13" applyFont="1" applyFill="1" applyBorder="1" applyAlignment="1">
      <alignment horizontal="right" vertical="center"/>
    </xf>
    <xf numFmtId="4" fontId="10" fillId="15" borderId="0" xfId="13" applyNumberFormat="1" applyFont="1" applyFill="1" applyBorder="1" applyAlignment="1">
      <alignment vertical="center"/>
    </xf>
    <xf numFmtId="40" fontId="8" fillId="15" borderId="0" xfId="13" applyNumberFormat="1" applyFont="1" applyFill="1" applyBorder="1" applyAlignment="1"/>
    <xf numFmtId="40" fontId="6" fillId="15" borderId="0" xfId="0" applyNumberFormat="1" applyFont="1" applyFill="1" applyBorder="1"/>
    <xf numFmtId="0" fontId="10" fillId="15" borderId="0" xfId="0" applyFont="1" applyFill="1" applyBorder="1" applyAlignment="1">
      <alignment horizontal="center" vertical="center"/>
    </xf>
    <xf numFmtId="0" fontId="33" fillId="15" borderId="0" xfId="0" applyFont="1" applyFill="1" applyBorder="1" applyAlignment="1">
      <alignment vertical="center"/>
    </xf>
    <xf numFmtId="43" fontId="11" fillId="15" borderId="0" xfId="0" applyNumberFormat="1" applyFont="1" applyFill="1" applyBorder="1"/>
    <xf numFmtId="0" fontId="11" fillId="15" borderId="0" xfId="0" applyFont="1" applyFill="1" applyBorder="1"/>
    <xf numFmtId="164" fontId="27" fillId="15" borderId="0" xfId="0" applyNumberFormat="1" applyFont="1" applyFill="1" applyBorder="1" applyAlignment="1">
      <alignment vertical="center"/>
    </xf>
    <xf numFmtId="168" fontId="6" fillId="15" borderId="0" xfId="0" applyNumberFormat="1" applyFont="1" applyFill="1" applyBorder="1" applyAlignment="1">
      <alignment vertical="center"/>
    </xf>
    <xf numFmtId="43" fontId="34" fillId="15" borderId="0" xfId="13" applyFont="1" applyFill="1" applyBorder="1" applyAlignment="1">
      <alignment vertical="center"/>
    </xf>
    <xf numFmtId="169" fontId="6" fillId="15" borderId="0" xfId="0" applyNumberFormat="1" applyFont="1" applyFill="1" applyBorder="1" applyAlignment="1">
      <alignment vertical="center"/>
    </xf>
    <xf numFmtId="40" fontId="3" fillId="15" borderId="0" xfId="13" applyNumberFormat="1" applyFont="1" applyFill="1" applyBorder="1" applyAlignment="1">
      <alignment horizontal="center" vertical="center"/>
    </xf>
    <xf numFmtId="40" fontId="3" fillId="15" borderId="0" xfId="13" applyNumberFormat="1" applyFont="1" applyFill="1" applyBorder="1" applyAlignment="1">
      <alignment horizontal="right" vertical="center"/>
    </xf>
    <xf numFmtId="14" fontId="10" fillId="15" borderId="0" xfId="13" applyNumberFormat="1" applyFont="1" applyFill="1" applyBorder="1" applyAlignment="1">
      <alignment horizontal="center" vertical="center" wrapText="1"/>
    </xf>
    <xf numFmtId="0" fontId="35" fillId="15" borderId="0" xfId="0" applyFont="1" applyFill="1" applyBorder="1" applyAlignment="1">
      <alignment vertical="center"/>
    </xf>
    <xf numFmtId="0" fontId="35" fillId="15" borderId="0" xfId="0" applyFont="1" applyFill="1" applyBorder="1" applyAlignment="1">
      <alignment horizontal="center" vertical="center"/>
    </xf>
    <xf numFmtId="43" fontId="35" fillId="15" borderId="0" xfId="13" applyFont="1" applyFill="1" applyBorder="1" applyAlignment="1">
      <alignment vertical="center"/>
    </xf>
    <xf numFmtId="43" fontId="36" fillId="15" borderId="0" xfId="13" applyFont="1" applyFill="1" applyBorder="1" applyAlignment="1">
      <alignment vertical="center"/>
    </xf>
    <xf numFmtId="9" fontId="36" fillId="15" borderId="0" xfId="37" applyFont="1" applyFill="1" applyBorder="1" applyAlignment="1">
      <alignment vertical="center"/>
    </xf>
    <xf numFmtId="0" fontId="36" fillId="15" borderId="0" xfId="0" applyFont="1" applyFill="1" applyBorder="1" applyAlignment="1">
      <alignment vertical="center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43" fontId="7" fillId="15" borderId="5" xfId="13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0" fontId="18" fillId="15" borderId="6" xfId="0" applyFont="1" applyFill="1" applyBorder="1" applyAlignment="1">
      <alignment vertical="center"/>
    </xf>
    <xf numFmtId="43" fontId="6" fillId="15" borderId="2" xfId="13" applyFont="1" applyFill="1" applyBorder="1" applyAlignment="1">
      <alignment vertical="center"/>
    </xf>
    <xf numFmtId="0" fontId="7" fillId="15" borderId="6" xfId="0" applyFont="1" applyFill="1" applyBorder="1" applyAlignment="1">
      <alignment horizontal="center" vertical="center"/>
    </xf>
    <xf numFmtId="40" fontId="10" fillId="15" borderId="2" xfId="13" applyNumberFormat="1" applyFont="1" applyFill="1" applyBorder="1" applyAlignment="1">
      <alignment vertical="center"/>
    </xf>
    <xf numFmtId="40" fontId="3" fillId="15" borderId="2" xfId="13" applyNumberFormat="1" applyFont="1" applyFill="1" applyBorder="1" applyAlignment="1">
      <alignment vertical="center"/>
    </xf>
    <xf numFmtId="2" fontId="3" fillId="15" borderId="2" xfId="13" applyNumberFormat="1" applyFont="1" applyFill="1" applyBorder="1" applyAlignment="1">
      <alignment vertical="center"/>
    </xf>
    <xf numFmtId="43" fontId="10" fillId="15" borderId="2" xfId="13" applyNumberFormat="1" applyFont="1" applyFill="1" applyBorder="1" applyAlignment="1">
      <alignment vertical="center"/>
    </xf>
    <xf numFmtId="0" fontId="17" fillId="15" borderId="7" xfId="0" applyFont="1" applyFill="1" applyBorder="1" applyAlignment="1">
      <alignment vertical="center"/>
    </xf>
    <xf numFmtId="43" fontId="6" fillId="15" borderId="1" xfId="13" applyFont="1" applyFill="1" applyBorder="1" applyAlignment="1">
      <alignment vertical="center"/>
    </xf>
    <xf numFmtId="0" fontId="7" fillId="15" borderId="1" xfId="0" applyFont="1" applyFill="1" applyBorder="1" applyAlignment="1">
      <alignment horizontal="center" vertical="center"/>
    </xf>
    <xf numFmtId="40" fontId="10" fillId="15" borderId="1" xfId="13" applyNumberFormat="1" applyFont="1" applyFill="1" applyBorder="1" applyAlignment="1">
      <alignment vertical="center"/>
    </xf>
    <xf numFmtId="40" fontId="3" fillId="15" borderId="1" xfId="13" applyNumberFormat="1" applyFont="1" applyFill="1" applyBorder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40" fontId="13" fillId="15" borderId="9" xfId="13" applyNumberFormat="1" applyFont="1" applyFill="1" applyBorder="1" applyAlignment="1">
      <alignment vertical="center"/>
    </xf>
    <xf numFmtId="40" fontId="12" fillId="15" borderId="9" xfId="13" applyNumberFormat="1" applyFont="1" applyFill="1" applyBorder="1" applyAlignment="1">
      <alignment vertical="center"/>
    </xf>
    <xf numFmtId="43" fontId="38" fillId="15" borderId="0" xfId="13" applyFont="1" applyFill="1" applyBorder="1" applyAlignment="1">
      <alignment vertical="center"/>
    </xf>
    <xf numFmtId="43" fontId="7" fillId="15" borderId="10" xfId="13" applyFont="1" applyFill="1" applyBorder="1" applyAlignment="1">
      <alignment vertical="center"/>
    </xf>
    <xf numFmtId="0" fontId="39" fillId="15" borderId="0" xfId="0" applyFont="1" applyFill="1" applyBorder="1" applyAlignment="1">
      <alignment vertical="center"/>
    </xf>
    <xf numFmtId="0" fontId="40" fillId="15" borderId="0" xfId="0" applyFont="1" applyFill="1" applyBorder="1" applyAlignment="1">
      <alignment vertical="center"/>
    </xf>
    <xf numFmtId="9" fontId="35" fillId="15" borderId="0" xfId="37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40" fontId="3" fillId="16" borderId="2" xfId="13" applyNumberFormat="1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40" fontId="10" fillId="15" borderId="14" xfId="13" applyNumberFormat="1" applyFont="1" applyFill="1" applyBorder="1" applyAlignment="1">
      <alignment vertical="center"/>
    </xf>
    <xf numFmtId="43" fontId="6" fillId="15" borderId="14" xfId="13" applyFont="1" applyFill="1" applyBorder="1" applyAlignment="1">
      <alignment vertical="center"/>
    </xf>
    <xf numFmtId="40" fontId="3" fillId="15" borderId="14" xfId="13" applyNumberFormat="1" applyFont="1" applyFill="1" applyBorder="1" applyAlignment="1">
      <alignment vertical="center"/>
    </xf>
    <xf numFmtId="40" fontId="3" fillId="15" borderId="15" xfId="13" applyNumberFormat="1" applyFont="1" applyFill="1" applyBorder="1" applyAlignment="1">
      <alignment vertical="center"/>
    </xf>
    <xf numFmtId="0" fontId="11" fillId="15" borderId="16" xfId="0" applyFont="1" applyFill="1" applyBorder="1" applyAlignment="1">
      <alignment vertical="center"/>
    </xf>
    <xf numFmtId="40" fontId="13" fillId="15" borderId="17" xfId="13" applyNumberFormat="1" applyFont="1" applyFill="1" applyBorder="1" applyAlignment="1">
      <alignment vertical="center"/>
    </xf>
    <xf numFmtId="43" fontId="11" fillId="15" borderId="17" xfId="13" applyFont="1" applyFill="1" applyBorder="1" applyAlignment="1">
      <alignment vertical="center"/>
    </xf>
    <xf numFmtId="40" fontId="12" fillId="15" borderId="17" xfId="13" applyNumberFormat="1" applyFont="1" applyFill="1" applyBorder="1" applyAlignment="1">
      <alignment vertical="center"/>
    </xf>
    <xf numFmtId="40" fontId="7" fillId="15" borderId="18" xfId="13" applyNumberFormat="1" applyFont="1" applyFill="1" applyBorder="1" applyAlignment="1">
      <alignment vertical="center"/>
    </xf>
    <xf numFmtId="0" fontId="14" fillId="17" borderId="0" xfId="0" applyFont="1" applyFill="1" applyBorder="1" applyAlignment="1">
      <alignment vertical="center"/>
    </xf>
    <xf numFmtId="43" fontId="6" fillId="17" borderId="0" xfId="13" applyFont="1" applyFill="1" applyBorder="1" applyAlignment="1">
      <alignment vertical="center"/>
    </xf>
    <xf numFmtId="0" fontId="41" fillId="0" borderId="0" xfId="0" applyFont="1" applyFill="1"/>
    <xf numFmtId="40" fontId="0" fillId="0" borderId="0" xfId="0" applyNumberFormat="1"/>
    <xf numFmtId="0" fontId="6" fillId="17" borderId="0" xfId="0" applyFont="1" applyFill="1" applyBorder="1" applyAlignment="1">
      <alignment vertical="center"/>
    </xf>
    <xf numFmtId="0" fontId="6" fillId="15" borderId="0" xfId="0" applyFont="1" applyFill="1"/>
    <xf numFmtId="43" fontId="6" fillId="15" borderId="0" xfId="13" applyFont="1" applyFill="1"/>
    <xf numFmtId="40" fontId="6" fillId="15" borderId="0" xfId="0" applyNumberFormat="1" applyFont="1" applyFill="1"/>
    <xf numFmtId="165" fontId="35" fillId="15" borderId="0" xfId="0" applyNumberFormat="1" applyFont="1" applyFill="1" applyBorder="1" applyAlignment="1">
      <alignment vertical="center"/>
    </xf>
    <xf numFmtId="43" fontId="8" fillId="15" borderId="5" xfId="13" applyFont="1" applyFill="1" applyBorder="1" applyAlignment="1">
      <alignment horizontal="center" vertical="center" wrapText="1"/>
    </xf>
    <xf numFmtId="0" fontId="7" fillId="15" borderId="6" xfId="0" applyFont="1" applyFill="1" applyBorder="1" applyAlignment="1"/>
    <xf numFmtId="40" fontId="3" fillId="15" borderId="2" xfId="13" applyNumberFormat="1" applyFont="1" applyFill="1" applyBorder="1" applyAlignment="1"/>
    <xf numFmtId="43" fontId="6" fillId="15" borderId="2" xfId="13" applyFont="1" applyFill="1" applyBorder="1" applyAlignment="1"/>
    <xf numFmtId="40" fontId="10" fillId="15" borderId="2" xfId="13" applyNumberFormat="1" applyFont="1" applyFill="1" applyBorder="1" applyAlignment="1"/>
    <xf numFmtId="43" fontId="3" fillId="15" borderId="2" xfId="13" applyFont="1" applyFill="1" applyBorder="1" applyAlignment="1"/>
    <xf numFmtId="0" fontId="8" fillId="15" borderId="7" xfId="0" applyFont="1" applyFill="1" applyBorder="1" applyAlignment="1"/>
    <xf numFmtId="43" fontId="3" fillId="15" borderId="14" xfId="13" applyFont="1" applyFill="1" applyBorder="1" applyAlignment="1"/>
    <xf numFmtId="40" fontId="3" fillId="15" borderId="14" xfId="13" applyNumberFormat="1" applyFont="1" applyFill="1" applyBorder="1" applyAlignment="1"/>
    <xf numFmtId="40" fontId="10" fillId="15" borderId="14" xfId="13" applyNumberFormat="1" applyFont="1" applyFill="1" applyBorder="1" applyAlignment="1"/>
    <xf numFmtId="43" fontId="42" fillId="15" borderId="0" xfId="13" applyFont="1" applyFill="1" applyBorder="1" applyAlignment="1"/>
    <xf numFmtId="43" fontId="7" fillId="15" borderId="10" xfId="0" applyNumberFormat="1" applyFont="1" applyFill="1" applyBorder="1" applyAlignment="1">
      <alignment vertical="center"/>
    </xf>
    <xf numFmtId="0" fontId="0" fillId="15" borderId="0" xfId="0" applyFill="1"/>
    <xf numFmtId="43" fontId="35" fillId="15" borderId="0" xfId="13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 wrapText="1"/>
    </xf>
    <xf numFmtId="43" fontId="8" fillId="15" borderId="1" xfId="13" applyFont="1" applyFill="1" applyBorder="1" applyAlignment="1">
      <alignment horizontal="center" vertical="center" wrapText="1"/>
    </xf>
    <xf numFmtId="4" fontId="8" fillId="15" borderId="1" xfId="13" applyNumberFormat="1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vertical="center"/>
    </xf>
    <xf numFmtId="43" fontId="3" fillId="15" borderId="2" xfId="13" applyFont="1" applyFill="1" applyBorder="1" applyAlignment="1">
      <alignment vertical="center"/>
    </xf>
    <xf numFmtId="4" fontId="3" fillId="15" borderId="2" xfId="13" applyNumberFormat="1" applyFont="1" applyFill="1" applyBorder="1" applyAlignment="1">
      <alignment vertical="center"/>
    </xf>
    <xf numFmtId="43" fontId="10" fillId="15" borderId="2" xfId="13" applyFont="1" applyFill="1" applyBorder="1" applyAlignment="1">
      <alignment vertical="center"/>
    </xf>
    <xf numFmtId="0" fontId="8" fillId="15" borderId="7" xfId="0" applyFont="1" applyFill="1" applyBorder="1" applyAlignment="1">
      <alignment vertical="center"/>
    </xf>
    <xf numFmtId="43" fontId="10" fillId="15" borderId="15" xfId="13" applyFont="1" applyFill="1" applyBorder="1" applyAlignment="1">
      <alignment vertical="center"/>
    </xf>
    <xf numFmtId="43" fontId="3" fillId="15" borderId="15" xfId="13" applyFont="1" applyFill="1" applyBorder="1" applyAlignment="1">
      <alignment vertical="center"/>
    </xf>
    <xf numFmtId="43" fontId="3" fillId="15" borderId="1" xfId="13" applyFont="1" applyFill="1" applyBorder="1" applyAlignment="1">
      <alignment vertical="center"/>
    </xf>
    <xf numFmtId="43" fontId="12" fillId="15" borderId="9" xfId="13" applyFont="1" applyFill="1" applyBorder="1" applyAlignment="1">
      <alignment vertical="center"/>
    </xf>
    <xf numFmtId="43" fontId="13" fillId="15" borderId="9" xfId="13" applyFont="1" applyFill="1" applyBorder="1" applyAlignment="1">
      <alignment vertical="center"/>
    </xf>
    <xf numFmtId="4" fontId="7" fillId="15" borderId="10" xfId="0" applyNumberFormat="1" applyFont="1" applyFill="1" applyBorder="1" applyAlignment="1"/>
    <xf numFmtId="0" fontId="38" fillId="15" borderId="0" xfId="0" applyFont="1" applyFill="1" applyBorder="1" applyAlignment="1">
      <alignment vertical="center"/>
    </xf>
    <xf numFmtId="43" fontId="38" fillId="15" borderId="0" xfId="37" applyNumberFormat="1" applyFont="1" applyFill="1" applyBorder="1" applyAlignment="1">
      <alignment vertical="center"/>
    </xf>
    <xf numFmtId="43" fontId="38" fillId="15" borderId="0" xfId="0" applyNumberFormat="1" applyFont="1" applyFill="1" applyBorder="1" applyAlignment="1">
      <alignment vertical="center"/>
    </xf>
    <xf numFmtId="0" fontId="44" fillId="15" borderId="4" xfId="0" applyFont="1" applyFill="1" applyBorder="1" applyAlignment="1">
      <alignment horizontal="center" vertical="center" wrapText="1"/>
    </xf>
    <xf numFmtId="0" fontId="38" fillId="15" borderId="5" xfId="0" applyFont="1" applyFill="1" applyBorder="1" applyAlignment="1">
      <alignment horizontal="center" vertical="center" wrapText="1"/>
    </xf>
    <xf numFmtId="43" fontId="38" fillId="15" borderId="5" xfId="13" applyFont="1" applyFill="1" applyBorder="1" applyAlignment="1">
      <alignment horizontal="center" vertical="center" wrapText="1"/>
    </xf>
    <xf numFmtId="0" fontId="38" fillId="15" borderId="20" xfId="0" applyNumberFormat="1" applyFont="1" applyFill="1" applyBorder="1" applyAlignment="1">
      <alignment vertical="center"/>
    </xf>
    <xf numFmtId="43" fontId="38" fillId="0" borderId="12" xfId="13" applyNumberFormat="1" applyFont="1" applyFill="1" applyBorder="1" applyAlignment="1">
      <alignment vertical="center"/>
    </xf>
    <xf numFmtId="0" fontId="35" fillId="0" borderId="12" xfId="13" applyNumberFormat="1" applyFont="1" applyFill="1" applyBorder="1" applyAlignment="1">
      <alignment vertical="center"/>
    </xf>
    <xf numFmtId="43" fontId="38" fillId="0" borderId="12" xfId="13" applyFont="1" applyFill="1" applyBorder="1" applyAlignment="1">
      <alignment vertical="center"/>
    </xf>
    <xf numFmtId="40" fontId="35" fillId="0" borderId="12" xfId="13" applyNumberFormat="1" applyFont="1" applyFill="1" applyBorder="1" applyAlignment="1">
      <alignment vertical="center"/>
    </xf>
    <xf numFmtId="40" fontId="36" fillId="0" borderId="12" xfId="13" applyNumberFormat="1" applyFont="1" applyFill="1" applyBorder="1" applyAlignment="1">
      <alignment vertical="center"/>
    </xf>
    <xf numFmtId="40" fontId="46" fillId="0" borderId="12" xfId="13" applyNumberFormat="1" applyFont="1" applyFill="1" applyBorder="1" applyAlignment="1">
      <alignment vertical="center"/>
    </xf>
    <xf numFmtId="43" fontId="35" fillId="0" borderId="12" xfId="0" applyNumberFormat="1" applyFont="1" applyFill="1" applyBorder="1" applyAlignment="1">
      <alignment vertical="center"/>
    </xf>
    <xf numFmtId="40" fontId="35" fillId="0" borderId="20" xfId="13" applyNumberFormat="1" applyFont="1" applyFill="1" applyBorder="1" applyAlignment="1">
      <alignment vertical="center"/>
    </xf>
    <xf numFmtId="0" fontId="38" fillId="15" borderId="21" xfId="0" applyFont="1" applyFill="1" applyBorder="1" applyAlignment="1">
      <alignment vertical="center"/>
    </xf>
    <xf numFmtId="43" fontId="38" fillId="0" borderId="14" xfId="13" applyFont="1" applyFill="1" applyBorder="1" applyAlignment="1">
      <alignment vertical="center"/>
    </xf>
    <xf numFmtId="43" fontId="35" fillId="0" borderId="2" xfId="13" applyFont="1" applyFill="1" applyBorder="1" applyAlignment="1">
      <alignment vertical="center"/>
    </xf>
    <xf numFmtId="40" fontId="35" fillId="0" borderId="14" xfId="13" applyNumberFormat="1" applyFont="1" applyFill="1" applyBorder="1" applyAlignment="1">
      <alignment vertical="center"/>
    </xf>
    <xf numFmtId="43" fontId="38" fillId="0" borderId="2" xfId="13" applyFont="1" applyFill="1" applyBorder="1" applyAlignment="1">
      <alignment vertical="center"/>
    </xf>
    <xf numFmtId="40" fontId="36" fillId="0" borderId="14" xfId="13" applyNumberFormat="1" applyFont="1" applyFill="1" applyBorder="1" applyAlignment="1">
      <alignment vertical="center"/>
    </xf>
    <xf numFmtId="40" fontId="46" fillId="0" borderId="14" xfId="13" applyNumberFormat="1" applyFont="1" applyFill="1" applyBorder="1" applyAlignment="1">
      <alignment vertical="center"/>
    </xf>
    <xf numFmtId="43" fontId="35" fillId="0" borderId="14" xfId="0" applyNumberFormat="1" applyFont="1" applyFill="1" applyBorder="1" applyAlignment="1">
      <alignment vertical="center"/>
    </xf>
    <xf numFmtId="0" fontId="38" fillId="18" borderId="16" xfId="0" applyFont="1" applyFill="1" applyBorder="1" applyAlignment="1">
      <alignment vertical="center"/>
    </xf>
    <xf numFmtId="43" fontId="38" fillId="18" borderId="17" xfId="13" applyFont="1" applyFill="1" applyBorder="1" applyAlignment="1">
      <alignment vertical="center"/>
    </xf>
    <xf numFmtId="2" fontId="36" fillId="18" borderId="17" xfId="13" applyNumberFormat="1" applyFont="1" applyFill="1" applyBorder="1" applyAlignment="1">
      <alignment vertical="center"/>
    </xf>
    <xf numFmtId="40" fontId="35" fillId="18" borderId="17" xfId="13" applyNumberFormat="1" applyFont="1" applyFill="1" applyBorder="1" applyAlignment="1">
      <alignment vertical="center"/>
    </xf>
    <xf numFmtId="43" fontId="35" fillId="0" borderId="12" xfId="13" applyFont="1" applyFill="1" applyBorder="1" applyAlignment="1">
      <alignment vertical="center"/>
    </xf>
    <xf numFmtId="0" fontId="38" fillId="20" borderId="16" xfId="0" applyFont="1" applyFill="1" applyBorder="1" applyAlignment="1">
      <alignment vertical="center"/>
    </xf>
    <xf numFmtId="43" fontId="38" fillId="20" borderId="17" xfId="13" applyFont="1" applyFill="1" applyBorder="1" applyAlignment="1">
      <alignment vertical="center"/>
    </xf>
    <xf numFmtId="2" fontId="36" fillId="20" borderId="17" xfId="13" applyNumberFormat="1" applyFont="1" applyFill="1" applyBorder="1" applyAlignment="1">
      <alignment vertical="center"/>
    </xf>
    <xf numFmtId="40" fontId="35" fillId="20" borderId="17" xfId="13" applyNumberFormat="1" applyFont="1" applyFill="1" applyBorder="1" applyAlignment="1">
      <alignment vertical="center"/>
    </xf>
    <xf numFmtId="0" fontId="47" fillId="15" borderId="0" xfId="0" applyFont="1" applyFill="1" applyBorder="1" applyAlignment="1">
      <alignment vertical="center"/>
    </xf>
    <xf numFmtId="9" fontId="38" fillId="15" borderId="0" xfId="37" applyFont="1" applyFill="1" applyBorder="1" applyAlignment="1">
      <alignment vertical="center"/>
    </xf>
    <xf numFmtId="166" fontId="38" fillId="15" borderId="0" xfId="0" applyNumberFormat="1" applyFont="1" applyFill="1" applyBorder="1" applyAlignment="1">
      <alignment vertical="center"/>
    </xf>
    <xf numFmtId="0" fontId="48" fillId="15" borderId="0" xfId="0" applyFont="1" applyFill="1" applyBorder="1" applyAlignment="1">
      <alignment horizontal="right" vertical="center"/>
    </xf>
    <xf numFmtId="0" fontId="44" fillId="15" borderId="0" xfId="0" applyFont="1" applyFill="1" applyBorder="1" applyAlignment="1">
      <alignment vertical="center"/>
    </xf>
    <xf numFmtId="0" fontId="49" fillId="15" borderId="0" xfId="0" applyFont="1" applyFill="1" applyBorder="1" applyAlignment="1">
      <alignment vertical="center"/>
    </xf>
    <xf numFmtId="0" fontId="49" fillId="15" borderId="0" xfId="0" applyFont="1" applyFill="1" applyBorder="1" applyAlignment="1">
      <alignment horizontal="center" vertical="center"/>
    </xf>
    <xf numFmtId="43" fontId="50" fillId="0" borderId="0" xfId="13" applyFont="1" applyFill="1" applyBorder="1" applyAlignment="1">
      <alignment vertical="center"/>
    </xf>
    <xf numFmtId="43" fontId="49" fillId="15" borderId="0" xfId="13" applyFont="1" applyFill="1" applyBorder="1" applyAlignment="1">
      <alignment vertical="center"/>
    </xf>
    <xf numFmtId="9" fontId="49" fillId="15" borderId="0" xfId="37" applyFont="1" applyFill="1" applyBorder="1" applyAlignment="1">
      <alignment vertical="center"/>
    </xf>
    <xf numFmtId="164" fontId="49" fillId="15" borderId="0" xfId="0" applyNumberFormat="1" applyFont="1" applyFill="1" applyBorder="1" applyAlignment="1">
      <alignment vertical="center"/>
    </xf>
    <xf numFmtId="0" fontId="38" fillId="19" borderId="4" xfId="0" applyFont="1" applyFill="1" applyBorder="1" applyAlignment="1">
      <alignment horizontal="center" vertical="center" wrapText="1"/>
    </xf>
    <xf numFmtId="43" fontId="35" fillId="15" borderId="5" xfId="13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vertical="center"/>
    </xf>
    <xf numFmtId="43" fontId="36" fillId="0" borderId="19" xfId="13" applyFont="1" applyFill="1" applyBorder="1" applyAlignment="1">
      <alignment vertical="center"/>
    </xf>
    <xf numFmtId="43" fontId="35" fillId="0" borderId="19" xfId="13" applyFont="1" applyFill="1" applyBorder="1" applyAlignment="1">
      <alignment horizontal="center" vertical="center" wrapText="1"/>
    </xf>
    <xf numFmtId="40" fontId="36" fillId="0" borderId="19" xfId="13" applyNumberFormat="1" applyFont="1" applyFill="1" applyBorder="1" applyAlignment="1">
      <alignment horizontal="right" vertical="center"/>
    </xf>
    <xf numFmtId="40" fontId="36" fillId="0" borderId="19" xfId="13" applyNumberFormat="1" applyFont="1" applyFill="1" applyBorder="1" applyAlignment="1">
      <alignment vertical="center"/>
    </xf>
    <xf numFmtId="43" fontId="36" fillId="0" borderId="14" xfId="13" applyFont="1" applyFill="1" applyBorder="1" applyAlignment="1">
      <alignment vertical="center"/>
    </xf>
    <xf numFmtId="14" fontId="35" fillId="0" borderId="14" xfId="13" applyNumberFormat="1" applyFont="1" applyFill="1" applyBorder="1" applyAlignment="1">
      <alignment horizontal="center" vertical="center" wrapText="1"/>
    </xf>
    <xf numFmtId="40" fontId="36" fillId="0" borderId="14" xfId="13" applyNumberFormat="1" applyFont="1" applyFill="1" applyBorder="1" applyAlignment="1">
      <alignment horizontal="right" vertical="center"/>
    </xf>
    <xf numFmtId="168" fontId="38" fillId="15" borderId="0" xfId="0" applyNumberFormat="1" applyFont="1" applyFill="1" applyBorder="1" applyAlignment="1">
      <alignment vertical="center"/>
    </xf>
    <xf numFmtId="0" fontId="35" fillId="15" borderId="16" xfId="0" applyFont="1" applyFill="1" applyBorder="1" applyAlignment="1">
      <alignment vertical="center"/>
    </xf>
    <xf numFmtId="43" fontId="35" fillId="15" borderId="17" xfId="13" applyFont="1" applyFill="1" applyBorder="1" applyAlignment="1">
      <alignment vertical="center"/>
    </xf>
    <xf numFmtId="43" fontId="35" fillId="15" borderId="17" xfId="13" applyFont="1" applyFill="1" applyBorder="1" applyAlignment="1">
      <alignment horizontal="center" vertical="center"/>
    </xf>
    <xf numFmtId="40" fontId="35" fillId="15" borderId="17" xfId="13" applyNumberFormat="1" applyFont="1" applyFill="1" applyBorder="1" applyAlignment="1">
      <alignment vertical="center"/>
    </xf>
    <xf numFmtId="0" fontId="35" fillId="16" borderId="21" xfId="0" applyFont="1" applyFill="1" applyBorder="1" applyAlignment="1">
      <alignment vertical="center"/>
    </xf>
    <xf numFmtId="43" fontId="35" fillId="16" borderId="14" xfId="13" applyFont="1" applyFill="1" applyBorder="1" applyAlignment="1">
      <alignment vertical="center"/>
    </xf>
    <xf numFmtId="43" fontId="35" fillId="16" borderId="9" xfId="13" applyFont="1" applyFill="1" applyBorder="1" applyAlignment="1">
      <alignment horizontal="center" vertical="center"/>
    </xf>
    <xf numFmtId="40" fontId="35" fillId="16" borderId="1" xfId="13" applyNumberFormat="1" applyFont="1" applyFill="1" applyBorder="1" applyAlignment="1">
      <alignment vertical="center"/>
    </xf>
    <xf numFmtId="40" fontId="35" fillId="16" borderId="14" xfId="13" applyNumberFormat="1" applyFont="1" applyFill="1" applyBorder="1" applyAlignment="1">
      <alignment vertical="center"/>
    </xf>
    <xf numFmtId="43" fontId="35" fillId="16" borderId="1" xfId="13" applyFont="1" applyFill="1" applyBorder="1" applyAlignment="1">
      <alignment vertical="center"/>
    </xf>
    <xf numFmtId="40" fontId="35" fillId="16" borderId="2" xfId="13" applyNumberFormat="1" applyFont="1" applyFill="1" applyBorder="1" applyAlignment="1">
      <alignment vertical="center"/>
    </xf>
    <xf numFmtId="0" fontId="51" fillId="15" borderId="0" xfId="0" applyFont="1" applyFill="1" applyBorder="1" applyAlignment="1">
      <alignment vertical="center"/>
    </xf>
    <xf numFmtId="43" fontId="35" fillId="15" borderId="0" xfId="0" applyNumberFormat="1" applyFont="1" applyFill="1" applyBorder="1" applyAlignment="1">
      <alignment vertical="center"/>
    </xf>
    <xf numFmtId="0" fontId="36" fillId="0" borderId="21" xfId="0" applyFont="1" applyFill="1" applyBorder="1" applyAlignment="1">
      <alignment vertical="center"/>
    </xf>
    <xf numFmtId="43" fontId="36" fillId="0" borderId="19" xfId="13" applyFont="1" applyFill="1" applyBorder="1" applyAlignment="1">
      <alignment horizontal="center" vertical="center" wrapText="1"/>
    </xf>
    <xf numFmtId="14" fontId="36" fillId="0" borderId="14" xfId="13" applyNumberFormat="1" applyFont="1" applyFill="1" applyBorder="1" applyAlignment="1">
      <alignment horizontal="center" vertical="center" wrapText="1"/>
    </xf>
    <xf numFmtId="2" fontId="36" fillId="0" borderId="14" xfId="13" applyNumberFormat="1" applyFont="1" applyFill="1" applyBorder="1" applyAlignment="1">
      <alignment vertical="center"/>
    </xf>
    <xf numFmtId="168" fontId="36" fillId="15" borderId="0" xfId="0" applyNumberFormat="1" applyFont="1" applyFill="1" applyBorder="1" applyAlignment="1">
      <alignment vertical="center"/>
    </xf>
    <xf numFmtId="0" fontId="36" fillId="16" borderId="21" xfId="0" applyFont="1" applyFill="1" applyBorder="1" applyAlignment="1">
      <alignment vertical="center"/>
    </xf>
    <xf numFmtId="43" fontId="36" fillId="16" borderId="14" xfId="13" applyFont="1" applyFill="1" applyBorder="1" applyAlignment="1">
      <alignment vertical="center"/>
    </xf>
    <xf numFmtId="14" fontId="36" fillId="16" borderId="9" xfId="13" applyNumberFormat="1" applyFont="1" applyFill="1" applyBorder="1" applyAlignment="1">
      <alignment horizontal="center" vertical="center"/>
    </xf>
    <xf numFmtId="40" fontId="36" fillId="16" borderId="1" xfId="13" applyNumberFormat="1" applyFont="1" applyFill="1" applyBorder="1" applyAlignment="1">
      <alignment vertical="center"/>
    </xf>
    <xf numFmtId="40" fontId="36" fillId="16" borderId="14" xfId="13" applyNumberFormat="1" applyFont="1" applyFill="1" applyBorder="1" applyAlignment="1">
      <alignment vertical="center"/>
    </xf>
    <xf numFmtId="43" fontId="36" fillId="16" borderId="1" xfId="13" applyFont="1" applyFill="1" applyBorder="1" applyAlignment="1">
      <alignment vertical="center"/>
    </xf>
    <xf numFmtId="40" fontId="36" fillId="16" borderId="2" xfId="13" applyNumberFormat="1" applyFont="1" applyFill="1" applyBorder="1" applyAlignment="1">
      <alignment vertical="center"/>
    </xf>
    <xf numFmtId="0" fontId="52" fillId="15" borderId="0" xfId="0" applyFont="1" applyFill="1" applyBorder="1" applyAlignment="1">
      <alignment vertical="center"/>
    </xf>
    <xf numFmtId="43" fontId="53" fillId="15" borderId="0" xfId="13" applyFont="1" applyFill="1" applyBorder="1" applyAlignment="1">
      <alignment vertical="center"/>
    </xf>
    <xf numFmtId="43" fontId="7" fillId="15" borderId="19" xfId="13" applyFont="1" applyFill="1" applyBorder="1" applyAlignment="1">
      <alignment horizontal="center" vertical="center" wrapText="1"/>
    </xf>
    <xf numFmtId="0" fontId="7" fillId="15" borderId="23" xfId="0" applyFont="1" applyFill="1" applyBorder="1" applyAlignment="1">
      <alignment horizontal="center" vertical="center" wrapText="1"/>
    </xf>
    <xf numFmtId="4" fontId="8" fillId="15" borderId="5" xfId="0" applyNumberFormat="1" applyFont="1" applyFill="1" applyBorder="1" applyAlignment="1">
      <alignment horizontal="center" vertical="center" wrapText="1"/>
    </xf>
    <xf numFmtId="43" fontId="6" fillId="15" borderId="2" xfId="15" applyFont="1" applyFill="1" applyBorder="1" applyAlignment="1">
      <alignment vertical="center"/>
    </xf>
    <xf numFmtId="40" fontId="6" fillId="15" borderId="2" xfId="13" applyNumberFormat="1" applyFont="1" applyFill="1" applyBorder="1" applyAlignment="1">
      <alignment vertical="center"/>
    </xf>
    <xf numFmtId="40" fontId="11" fillId="15" borderId="9" xfId="13" applyNumberFormat="1" applyFont="1" applyFill="1" applyBorder="1" applyAlignment="1">
      <alignment vertical="center"/>
    </xf>
    <xf numFmtId="43" fontId="6" fillId="15" borderId="0" xfId="0" applyNumberFormat="1" applyFont="1" applyFill="1"/>
    <xf numFmtId="43" fontId="43" fillId="15" borderId="0" xfId="13" applyFont="1" applyFill="1" applyBorder="1" applyAlignment="1">
      <alignment vertical="center"/>
    </xf>
    <xf numFmtId="43" fontId="3" fillId="0" borderId="2" xfId="13" applyFont="1" applyFill="1" applyBorder="1" applyAlignment="1">
      <alignment vertical="center"/>
    </xf>
    <xf numFmtId="167" fontId="3" fillId="15" borderId="2" xfId="13" applyNumberFormat="1" applyFont="1" applyFill="1" applyBorder="1" applyAlignment="1">
      <alignment vertical="center"/>
    </xf>
    <xf numFmtId="40" fontId="10" fillId="0" borderId="2" xfId="13" applyNumberFormat="1" applyFont="1" applyFill="1" applyBorder="1" applyAlignment="1">
      <alignment vertical="center"/>
    </xf>
    <xf numFmtId="0" fontId="7" fillId="15" borderId="21" xfId="0" applyFont="1" applyFill="1" applyBorder="1" applyAlignment="1">
      <alignment vertical="center"/>
    </xf>
    <xf numFmtId="43" fontId="3" fillId="15" borderId="14" xfId="13" applyFont="1" applyFill="1" applyBorder="1" applyAlignment="1">
      <alignment vertical="center"/>
    </xf>
    <xf numFmtId="0" fontId="13" fillId="15" borderId="8" xfId="0" applyFont="1" applyFill="1" applyBorder="1" applyAlignment="1">
      <alignment vertical="center"/>
    </xf>
    <xf numFmtId="43" fontId="8" fillId="15" borderId="10" xfId="13" applyFont="1" applyFill="1" applyBorder="1" applyAlignment="1">
      <alignment vertical="center"/>
    </xf>
    <xf numFmtId="43" fontId="23" fillId="15" borderId="5" xfId="13" applyFont="1" applyFill="1" applyBorder="1" applyAlignment="1">
      <alignment horizontal="center" vertical="center" wrapText="1"/>
    </xf>
    <xf numFmtId="0" fontId="7" fillId="15" borderId="25" xfId="0" applyFont="1" applyFill="1" applyBorder="1" applyAlignment="1">
      <alignment horizontal="center" vertical="center" wrapText="1"/>
    </xf>
    <xf numFmtId="0" fontId="7" fillId="15" borderId="26" xfId="0" applyFont="1" applyFill="1" applyBorder="1" applyAlignment="1">
      <alignment horizontal="center" vertical="center" wrapText="1"/>
    </xf>
    <xf numFmtId="43" fontId="3" fillId="15" borderId="2" xfId="13" applyNumberFormat="1" applyFont="1" applyFill="1" applyBorder="1" applyAlignment="1">
      <alignment horizontal="right" vertical="center"/>
    </xf>
    <xf numFmtId="43" fontId="6" fillId="15" borderId="2" xfId="13" applyNumberFormat="1" applyFont="1" applyFill="1" applyBorder="1" applyAlignment="1">
      <alignment vertical="center"/>
    </xf>
    <xf numFmtId="43" fontId="3" fillId="15" borderId="2" xfId="13" applyNumberFormat="1" applyFont="1" applyFill="1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43" fontId="6" fillId="15" borderId="1" xfId="13" applyNumberFormat="1" applyFont="1" applyFill="1" applyBorder="1" applyAlignment="1">
      <alignment vertical="center"/>
    </xf>
    <xf numFmtId="43" fontId="3" fillId="15" borderId="1" xfId="13" applyNumberFormat="1" applyFont="1" applyFill="1" applyBorder="1" applyAlignment="1">
      <alignment vertical="center"/>
    </xf>
    <xf numFmtId="0" fontId="8" fillId="15" borderId="2" xfId="0" applyFont="1" applyFill="1" applyBorder="1" applyAlignment="1">
      <alignment horizontal="center" vertical="center"/>
    </xf>
    <xf numFmtId="43" fontId="8" fillId="15" borderId="2" xfId="13" applyNumberFormat="1" applyFont="1" applyFill="1" applyBorder="1" applyAlignment="1">
      <alignment horizontal="center" vertical="center"/>
    </xf>
    <xf numFmtId="43" fontId="23" fillId="15" borderId="2" xfId="13" applyNumberFormat="1" applyFont="1" applyFill="1" applyBorder="1" applyAlignment="1">
      <alignment horizontal="center" vertical="center" wrapText="1"/>
    </xf>
    <xf numFmtId="39" fontId="6" fillId="15" borderId="1" xfId="13" applyNumberFormat="1" applyFont="1" applyFill="1" applyBorder="1" applyAlignment="1">
      <alignment vertical="center"/>
    </xf>
    <xf numFmtId="0" fontId="24" fillId="15" borderId="17" xfId="0" applyFont="1" applyFill="1" applyBorder="1" applyAlignment="1">
      <alignment horizontal="center" vertical="center"/>
    </xf>
    <xf numFmtId="43" fontId="24" fillId="15" borderId="17" xfId="13" applyNumberFormat="1" applyFont="1" applyFill="1" applyBorder="1" applyAlignment="1">
      <alignment vertical="center"/>
    </xf>
    <xf numFmtId="0" fontId="56" fillId="15" borderId="1" xfId="0" applyFont="1" applyFill="1" applyBorder="1" applyAlignment="1">
      <alignment vertical="center"/>
    </xf>
    <xf numFmtId="0" fontId="6" fillId="15" borderId="0" xfId="0" applyFont="1" applyFill="1" applyBorder="1" applyAlignment="1">
      <alignment vertical="center"/>
    </xf>
    <xf numFmtId="43" fontId="3" fillId="15" borderId="0" xfId="13" applyFont="1" applyFill="1" applyBorder="1" applyAlignment="1">
      <alignment vertical="center"/>
    </xf>
    <xf numFmtId="9" fontId="3" fillId="15" borderId="0" xfId="37" applyFont="1" applyFill="1" applyBorder="1" applyAlignment="1">
      <alignment vertical="center"/>
    </xf>
    <xf numFmtId="43" fontId="6" fillId="15" borderId="0" xfId="13" applyFont="1" applyFill="1" applyBorder="1" applyAlignment="1">
      <alignment vertical="center"/>
    </xf>
    <xf numFmtId="0" fontId="7" fillId="15" borderId="0" xfId="0" applyFont="1" applyFill="1" applyBorder="1" applyAlignment="1">
      <alignment vertical="center"/>
    </xf>
    <xf numFmtId="0" fontId="6" fillId="15" borderId="0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vertical="center"/>
    </xf>
    <xf numFmtId="43" fontId="11" fillId="15" borderId="0" xfId="13" applyFont="1" applyFill="1" applyBorder="1" applyAlignment="1">
      <alignment vertical="center"/>
    </xf>
    <xf numFmtId="40" fontId="13" fillId="15" borderId="0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vertical="center"/>
    </xf>
    <xf numFmtId="0" fontId="9" fillId="15" borderId="0" xfId="0" applyFont="1" applyFill="1" applyBorder="1" applyAlignment="1">
      <alignment vertical="center"/>
    </xf>
    <xf numFmtId="40" fontId="12" fillId="15" borderId="0" xfId="13" applyNumberFormat="1" applyFont="1" applyFill="1" applyBorder="1" applyAlignment="1">
      <alignment vertical="center"/>
    </xf>
    <xf numFmtId="43" fontId="10" fillId="15" borderId="0" xfId="13" applyFont="1" applyFill="1" applyBorder="1" applyAlignment="1">
      <alignment vertical="center"/>
    </xf>
    <xf numFmtId="0" fontId="6" fillId="15" borderId="0" xfId="0" applyFont="1" applyFill="1" applyBorder="1" applyAlignment="1">
      <alignment horizontal="right" vertical="center"/>
    </xf>
    <xf numFmtId="4" fontId="6" fillId="15" borderId="0" xfId="0" applyNumberFormat="1" applyFont="1" applyFill="1" applyBorder="1" applyAlignment="1">
      <alignment vertical="center"/>
    </xf>
    <xf numFmtId="0" fontId="11" fillId="15" borderId="0" xfId="0" applyFont="1" applyFill="1" applyBorder="1" applyAlignment="1">
      <alignment horizontal="center" vertical="center"/>
    </xf>
    <xf numFmtId="43" fontId="7" fillId="15" borderId="0" xfId="13" applyFont="1" applyFill="1" applyBorder="1" applyAlignment="1">
      <alignment vertical="center"/>
    </xf>
    <xf numFmtId="4" fontId="6" fillId="15" borderId="0" xfId="13" applyNumberFormat="1" applyFont="1" applyFill="1" applyBorder="1" applyAlignment="1">
      <alignment vertical="center"/>
    </xf>
    <xf numFmtId="43" fontId="6" fillId="15" borderId="2" xfId="13" applyFont="1" applyFill="1" applyBorder="1" applyAlignment="1">
      <alignment vertical="center"/>
    </xf>
    <xf numFmtId="40" fontId="10" fillId="15" borderId="2" xfId="13" applyNumberFormat="1" applyFont="1" applyFill="1" applyBorder="1" applyAlignment="1">
      <alignment vertical="center"/>
    </xf>
    <xf numFmtId="40" fontId="3" fillId="15" borderId="2" xfId="13" applyNumberFormat="1" applyFont="1" applyFill="1" applyBorder="1" applyAlignment="1">
      <alignment vertical="center"/>
    </xf>
    <xf numFmtId="0" fontId="11" fillId="15" borderId="8" xfId="0" applyFont="1" applyFill="1" applyBorder="1" applyAlignment="1">
      <alignment vertical="center"/>
    </xf>
    <xf numFmtId="43" fontId="11" fillId="15" borderId="9" xfId="13" applyFont="1" applyFill="1" applyBorder="1" applyAlignment="1">
      <alignment vertical="center"/>
    </xf>
    <xf numFmtId="43" fontId="3" fillId="15" borderId="2" xfId="13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29" xfId="0" applyFont="1" applyFill="1" applyBorder="1" applyAlignment="1">
      <alignment vertical="center"/>
    </xf>
    <xf numFmtId="0" fontId="54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40" fontId="10" fillId="15" borderId="14" xfId="13" applyNumberFormat="1" applyFont="1" applyFill="1" applyBorder="1" applyAlignment="1">
      <alignment vertical="center"/>
    </xf>
    <xf numFmtId="4" fontId="3" fillId="15" borderId="2" xfId="13" applyNumberFormat="1" applyFont="1" applyFill="1" applyBorder="1" applyAlignment="1">
      <alignment vertical="center"/>
    </xf>
    <xf numFmtId="4" fontId="3" fillId="15" borderId="0" xfId="13" applyNumberFormat="1" applyFont="1" applyFill="1" applyBorder="1" applyAlignment="1">
      <alignment vertical="center"/>
    </xf>
    <xf numFmtId="2" fontId="6" fillId="15" borderId="0" xfId="0" applyNumberFormat="1" applyFont="1" applyFill="1" applyBorder="1" applyAlignment="1">
      <alignment vertical="center"/>
    </xf>
    <xf numFmtId="40" fontId="10" fillId="15" borderId="1" xfId="13" applyNumberFormat="1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4" fontId="3" fillId="15" borderId="0" xfId="0" applyNumberFormat="1" applyFont="1" applyFill="1" applyBorder="1" applyAlignment="1">
      <alignment vertical="center"/>
    </xf>
    <xf numFmtId="2" fontId="16" fillId="15" borderId="0" xfId="0" applyNumberFormat="1" applyFont="1" applyFill="1" applyBorder="1" applyAlignment="1">
      <alignment vertical="center"/>
    </xf>
    <xf numFmtId="0" fontId="7" fillId="15" borderId="27" xfId="0" applyFont="1" applyFill="1" applyBorder="1" applyAlignment="1">
      <alignment horizontal="center" vertical="center" wrapText="1"/>
    </xf>
    <xf numFmtId="0" fontId="7" fillId="15" borderId="28" xfId="0" applyFont="1" applyFill="1" applyBorder="1" applyAlignment="1">
      <alignment horizontal="center" vertical="center" wrapText="1"/>
    </xf>
    <xf numFmtId="43" fontId="7" fillId="15" borderId="28" xfId="13" applyFont="1" applyFill="1" applyBorder="1" applyAlignment="1">
      <alignment horizontal="center" vertical="center" wrapText="1"/>
    </xf>
    <xf numFmtId="0" fontId="8" fillId="15" borderId="28" xfId="0" applyFont="1" applyFill="1" applyBorder="1" applyAlignment="1">
      <alignment horizontal="center" vertical="center" wrapText="1"/>
    </xf>
    <xf numFmtId="4" fontId="8" fillId="15" borderId="28" xfId="0" applyNumberFormat="1" applyFont="1" applyFill="1" applyBorder="1" applyAlignment="1">
      <alignment horizontal="center" vertical="center" wrapText="1"/>
    </xf>
    <xf numFmtId="4" fontId="7" fillId="15" borderId="28" xfId="13" applyNumberFormat="1" applyFont="1" applyFill="1" applyBorder="1" applyAlignment="1">
      <alignment horizontal="center" vertical="center" wrapText="1"/>
    </xf>
    <xf numFmtId="4" fontId="12" fillId="15" borderId="0" xfId="13" applyNumberFormat="1" applyFont="1" applyFill="1" applyBorder="1" applyAlignment="1">
      <alignment vertical="center"/>
    </xf>
    <xf numFmtId="4" fontId="13" fillId="15" borderId="0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horizontal="center" vertical="center"/>
    </xf>
    <xf numFmtId="14" fontId="7" fillId="15" borderId="6" xfId="0" applyNumberFormat="1" applyFont="1" applyFill="1" applyBorder="1" applyAlignment="1">
      <alignment horizontal="center" vertical="center"/>
    </xf>
    <xf numFmtId="43" fontId="3" fillId="15" borderId="2" xfId="13" applyFont="1" applyFill="1" applyBorder="1" applyAlignment="1">
      <alignment horizontal="right" vertical="center"/>
    </xf>
    <xf numFmtId="4" fontId="28" fillId="15" borderId="1" xfId="0" applyNumberFormat="1" applyFont="1" applyFill="1" applyBorder="1" applyAlignment="1">
      <alignment vertical="center"/>
    </xf>
    <xf numFmtId="4" fontId="10" fillId="15" borderId="2" xfId="13" applyNumberFormat="1" applyFont="1" applyFill="1" applyBorder="1" applyAlignment="1">
      <alignment vertical="center"/>
    </xf>
    <xf numFmtId="4" fontId="3" fillId="15" borderId="0" xfId="37" applyNumberFormat="1" applyFont="1" applyFill="1" applyBorder="1" applyAlignment="1">
      <alignment vertical="center"/>
    </xf>
    <xf numFmtId="14" fontId="7" fillId="15" borderId="21" xfId="0" applyNumberFormat="1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 wrapText="1"/>
    </xf>
    <xf numFmtId="43" fontId="10" fillId="15" borderId="14" xfId="13" applyFont="1" applyFill="1" applyBorder="1" applyAlignment="1">
      <alignment vertical="center"/>
    </xf>
    <xf numFmtId="43" fontId="6" fillId="15" borderId="0" xfId="13" applyFont="1" applyFill="1" applyBorder="1" applyAlignment="1">
      <alignment horizontal="right"/>
    </xf>
    <xf numFmtId="43" fontId="7" fillId="15" borderId="10" xfId="13" applyFont="1" applyFill="1" applyBorder="1" applyAlignment="1">
      <alignment horizontal="right"/>
    </xf>
    <xf numFmtId="43" fontId="7" fillId="15" borderId="10" xfId="13" applyFont="1" applyFill="1" applyBorder="1" applyAlignment="1"/>
    <xf numFmtId="43" fontId="0" fillId="15" borderId="0" xfId="0" applyNumberFormat="1" applyFill="1"/>
    <xf numFmtId="40" fontId="3" fillId="15" borderId="15" xfId="13" applyNumberFormat="1" applyFont="1" applyFill="1" applyBorder="1" applyAlignment="1"/>
    <xf numFmtId="0" fontId="11" fillId="21" borderId="16" xfId="0" applyFont="1" applyFill="1" applyBorder="1" applyAlignment="1"/>
    <xf numFmtId="43" fontId="12" fillId="21" borderId="17" xfId="13" applyFont="1" applyFill="1" applyBorder="1" applyAlignment="1"/>
    <xf numFmtId="40" fontId="13" fillId="21" borderId="17" xfId="13" applyNumberFormat="1" applyFont="1" applyFill="1" applyBorder="1" applyAlignment="1"/>
    <xf numFmtId="40" fontId="8" fillId="21" borderId="17" xfId="13" applyNumberFormat="1" applyFont="1" applyFill="1" applyBorder="1" applyAlignment="1"/>
    <xf numFmtId="43" fontId="3" fillId="15" borderId="14" xfId="13" applyFont="1" applyFill="1" applyBorder="1" applyAlignment="1">
      <alignment horizontal="right" vertical="center"/>
    </xf>
    <xf numFmtId="40" fontId="10" fillId="15" borderId="15" xfId="13" applyNumberFormat="1" applyFont="1" applyFill="1" applyBorder="1" applyAlignment="1">
      <alignment vertical="center"/>
    </xf>
    <xf numFmtId="4" fontId="3" fillId="15" borderId="14" xfId="13" applyNumberFormat="1" applyFont="1" applyFill="1" applyBorder="1" applyAlignment="1">
      <alignment vertical="center"/>
    </xf>
    <xf numFmtId="4" fontId="10" fillId="15" borderId="14" xfId="13" applyNumberFormat="1" applyFont="1" applyFill="1" applyBorder="1" applyAlignment="1">
      <alignment vertical="center"/>
    </xf>
    <xf numFmtId="40" fontId="8" fillId="15" borderId="17" xfId="13" applyNumberFormat="1" applyFont="1" applyFill="1" applyBorder="1" applyAlignment="1">
      <alignment vertical="center"/>
    </xf>
    <xf numFmtId="43" fontId="13" fillId="15" borderId="31" xfId="13" applyFont="1" applyFill="1" applyBorder="1" applyAlignment="1">
      <alignment vertical="center"/>
    </xf>
    <xf numFmtId="4" fontId="10" fillId="0" borderId="2" xfId="0" applyNumberFormat="1" applyFont="1" applyFill="1" applyBorder="1" applyAlignment="1">
      <alignment vertical="center"/>
    </xf>
    <xf numFmtId="4" fontId="10" fillId="0" borderId="1" xfId="0" applyNumberFormat="1" applyFont="1" applyFill="1" applyBorder="1" applyAlignment="1">
      <alignment vertical="center"/>
    </xf>
    <xf numFmtId="43" fontId="3" fillId="15" borderId="12" xfId="13" applyFont="1" applyFill="1" applyBorder="1" applyAlignment="1">
      <alignment vertical="center"/>
    </xf>
    <xf numFmtId="43" fontId="10" fillId="15" borderId="12" xfId="13" applyFont="1" applyFill="1" applyBorder="1" applyAlignment="1">
      <alignment vertical="center"/>
    </xf>
    <xf numFmtId="43" fontId="12" fillId="15" borderId="2" xfId="13" applyFont="1" applyFill="1" applyBorder="1" applyAlignment="1">
      <alignment vertical="center"/>
    </xf>
    <xf numFmtId="0" fontId="12" fillId="15" borderId="6" xfId="0" applyFont="1" applyFill="1" applyBorder="1" applyAlignment="1">
      <alignment horizontal="right" vertical="center"/>
    </xf>
    <xf numFmtId="43" fontId="13" fillId="15" borderId="2" xfId="13" applyFont="1" applyFill="1" applyBorder="1" applyAlignment="1">
      <alignment vertical="center"/>
    </xf>
    <xf numFmtId="43" fontId="8" fillId="15" borderId="13" xfId="13" applyFont="1" applyFill="1" applyBorder="1" applyAlignment="1">
      <alignment horizontal="center" vertical="center" wrapText="1"/>
    </xf>
    <xf numFmtId="43" fontId="12" fillId="15" borderId="1" xfId="13" applyFont="1" applyFill="1" applyBorder="1" applyAlignment="1">
      <alignment vertical="center"/>
    </xf>
    <xf numFmtId="43" fontId="13" fillId="15" borderId="1" xfId="13" applyFont="1" applyFill="1" applyBorder="1" applyAlignment="1">
      <alignment vertical="center"/>
    </xf>
    <xf numFmtId="0" fontId="3" fillId="15" borderId="6" xfId="0" applyFont="1" applyFill="1" applyBorder="1" applyAlignment="1">
      <alignment vertical="center"/>
    </xf>
    <xf numFmtId="43" fontId="22" fillId="15" borderId="2" xfId="13" applyFont="1" applyFill="1" applyBorder="1" applyAlignment="1">
      <alignment vertical="center"/>
    </xf>
    <xf numFmtId="0" fontId="3" fillId="15" borderId="7" xfId="0" applyFont="1" applyFill="1" applyBorder="1" applyAlignment="1">
      <alignment vertical="center"/>
    </xf>
    <xf numFmtId="0" fontId="24" fillId="15" borderId="8" xfId="0" applyFont="1" applyFill="1" applyBorder="1" applyAlignment="1">
      <alignment horizontal="center" vertical="center"/>
    </xf>
    <xf numFmtId="43" fontId="24" fillId="15" borderId="9" xfId="13" applyFont="1" applyFill="1" applyBorder="1" applyAlignment="1">
      <alignment vertical="center"/>
    </xf>
    <xf numFmtId="0" fontId="59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right" vertical="center"/>
    </xf>
    <xf numFmtId="40" fontId="10" fillId="15" borderId="22" xfId="13" applyNumberFormat="1" applyFont="1" applyFill="1" applyBorder="1" applyAlignment="1">
      <alignment vertical="center"/>
    </xf>
    <xf numFmtId="43" fontId="11" fillId="15" borderId="0" xfId="0" applyNumberFormat="1" applyFont="1" applyFill="1"/>
    <xf numFmtId="0" fontId="11" fillId="15" borderId="0" xfId="0" applyFont="1" applyFill="1"/>
    <xf numFmtId="43" fontId="6" fillId="15" borderId="22" xfId="13" applyFont="1" applyFill="1" applyBorder="1" applyAlignment="1">
      <alignment vertical="center"/>
    </xf>
    <xf numFmtId="43" fontId="6" fillId="15" borderId="14" xfId="13" applyFont="1" applyFill="1" applyBorder="1" applyAlignment="1">
      <alignment horizontal="center" vertical="center"/>
    </xf>
    <xf numFmtId="40" fontId="6" fillId="15" borderId="1" xfId="13" applyNumberFormat="1" applyFont="1" applyFill="1" applyBorder="1" applyAlignment="1">
      <alignment vertical="center"/>
    </xf>
    <xf numFmtId="40" fontId="11" fillId="15" borderId="24" xfId="13" applyNumberFormat="1" applyFont="1" applyFill="1" applyBorder="1" applyAlignment="1">
      <alignment vertical="center"/>
    </xf>
    <xf numFmtId="40" fontId="6" fillId="15" borderId="9" xfId="13" applyNumberFormat="1" applyFont="1" applyFill="1" applyBorder="1" applyAlignment="1">
      <alignment vertical="center"/>
    </xf>
    <xf numFmtId="40" fontId="13" fillId="15" borderId="24" xfId="13" applyNumberFormat="1" applyFont="1" applyFill="1" applyBorder="1" applyAlignment="1">
      <alignment vertical="center"/>
    </xf>
    <xf numFmtId="40" fontId="6" fillId="15" borderId="10" xfId="13" applyNumberFormat="1" applyFont="1" applyFill="1" applyBorder="1" applyAlignment="1">
      <alignment vertical="center"/>
    </xf>
    <xf numFmtId="40" fontId="10" fillId="15" borderId="18" xfId="13" applyNumberFormat="1" applyFont="1" applyFill="1" applyBorder="1" applyAlignment="1">
      <alignment vertical="center"/>
    </xf>
    <xf numFmtId="43" fontId="6" fillId="15" borderId="14" xfId="13" applyFont="1" applyFill="1" applyBorder="1" applyAlignment="1">
      <alignment vertical="center" wrapText="1"/>
    </xf>
    <xf numFmtId="40" fontId="6" fillId="15" borderId="14" xfId="13" applyNumberFormat="1" applyFont="1" applyFill="1" applyBorder="1" applyAlignment="1">
      <alignment vertical="center"/>
    </xf>
    <xf numFmtId="40" fontId="6" fillId="15" borderId="19" xfId="13" applyNumberFormat="1" applyFont="1" applyFill="1" applyBorder="1" applyAlignment="1">
      <alignment vertical="center"/>
    </xf>
    <xf numFmtId="0" fontId="7" fillId="15" borderId="32" xfId="0" applyFont="1" applyFill="1" applyBorder="1" applyAlignment="1">
      <alignment horizontal="center" vertical="center" wrapText="1"/>
    </xf>
    <xf numFmtId="43" fontId="7" fillId="15" borderId="23" xfId="13" applyFont="1" applyFill="1" applyBorder="1" applyAlignment="1">
      <alignment horizontal="center" vertical="center" wrapText="1"/>
    </xf>
    <xf numFmtId="40" fontId="10" fillId="15" borderId="24" xfId="13" applyNumberFormat="1" applyFont="1" applyFill="1" applyBorder="1" applyAlignment="1">
      <alignment vertical="center"/>
    </xf>
    <xf numFmtId="43" fontId="6" fillId="15" borderId="9" xfId="13" applyFont="1" applyFill="1" applyBorder="1" applyAlignment="1">
      <alignment vertical="center"/>
    </xf>
    <xf numFmtId="40" fontId="24" fillId="15" borderId="24" xfId="13" applyNumberFormat="1" applyFont="1" applyFill="1" applyBorder="1" applyAlignment="1">
      <alignment vertical="center"/>
    </xf>
    <xf numFmtId="40" fontId="24" fillId="15" borderId="9" xfId="13" applyNumberFormat="1" applyFont="1" applyFill="1" applyBorder="1" applyAlignment="1">
      <alignment vertical="center"/>
    </xf>
    <xf numFmtId="43" fontId="24" fillId="15" borderId="0" xfId="0" applyNumberFormat="1" applyFont="1" applyFill="1"/>
    <xf numFmtId="0" fontId="24" fillId="15" borderId="0" xfId="0" applyFont="1" applyFill="1"/>
    <xf numFmtId="40" fontId="58" fillId="15" borderId="9" xfId="13" applyNumberFormat="1" applyFont="1" applyFill="1" applyBorder="1" applyAlignment="1">
      <alignment vertical="center"/>
    </xf>
    <xf numFmtId="0" fontId="24" fillId="15" borderId="0" xfId="0" applyFont="1" applyFill="1" applyBorder="1" applyAlignment="1">
      <alignment horizontal="center" vertical="center"/>
    </xf>
    <xf numFmtId="40" fontId="24" fillId="15" borderId="0" xfId="13" applyNumberFormat="1" applyFont="1" applyFill="1" applyBorder="1" applyAlignment="1">
      <alignment vertical="center"/>
    </xf>
    <xf numFmtId="40" fontId="58" fillId="15" borderId="0" xfId="13" applyNumberFormat="1" applyFont="1" applyFill="1" applyBorder="1" applyAlignment="1">
      <alignment vertical="center"/>
    </xf>
    <xf numFmtId="4" fontId="8" fillId="15" borderId="17" xfId="13" applyNumberFormat="1" applyFont="1" applyFill="1" applyBorder="1" applyAlignment="1">
      <alignment vertical="center"/>
    </xf>
    <xf numFmtId="4" fontId="15" fillId="15" borderId="17" xfId="13" applyNumberFormat="1" applyFont="1" applyFill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43" fontId="7" fillId="15" borderId="17" xfId="13" applyFont="1" applyFill="1" applyBorder="1" applyAlignment="1">
      <alignment vertical="center"/>
    </xf>
    <xf numFmtId="0" fontId="7" fillId="15" borderId="17" xfId="0" applyFont="1" applyFill="1" applyBorder="1" applyAlignment="1">
      <alignment horizontal="center" vertical="center"/>
    </xf>
    <xf numFmtId="40" fontId="15" fillId="15" borderId="17" xfId="13" applyNumberFormat="1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0" fontId="6" fillId="15" borderId="7" xfId="0" applyFont="1" applyFill="1" applyBorder="1" applyAlignment="1">
      <alignment vertical="center"/>
    </xf>
    <xf numFmtId="4" fontId="28" fillId="15" borderId="15" xfId="0" applyNumberFormat="1" applyFont="1" applyFill="1" applyBorder="1" applyAlignment="1">
      <alignment vertical="center"/>
    </xf>
    <xf numFmtId="0" fontId="20" fillId="15" borderId="0" xfId="0" applyFont="1" applyFill="1" applyBorder="1" applyAlignment="1">
      <alignment horizontal="right" vertical="center"/>
    </xf>
    <xf numFmtId="4" fontId="8" fillId="15" borderId="10" xfId="0" applyNumberFormat="1" applyFont="1" applyFill="1" applyBorder="1" applyAlignment="1">
      <alignment vertical="center"/>
    </xf>
    <xf numFmtId="4" fontId="3" fillId="15" borderId="0" xfId="13" applyNumberFormat="1" applyFont="1" applyFill="1" applyBorder="1" applyAlignment="1">
      <alignment horizontal="right" vertical="center"/>
    </xf>
    <xf numFmtId="0" fontId="8" fillId="15" borderId="33" xfId="0" applyFont="1" applyFill="1" applyBorder="1" applyAlignment="1">
      <alignment horizontal="center" vertical="center" wrapText="1"/>
    </xf>
    <xf numFmtId="43" fontId="8" fillId="15" borderId="19" xfId="13" applyFont="1" applyFill="1" applyBorder="1" applyAlignment="1">
      <alignment horizontal="center" vertical="center" wrapText="1"/>
    </xf>
    <xf numFmtId="0" fontId="12" fillId="15" borderId="30" xfId="0" applyFont="1" applyFill="1" applyBorder="1" applyAlignment="1">
      <alignment horizontal="right" vertical="center"/>
    </xf>
    <xf numFmtId="43" fontId="12" fillId="15" borderId="31" xfId="13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43" fontId="10" fillId="15" borderId="1" xfId="13" applyFont="1" applyFill="1" applyBorder="1" applyAlignment="1">
      <alignment vertical="center"/>
    </xf>
    <xf numFmtId="0" fontId="8" fillId="15" borderId="34" xfId="0" applyFont="1" applyFill="1" applyBorder="1" applyAlignment="1">
      <alignment horizontal="center" vertical="center" wrapText="1"/>
    </xf>
    <xf numFmtId="43" fontId="8" fillId="15" borderId="14" xfId="13" applyFont="1" applyFill="1" applyBorder="1" applyAlignment="1">
      <alignment horizontal="center" vertical="center" wrapText="1"/>
    </xf>
    <xf numFmtId="43" fontId="8" fillId="15" borderId="35" xfId="13" applyFont="1" applyFill="1" applyBorder="1" applyAlignment="1">
      <alignment horizontal="center" vertical="center" wrapText="1"/>
    </xf>
    <xf numFmtId="0" fontId="8" fillId="15" borderId="31" xfId="0" applyFont="1" applyFill="1" applyBorder="1" applyAlignment="1">
      <alignment horizontal="right" vertical="center"/>
    </xf>
    <xf numFmtId="0" fontId="7" fillId="15" borderId="4" xfId="0" applyFont="1" applyFill="1" applyBorder="1" applyAlignment="1">
      <alignment horizontal="center" wrapText="1"/>
    </xf>
    <xf numFmtId="0" fontId="7" fillId="15" borderId="28" xfId="0" applyFont="1" applyFill="1" applyBorder="1" applyAlignment="1">
      <alignment horizontal="center" wrapText="1"/>
    </xf>
    <xf numFmtId="43" fontId="7" fillId="15" borderId="5" xfId="13" applyFont="1" applyFill="1" applyBorder="1" applyAlignment="1">
      <alignment horizontal="center" wrapText="1"/>
    </xf>
    <xf numFmtId="0" fontId="7" fillId="15" borderId="5" xfId="0" applyFont="1" applyFill="1" applyBorder="1" applyAlignment="1">
      <alignment horizontal="center" wrapText="1"/>
    </xf>
    <xf numFmtId="40" fontId="3" fillId="15" borderId="1" xfId="13" applyNumberFormat="1" applyFont="1" applyFill="1" applyBorder="1" applyAlignment="1"/>
    <xf numFmtId="0" fontId="11" fillId="15" borderId="16" xfId="0" applyFont="1" applyFill="1" applyBorder="1" applyAlignment="1"/>
    <xf numFmtId="43" fontId="12" fillId="15" borderId="17" xfId="13" applyFont="1" applyFill="1" applyBorder="1" applyAlignment="1"/>
    <xf numFmtId="43" fontId="11" fillId="15" borderId="17" xfId="13" applyFont="1" applyFill="1" applyBorder="1" applyAlignment="1"/>
    <xf numFmtId="40" fontId="13" fillId="15" borderId="17" xfId="13" applyNumberFormat="1" applyFont="1" applyFill="1" applyBorder="1" applyAlignment="1"/>
    <xf numFmtId="40" fontId="12" fillId="15" borderId="17" xfId="13" applyNumberFormat="1" applyFont="1" applyFill="1" applyBorder="1" applyAlignment="1"/>
    <xf numFmtId="40" fontId="8" fillId="15" borderId="9" xfId="13" applyNumberFormat="1" applyFont="1" applyFill="1" applyBorder="1" applyAlignment="1"/>
    <xf numFmtId="40" fontId="0" fillId="15" borderId="0" xfId="0" applyNumberFormat="1" applyFill="1"/>
    <xf numFmtId="0" fontId="8" fillId="15" borderId="36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right" vertical="center"/>
    </xf>
    <xf numFmtId="0" fontId="60" fillId="15" borderId="0" xfId="0" applyFont="1" applyFill="1" applyBorder="1" applyAlignment="1">
      <alignment vertical="center"/>
    </xf>
    <xf numFmtId="43" fontId="39" fillId="15" borderId="0" xfId="13" applyFont="1" applyFill="1" applyBorder="1" applyAlignment="1">
      <alignment vertical="center"/>
    </xf>
    <xf numFmtId="9" fontId="39" fillId="15" borderId="0" xfId="37" applyFont="1" applyFill="1" applyBorder="1" applyAlignment="1">
      <alignment vertical="center"/>
    </xf>
    <xf numFmtId="4" fontId="61" fillId="15" borderId="0" xfId="13" applyNumberFormat="1" applyFont="1" applyFill="1" applyBorder="1" applyAlignment="1">
      <alignment vertical="center"/>
    </xf>
    <xf numFmtId="0" fontId="61" fillId="15" borderId="0" xfId="0" applyFont="1" applyFill="1" applyBorder="1" applyAlignment="1">
      <alignment horizontal="right" vertical="center"/>
    </xf>
    <xf numFmtId="4" fontId="40" fillId="15" borderId="0" xfId="13" applyNumberFormat="1" applyFont="1" applyFill="1" applyBorder="1" applyAlignment="1">
      <alignment vertical="center"/>
    </xf>
    <xf numFmtId="4" fontId="40" fillId="15" borderId="0" xfId="13" applyNumberFormat="1" applyFont="1" applyFill="1" applyBorder="1" applyAlignment="1">
      <alignment horizontal="right" vertical="center"/>
    </xf>
    <xf numFmtId="43" fontId="58" fillId="15" borderId="9" xfId="13" applyFont="1" applyFill="1" applyBorder="1" applyAlignment="1">
      <alignment vertical="center"/>
    </xf>
    <xf numFmtId="0" fontId="7" fillId="15" borderId="19" xfId="0" applyFont="1" applyFill="1" applyBorder="1" applyAlignment="1">
      <alignment horizontal="center" vertical="center" wrapText="1"/>
    </xf>
    <xf numFmtId="43" fontId="7" fillId="15" borderId="14" xfId="13" applyFont="1" applyFill="1" applyBorder="1" applyAlignment="1">
      <alignment horizontal="center" vertical="center" wrapText="1"/>
    </xf>
    <xf numFmtId="43" fontId="6" fillId="15" borderId="1" xfId="13" applyFont="1" applyFill="1" applyBorder="1" applyAlignment="1">
      <alignment horizontal="center" vertical="center"/>
    </xf>
    <xf numFmtId="43" fontId="35" fillId="15" borderId="0" xfId="13" applyFont="1" applyFill="1" applyBorder="1" applyAlignment="1">
      <alignment horizontal="center" vertical="center"/>
    </xf>
    <xf numFmtId="40" fontId="36" fillId="19" borderId="19" xfId="13" applyNumberFormat="1" applyFont="1" applyFill="1" applyBorder="1" applyAlignment="1">
      <alignment horizontal="right" vertical="center"/>
    </xf>
    <xf numFmtId="43" fontId="6" fillId="15" borderId="10" xfId="13" applyFont="1" applyFill="1" applyBorder="1" applyAlignment="1">
      <alignment vertical="center"/>
    </xf>
    <xf numFmtId="0" fontId="20" fillId="15" borderId="0" xfId="0" applyFont="1" applyFill="1" applyBorder="1" applyAlignment="1">
      <alignment horizontal="left" vertical="center"/>
    </xf>
    <xf numFmtId="0" fontId="7" fillId="15" borderId="37" xfId="0" applyFont="1" applyFill="1" applyBorder="1" applyAlignment="1">
      <alignment horizontal="left" vertical="center"/>
    </xf>
    <xf numFmtId="43" fontId="6" fillId="15" borderId="15" xfId="13" applyFont="1" applyFill="1" applyBorder="1" applyAlignment="1">
      <alignment vertical="center"/>
    </xf>
    <xf numFmtId="40" fontId="11" fillId="15" borderId="17" xfId="13" applyNumberFormat="1" applyFont="1" applyFill="1" applyBorder="1" applyAlignment="1">
      <alignment vertical="center"/>
    </xf>
    <xf numFmtId="0" fontId="13" fillId="15" borderId="16" xfId="0" applyFont="1" applyFill="1" applyBorder="1" applyAlignment="1">
      <alignment horizontal="right" vertical="center"/>
    </xf>
    <xf numFmtId="43" fontId="12" fillId="15" borderId="17" xfId="13" applyFont="1" applyFill="1" applyBorder="1" applyAlignment="1">
      <alignment vertical="center"/>
    </xf>
    <xf numFmtId="4" fontId="12" fillId="15" borderId="17" xfId="13" applyNumberFormat="1" applyFont="1" applyFill="1" applyBorder="1" applyAlignment="1">
      <alignment vertical="center"/>
    </xf>
    <xf numFmtId="43" fontId="13" fillId="15" borderId="17" xfId="13" applyFont="1" applyFill="1" applyBorder="1" applyAlignment="1">
      <alignment vertical="center"/>
    </xf>
    <xf numFmtId="0" fontId="7" fillId="15" borderId="15" xfId="0" applyFont="1" applyFill="1" applyBorder="1" applyAlignment="1">
      <alignment horizontal="center" vertical="center"/>
    </xf>
    <xf numFmtId="2" fontId="3" fillId="15" borderId="14" xfId="13" applyNumberFormat="1" applyFont="1" applyFill="1" applyBorder="1" applyAlignment="1">
      <alignment vertical="center"/>
    </xf>
    <xf numFmtId="43" fontId="10" fillId="15" borderId="15" xfId="13" applyNumberFormat="1" applyFont="1" applyFill="1" applyBorder="1" applyAlignment="1">
      <alignment vertical="center"/>
    </xf>
    <xf numFmtId="0" fontId="11" fillId="15" borderId="16" xfId="0" applyFont="1" applyFill="1" applyBorder="1" applyAlignment="1">
      <alignment horizontal="center" vertical="center"/>
    </xf>
    <xf numFmtId="2" fontId="12" fillId="15" borderId="17" xfId="13" applyNumberFormat="1" applyFont="1" applyFill="1" applyBorder="1" applyAlignment="1">
      <alignment vertical="center"/>
    </xf>
    <xf numFmtId="43" fontId="13" fillId="15" borderId="17" xfId="13" applyNumberFormat="1" applyFont="1" applyFill="1" applyBorder="1" applyAlignment="1">
      <alignment vertical="center"/>
    </xf>
    <xf numFmtId="0" fontId="24" fillId="22" borderId="30" xfId="0" applyFont="1" applyFill="1" applyBorder="1" applyAlignment="1">
      <alignment horizontal="center" vertical="center"/>
    </xf>
    <xf numFmtId="43" fontId="24" fillId="22" borderId="31" xfId="13" applyFont="1" applyFill="1" applyBorder="1" applyAlignment="1">
      <alignment vertical="center"/>
    </xf>
    <xf numFmtId="43" fontId="10" fillId="15" borderId="1" xfId="13" applyNumberFormat="1" applyFont="1" applyFill="1" applyBorder="1" applyAlignment="1">
      <alignment vertical="center"/>
    </xf>
    <xf numFmtId="2" fontId="12" fillId="15" borderId="9" xfId="13" applyNumberFormat="1" applyFont="1" applyFill="1" applyBorder="1" applyAlignment="1">
      <alignment vertical="center"/>
    </xf>
    <xf numFmtId="43" fontId="13" fillId="15" borderId="9" xfId="13" applyNumberFormat="1" applyFont="1" applyFill="1" applyBorder="1" applyAlignment="1">
      <alignment vertical="center"/>
    </xf>
    <xf numFmtId="0" fontId="11" fillId="15" borderId="0" xfId="0" applyFont="1" applyFill="1" applyBorder="1" applyAlignment="1">
      <alignment horizontal="right" vertical="center"/>
    </xf>
    <xf numFmtId="40" fontId="21" fillId="15" borderId="0" xfId="13" applyNumberFormat="1" applyFont="1" applyFill="1" applyBorder="1" applyAlignment="1">
      <alignment vertical="center"/>
    </xf>
    <xf numFmtId="4" fontId="10" fillId="0" borderId="1" xfId="0" applyNumberFormat="1" applyFont="1" applyFill="1" applyBorder="1"/>
    <xf numFmtId="43" fontId="10" fillId="15" borderId="2" xfId="13" applyFont="1" applyFill="1" applyBorder="1" applyAlignment="1"/>
    <xf numFmtId="0" fontId="7" fillId="15" borderId="7" xfId="0" applyFont="1" applyFill="1" applyBorder="1" applyAlignment="1"/>
    <xf numFmtId="43" fontId="6" fillId="15" borderId="1" xfId="13" applyFont="1" applyFill="1" applyBorder="1" applyAlignment="1"/>
    <xf numFmtId="40" fontId="10" fillId="15" borderId="1" xfId="13" applyNumberFormat="1" applyFont="1" applyFill="1" applyBorder="1" applyAlignment="1"/>
    <xf numFmtId="0" fontId="13" fillId="15" borderId="8" xfId="0" applyFont="1" applyFill="1" applyBorder="1" applyAlignment="1"/>
    <xf numFmtId="43" fontId="12" fillId="15" borderId="9" xfId="13" applyFont="1" applyFill="1" applyBorder="1" applyAlignment="1"/>
    <xf numFmtId="40" fontId="13" fillId="15" borderId="9" xfId="13" applyNumberFormat="1" applyFont="1" applyFill="1" applyBorder="1" applyAlignment="1"/>
    <xf numFmtId="43" fontId="11" fillId="15" borderId="9" xfId="13" applyFont="1" applyFill="1" applyBorder="1" applyAlignment="1"/>
    <xf numFmtId="40" fontId="12" fillId="15" borderId="9" xfId="13" applyNumberFormat="1" applyFont="1" applyFill="1" applyBorder="1" applyAlignment="1"/>
    <xf numFmtId="43" fontId="13" fillId="15" borderId="9" xfId="13" applyFont="1" applyFill="1" applyBorder="1" applyAlignment="1"/>
    <xf numFmtId="40" fontId="15" fillId="15" borderId="9" xfId="13" applyNumberFormat="1" applyFont="1" applyFill="1" applyBorder="1" applyAlignment="1"/>
    <xf numFmtId="43" fontId="35" fillId="15" borderId="0" xfId="13" applyFont="1" applyFill="1" applyBorder="1" applyAlignment="1">
      <alignment horizontal="center" vertical="center"/>
    </xf>
    <xf numFmtId="0" fontId="38" fillId="15" borderId="0" xfId="0" applyFont="1" applyFill="1" applyBorder="1" applyAlignment="1"/>
    <xf numFmtId="43" fontId="35" fillId="0" borderId="14" xfId="13" applyNumberFormat="1" applyFont="1" applyFill="1" applyBorder="1" applyAlignment="1">
      <alignment horizontal="center" vertical="center"/>
    </xf>
    <xf numFmtId="0" fontId="43" fillId="15" borderId="0" xfId="0" applyFont="1" applyFill="1" applyBorder="1" applyAlignment="1">
      <alignment vertical="center"/>
    </xf>
    <xf numFmtId="0" fontId="44" fillId="15" borderId="0" xfId="0" applyFont="1" applyFill="1" applyBorder="1" applyAlignment="1">
      <alignment horizontal="center" vertical="center" wrapText="1"/>
    </xf>
    <xf numFmtId="0" fontId="38" fillId="15" borderId="0" xfId="0" applyFont="1" applyFill="1" applyBorder="1" applyAlignment="1">
      <alignment horizontal="center" vertical="center" wrapText="1"/>
    </xf>
    <xf numFmtId="43" fontId="38" fillId="15" borderId="0" xfId="13" applyFont="1" applyFill="1" applyBorder="1" applyAlignment="1">
      <alignment horizontal="center" vertical="center" wrapText="1"/>
    </xf>
    <xf numFmtId="40" fontId="46" fillId="15" borderId="0" xfId="13" applyNumberFormat="1" applyFont="1" applyFill="1" applyBorder="1" applyAlignment="1">
      <alignment vertical="center"/>
    </xf>
    <xf numFmtId="40" fontId="35" fillId="15" borderId="0" xfId="13" applyNumberFormat="1" applyFont="1" applyFill="1" applyBorder="1" applyAlignment="1">
      <alignment vertical="center"/>
    </xf>
    <xf numFmtId="2" fontId="36" fillId="15" borderId="0" xfId="13" applyNumberFormat="1" applyFont="1" applyFill="1" applyBorder="1" applyAlignment="1">
      <alignment vertical="center"/>
    </xf>
    <xf numFmtId="40" fontId="43" fillId="15" borderId="0" xfId="13" applyNumberFormat="1" applyFont="1" applyFill="1" applyBorder="1" applyAlignment="1">
      <alignment vertical="center"/>
    </xf>
    <xf numFmtId="0" fontId="63" fillId="15" borderId="0" xfId="0" applyFont="1" applyFill="1" applyBorder="1" applyAlignment="1">
      <alignment vertical="center"/>
    </xf>
    <xf numFmtId="43" fontId="64" fillId="15" borderId="0" xfId="13" applyFont="1" applyFill="1" applyBorder="1" applyAlignment="1">
      <alignment vertical="center"/>
    </xf>
    <xf numFmtId="2" fontId="65" fillId="15" borderId="0" xfId="13" applyNumberFormat="1" applyFont="1" applyFill="1" applyBorder="1" applyAlignment="1">
      <alignment vertical="center"/>
    </xf>
    <xf numFmtId="40" fontId="66" fillId="15" borderId="0" xfId="13" applyNumberFormat="1" applyFont="1" applyFill="1" applyBorder="1" applyAlignment="1">
      <alignment vertical="center"/>
    </xf>
    <xf numFmtId="0" fontId="67" fillId="15" borderId="0" xfId="0" applyFont="1" applyFill="1" applyBorder="1" applyAlignment="1">
      <alignment vertical="center"/>
    </xf>
    <xf numFmtId="0" fontId="68" fillId="15" borderId="0" xfId="0" applyFont="1" applyFill="1" applyBorder="1" applyAlignment="1">
      <alignment horizontal="right" vertical="center"/>
    </xf>
    <xf numFmtId="40" fontId="10" fillId="15" borderId="9" xfId="13" applyNumberFormat="1" applyFont="1" applyFill="1" applyBorder="1" applyAlignment="1">
      <alignment vertical="center"/>
    </xf>
    <xf numFmtId="43" fontId="6" fillId="15" borderId="2" xfId="13" applyFont="1" applyFill="1" applyBorder="1" applyAlignment="1">
      <alignment horizontal="center" vertical="center"/>
    </xf>
    <xf numFmtId="43" fontId="7" fillId="15" borderId="38" xfId="13" applyFont="1" applyFill="1" applyBorder="1" applyAlignment="1">
      <alignment horizontal="center" vertical="center" wrapText="1"/>
    </xf>
    <xf numFmtId="40" fontId="24" fillId="15" borderId="39" xfId="13" applyNumberFormat="1" applyFont="1" applyFill="1" applyBorder="1" applyAlignment="1">
      <alignment vertical="center"/>
    </xf>
    <xf numFmtId="43" fontId="6" fillId="15" borderId="9" xfId="13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40" fontId="8" fillId="15" borderId="9" xfId="13" applyNumberFormat="1" applyFont="1" applyFill="1" applyBorder="1" applyAlignment="1">
      <alignment vertical="center"/>
    </xf>
    <xf numFmtId="0" fontId="70" fillId="15" borderId="0" xfId="0" applyFont="1" applyFill="1" applyBorder="1" applyAlignment="1">
      <alignment vertical="center"/>
    </xf>
    <xf numFmtId="43" fontId="8" fillId="15" borderId="0" xfId="13" applyFont="1" applyFill="1" applyBorder="1" applyAlignment="1">
      <alignment horizontal="right" vertical="center"/>
    </xf>
    <xf numFmtId="43" fontId="35" fillId="15" borderId="0" xfId="13" applyFont="1" applyFill="1" applyBorder="1" applyAlignment="1">
      <alignment horizontal="center" vertical="center"/>
    </xf>
    <xf numFmtId="0" fontId="13" fillId="15" borderId="8" xfId="0" applyFont="1" applyFill="1" applyBorder="1" applyAlignment="1">
      <alignment horizontal="right" vertical="center"/>
    </xf>
    <xf numFmtId="4" fontId="12" fillId="15" borderId="9" xfId="13" applyNumberFormat="1" applyFont="1" applyFill="1" applyBorder="1" applyAlignment="1">
      <alignment vertical="center"/>
    </xf>
    <xf numFmtId="0" fontId="73" fillId="15" borderId="4" xfId="0" applyFont="1" applyFill="1" applyBorder="1" applyAlignment="1">
      <alignment horizontal="center" vertical="center" wrapText="1"/>
    </xf>
    <xf numFmtId="43" fontId="73" fillId="15" borderId="5" xfId="13" applyFont="1" applyFill="1" applyBorder="1" applyAlignment="1">
      <alignment horizontal="center" vertical="center" wrapText="1"/>
    </xf>
    <xf numFmtId="0" fontId="73" fillId="15" borderId="6" xfId="0" applyFont="1" applyFill="1" applyBorder="1" applyAlignment="1"/>
    <xf numFmtId="43" fontId="75" fillId="15" borderId="2" xfId="13" applyFont="1" applyFill="1" applyBorder="1" applyAlignment="1"/>
    <xf numFmtId="43" fontId="76" fillId="15" borderId="2" xfId="13" applyFont="1" applyFill="1" applyBorder="1" applyAlignment="1"/>
    <xf numFmtId="40" fontId="77" fillId="15" borderId="2" xfId="13" applyNumberFormat="1" applyFont="1" applyFill="1" applyBorder="1" applyAlignment="1"/>
    <xf numFmtId="40" fontId="75" fillId="15" borderId="2" xfId="13" applyNumberFormat="1" applyFont="1" applyFill="1" applyBorder="1" applyAlignment="1"/>
    <xf numFmtId="43" fontId="77" fillId="15" borderId="2" xfId="13" applyFont="1" applyFill="1" applyBorder="1" applyAlignment="1"/>
    <xf numFmtId="0" fontId="73" fillId="15" borderId="7" xfId="0" applyFont="1" applyFill="1" applyBorder="1" applyAlignment="1"/>
    <xf numFmtId="43" fontId="76" fillId="15" borderId="1" xfId="13" applyFont="1" applyFill="1" applyBorder="1" applyAlignment="1"/>
    <xf numFmtId="40" fontId="77" fillId="15" borderId="1" xfId="13" applyNumberFormat="1" applyFont="1" applyFill="1" applyBorder="1" applyAlignment="1"/>
    <xf numFmtId="0" fontId="78" fillId="15" borderId="8" xfId="0" applyFont="1" applyFill="1" applyBorder="1" applyAlignment="1"/>
    <xf numFmtId="43" fontId="79" fillId="15" borderId="9" xfId="13" applyFont="1" applyFill="1" applyBorder="1" applyAlignment="1"/>
    <xf numFmtId="40" fontId="78" fillId="15" borderId="9" xfId="13" applyNumberFormat="1" applyFont="1" applyFill="1" applyBorder="1" applyAlignment="1"/>
    <xf numFmtId="43" fontId="80" fillId="15" borderId="9" xfId="13" applyFont="1" applyFill="1" applyBorder="1" applyAlignment="1"/>
    <xf numFmtId="40" fontId="79" fillId="15" borderId="9" xfId="13" applyNumberFormat="1" applyFont="1" applyFill="1" applyBorder="1" applyAlignment="1"/>
    <xf numFmtId="43" fontId="78" fillId="15" borderId="9" xfId="13" applyFont="1" applyFill="1" applyBorder="1" applyAlignment="1"/>
    <xf numFmtId="40" fontId="81" fillId="15" borderId="9" xfId="13" applyNumberFormat="1" applyFont="1" applyFill="1" applyBorder="1" applyAlignment="1"/>
    <xf numFmtId="0" fontId="35" fillId="0" borderId="2" xfId="13" applyNumberFormat="1" applyFont="1" applyFill="1" applyBorder="1" applyAlignment="1">
      <alignment vertical="center"/>
    </xf>
    <xf numFmtId="43" fontId="38" fillId="15" borderId="40" xfId="13" applyFont="1" applyFill="1" applyBorder="1" applyAlignment="1">
      <alignment vertical="center"/>
    </xf>
    <xf numFmtId="4" fontId="71" fillId="0" borderId="2" xfId="0" applyNumberFormat="1" applyFont="1" applyFill="1" applyBorder="1"/>
    <xf numFmtId="40" fontId="3" fillId="15" borderId="0" xfId="0" applyNumberFormat="1" applyFont="1" applyFill="1" applyBorder="1" applyAlignment="1">
      <alignment vertical="center"/>
    </xf>
    <xf numFmtId="43" fontId="35" fillId="15" borderId="0" xfId="13" applyFont="1" applyFill="1" applyBorder="1" applyAlignment="1">
      <alignment horizontal="center" vertical="center"/>
    </xf>
    <xf numFmtId="43" fontId="38" fillId="0" borderId="14" xfId="13" applyNumberFormat="1" applyFont="1" applyFill="1" applyBorder="1" applyAlignment="1">
      <alignment vertical="center"/>
    </xf>
    <xf numFmtId="40" fontId="6" fillId="16" borderId="10" xfId="13" applyNumberFormat="1" applyFont="1" applyFill="1" applyBorder="1" applyAlignment="1">
      <alignment vertical="center"/>
    </xf>
    <xf numFmtId="40" fontId="58" fillId="18" borderId="9" xfId="13" applyNumberFormat="1" applyFont="1" applyFill="1" applyBorder="1" applyAlignment="1">
      <alignment vertical="center"/>
    </xf>
    <xf numFmtId="40" fontId="24" fillId="18" borderId="24" xfId="13" applyNumberFormat="1" applyFont="1" applyFill="1" applyBorder="1" applyAlignment="1">
      <alignment vertical="center"/>
    </xf>
    <xf numFmtId="40" fontId="24" fillId="18" borderId="9" xfId="13" applyNumberFormat="1" applyFont="1" applyFill="1" applyBorder="1" applyAlignment="1">
      <alignment vertical="center"/>
    </xf>
    <xf numFmtId="43" fontId="73" fillId="15" borderId="19" xfId="13" applyFont="1" applyFill="1" applyBorder="1" applyAlignment="1">
      <alignment horizontal="center" vertical="center" wrapText="1"/>
    </xf>
    <xf numFmtId="4" fontId="71" fillId="0" borderId="1" xfId="0" applyNumberFormat="1" applyFont="1" applyFill="1" applyBorder="1"/>
    <xf numFmtId="43" fontId="7" fillId="15" borderId="0" xfId="0" applyNumberFormat="1" applyFont="1" applyFill="1" applyBorder="1" applyAlignment="1">
      <alignment horizontal="center" vertical="center" wrapText="1"/>
    </xf>
    <xf numFmtId="40" fontId="6" fillId="0" borderId="0" xfId="0" applyNumberFormat="1" applyFont="1" applyFill="1" applyBorder="1"/>
    <xf numFmtId="40" fontId="6" fillId="0" borderId="0" xfId="13" applyNumberFormat="1" applyFont="1" applyFill="1" applyBorder="1" applyAlignment="1">
      <alignment vertical="center"/>
    </xf>
    <xf numFmtId="40" fontId="7" fillId="23" borderId="10" xfId="0" applyNumberFormat="1" applyFont="1" applyFill="1" applyBorder="1" applyAlignment="1">
      <alignment horizontal="right" vertical="center" wrapText="1"/>
    </xf>
    <xf numFmtId="4" fontId="6" fillId="24" borderId="10" xfId="0" applyNumberFormat="1" applyFont="1" applyFill="1" applyBorder="1"/>
    <xf numFmtId="4" fontId="6" fillId="15" borderId="12" xfId="0" applyNumberFormat="1" applyFont="1" applyFill="1" applyBorder="1" applyAlignment="1"/>
    <xf numFmtId="40" fontId="3" fillId="15" borderId="9" xfId="13" applyNumberFormat="1" applyFont="1" applyFill="1" applyBorder="1" applyAlignment="1"/>
    <xf numFmtId="40" fontId="8" fillId="15" borderId="31" xfId="13" applyNumberFormat="1" applyFont="1" applyFill="1" applyBorder="1" applyAlignment="1"/>
    <xf numFmtId="0" fontId="0" fillId="0" borderId="0" xfId="0"/>
    <xf numFmtId="0" fontId="35" fillId="15" borderId="0" xfId="0" applyFont="1" applyFill="1" applyBorder="1" applyAlignment="1">
      <alignment vertical="center"/>
    </xf>
    <xf numFmtId="43" fontId="35" fillId="15" borderId="0" xfId="13" applyFont="1" applyFill="1" applyBorder="1" applyAlignment="1">
      <alignment vertical="center"/>
    </xf>
    <xf numFmtId="43" fontId="7" fillId="15" borderId="5" xfId="13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6" fillId="15" borderId="0" xfId="0" applyFont="1" applyFill="1" applyBorder="1" applyAlignment="1">
      <alignment vertical="center"/>
    </xf>
    <xf numFmtId="43" fontId="6" fillId="15" borderId="0" xfId="13" applyFont="1" applyFill="1" applyBorder="1" applyAlignment="1">
      <alignment vertical="center"/>
    </xf>
    <xf numFmtId="43" fontId="36" fillId="15" borderId="0" xfId="13" applyFont="1" applyFill="1" applyBorder="1" applyAlignment="1">
      <alignment vertical="center"/>
    </xf>
    <xf numFmtId="9" fontId="36" fillId="15" borderId="0" xfId="37" applyFont="1" applyFill="1" applyBorder="1" applyAlignment="1">
      <alignment vertical="center"/>
    </xf>
    <xf numFmtId="0" fontId="36" fillId="15" borderId="0" xfId="0" applyFont="1" applyFill="1" applyBorder="1" applyAlignment="1">
      <alignment vertical="center"/>
    </xf>
    <xf numFmtId="0" fontId="8" fillId="15" borderId="5" xfId="0" applyFont="1" applyFill="1" applyBorder="1" applyAlignment="1">
      <alignment horizontal="center" vertical="center" wrapText="1"/>
    </xf>
    <xf numFmtId="43" fontId="3" fillId="15" borderId="0" xfId="13" applyFont="1" applyFill="1" applyBorder="1" applyAlignment="1">
      <alignment vertical="center"/>
    </xf>
    <xf numFmtId="9" fontId="3" fillId="15" borderId="0" xfId="37" applyFont="1" applyFill="1" applyBorder="1" applyAlignment="1">
      <alignment vertical="center"/>
    </xf>
    <xf numFmtId="0" fontId="3" fillId="15" borderId="0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43" fontId="6" fillId="15" borderId="2" xfId="13" applyFont="1" applyFill="1" applyBorder="1" applyAlignment="1">
      <alignment vertical="center"/>
    </xf>
    <xf numFmtId="40" fontId="10" fillId="15" borderId="2" xfId="13" applyNumberFormat="1" applyFont="1" applyFill="1" applyBorder="1" applyAlignment="1">
      <alignment vertical="center"/>
    </xf>
    <xf numFmtId="40" fontId="3" fillId="15" borderId="2" xfId="13" applyNumberFormat="1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43" fontId="6" fillId="15" borderId="14" xfId="13" applyFont="1" applyFill="1" applyBorder="1" applyAlignment="1">
      <alignment vertical="center"/>
    </xf>
    <xf numFmtId="40" fontId="10" fillId="15" borderId="14" xfId="13" applyNumberFormat="1" applyFont="1" applyFill="1" applyBorder="1" applyAlignment="1">
      <alignment vertical="center"/>
    </xf>
    <xf numFmtId="0" fontId="11" fillId="15" borderId="8" xfId="0" applyFont="1" applyFill="1" applyBorder="1" applyAlignment="1">
      <alignment vertical="center"/>
    </xf>
    <xf numFmtId="43" fontId="11" fillId="15" borderId="9" xfId="13" applyFont="1" applyFill="1" applyBorder="1" applyAlignment="1">
      <alignment vertical="center"/>
    </xf>
    <xf numFmtId="40" fontId="13" fillId="15" borderId="9" xfId="13" applyNumberFormat="1" applyFont="1" applyFill="1" applyBorder="1" applyAlignment="1">
      <alignment vertical="center"/>
    </xf>
    <xf numFmtId="40" fontId="12" fillId="15" borderId="9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vertical="center"/>
    </xf>
    <xf numFmtId="0" fontId="6" fillId="15" borderId="0" xfId="0" applyFont="1" applyFill="1" applyBorder="1" applyAlignment="1">
      <alignment horizontal="right" vertical="center"/>
    </xf>
    <xf numFmtId="43" fontId="7" fillId="15" borderId="0" xfId="13" applyFont="1" applyFill="1" applyBorder="1" applyAlignment="1">
      <alignment vertical="center"/>
    </xf>
    <xf numFmtId="43" fontId="7" fillId="15" borderId="10" xfId="0" applyNumberFormat="1" applyFont="1" applyFill="1" applyBorder="1" applyAlignment="1">
      <alignment vertical="center"/>
    </xf>
    <xf numFmtId="40" fontId="8" fillId="15" borderId="9" xfId="13" applyNumberFormat="1" applyFont="1" applyFill="1" applyBorder="1" applyAlignment="1">
      <alignment vertical="center"/>
    </xf>
    <xf numFmtId="4" fontId="6" fillId="15" borderId="0" xfId="13" applyNumberFormat="1" applyFont="1" applyFill="1" applyBorder="1" applyAlignment="1">
      <alignment vertical="center"/>
    </xf>
    <xf numFmtId="4" fontId="6" fillId="15" borderId="0" xfId="0" applyNumberFormat="1" applyFont="1" applyFill="1" applyBorder="1" applyAlignment="1">
      <alignment vertical="center"/>
    </xf>
    <xf numFmtId="4" fontId="6" fillId="15" borderId="0" xfId="13" applyNumberFormat="1" applyFont="1" applyFill="1" applyBorder="1" applyAlignment="1">
      <alignment horizontal="left" vertical="center"/>
    </xf>
    <xf numFmtId="4" fontId="3" fillId="15" borderId="0" xfId="13" applyNumberFormat="1" applyFont="1" applyFill="1" applyBorder="1" applyAlignment="1">
      <alignment vertical="center"/>
    </xf>
    <xf numFmtId="43" fontId="3" fillId="15" borderId="0" xfId="13" applyFont="1" applyFill="1" applyBorder="1" applyAlignment="1">
      <alignment horizontal="left" vertical="center"/>
    </xf>
    <xf numFmtId="4" fontId="10" fillId="15" borderId="12" xfId="13" applyNumberFormat="1" applyFont="1" applyFill="1" applyBorder="1" applyAlignment="1">
      <alignment vertical="center"/>
    </xf>
    <xf numFmtId="4" fontId="10" fillId="15" borderId="31" xfId="13" applyNumberFormat="1" applyFont="1" applyFill="1" applyBorder="1" applyAlignment="1">
      <alignment vertical="center"/>
    </xf>
    <xf numFmtId="43" fontId="35" fillId="15" borderId="0" xfId="13" applyFont="1" applyFill="1" applyBorder="1" applyAlignment="1">
      <alignment horizontal="center" vertical="center"/>
    </xf>
    <xf numFmtId="43" fontId="7" fillId="15" borderId="15" xfId="13" applyFont="1" applyFill="1" applyBorder="1" applyAlignment="1">
      <alignment horizontal="center" vertical="center" wrapText="1"/>
    </xf>
    <xf numFmtId="43" fontId="7" fillId="15" borderId="31" xfId="13" applyFont="1" applyFill="1" applyBorder="1" applyAlignment="1">
      <alignment vertical="center"/>
    </xf>
    <xf numFmtId="4" fontId="6" fillId="15" borderId="1" xfId="0" applyNumberFormat="1" applyFont="1" applyFill="1" applyBorder="1"/>
    <xf numFmtId="0" fontId="10" fillId="15" borderId="0" xfId="0" applyFont="1" applyFill="1"/>
    <xf numFmtId="43" fontId="3" fillId="15" borderId="2" xfId="13" applyNumberFormat="1" applyFont="1" applyFill="1" applyBorder="1" applyAlignment="1">
      <alignment horizontal="center" vertical="center"/>
    </xf>
    <xf numFmtId="43" fontId="3" fillId="15" borderId="2" xfId="13" applyNumberFormat="1" applyFont="1" applyFill="1" applyBorder="1" applyAlignment="1">
      <alignment horizontal="center" vertical="center" wrapText="1"/>
    </xf>
    <xf numFmtId="0" fontId="11" fillId="43" borderId="16" xfId="0" applyFont="1" applyFill="1" applyBorder="1" applyAlignment="1">
      <alignment horizontal="center" vertical="center"/>
    </xf>
    <xf numFmtId="40" fontId="10" fillId="43" borderId="50" xfId="13" applyNumberFormat="1" applyFont="1" applyFill="1" applyBorder="1" applyAlignment="1">
      <alignment vertical="center"/>
    </xf>
    <xf numFmtId="43" fontId="6" fillId="43" borderId="17" xfId="13" applyFont="1" applyFill="1" applyBorder="1" applyAlignment="1">
      <alignment vertical="center"/>
    </xf>
    <xf numFmtId="40" fontId="11" fillId="43" borderId="17" xfId="13" applyNumberFormat="1" applyFont="1" applyFill="1" applyBorder="1" applyAlignment="1">
      <alignment vertical="center"/>
    </xf>
    <xf numFmtId="43" fontId="11" fillId="43" borderId="17" xfId="13" applyFont="1" applyFill="1" applyBorder="1" applyAlignment="1">
      <alignment vertical="center"/>
    </xf>
    <xf numFmtId="40" fontId="10" fillId="43" borderId="17" xfId="13" applyNumberFormat="1" applyFont="1" applyFill="1" applyBorder="1" applyAlignment="1">
      <alignment vertical="center"/>
    </xf>
    <xf numFmtId="40" fontId="6" fillId="43" borderId="17" xfId="13" applyNumberFormat="1" applyFont="1" applyFill="1" applyBorder="1" applyAlignment="1">
      <alignment vertical="center"/>
    </xf>
    <xf numFmtId="0" fontId="24" fillId="17" borderId="8" xfId="0" applyFont="1" applyFill="1" applyBorder="1" applyAlignment="1">
      <alignment horizontal="center" vertical="center"/>
    </xf>
    <xf numFmtId="40" fontId="24" fillId="17" borderId="24" xfId="13" applyNumberFormat="1" applyFont="1" applyFill="1" applyBorder="1" applyAlignment="1">
      <alignment vertical="center"/>
    </xf>
    <xf numFmtId="40" fontId="58" fillId="17" borderId="9" xfId="13" applyNumberFormat="1" applyFont="1" applyFill="1" applyBorder="1" applyAlignment="1">
      <alignment vertical="center"/>
    </xf>
    <xf numFmtId="40" fontId="22" fillId="15" borderId="0" xfId="13" applyNumberFormat="1" applyFont="1" applyFill="1" applyBorder="1" applyAlignment="1">
      <alignment vertical="center"/>
    </xf>
    <xf numFmtId="40" fontId="96" fillId="15" borderId="0" xfId="13" applyNumberFormat="1" applyFont="1" applyFill="1" applyBorder="1" applyAlignment="1">
      <alignment horizontal="right" vertical="center"/>
    </xf>
    <xf numFmtId="40" fontId="11" fillId="43" borderId="50" xfId="13" applyNumberFormat="1" applyFont="1" applyFill="1" applyBorder="1" applyAlignment="1">
      <alignment vertical="center"/>
    </xf>
    <xf numFmtId="40" fontId="13" fillId="43" borderId="50" xfId="13" applyNumberFormat="1" applyFont="1" applyFill="1" applyBorder="1" applyAlignment="1">
      <alignment vertical="center"/>
    </xf>
    <xf numFmtId="43" fontId="6" fillId="15" borderId="0" xfId="37" applyNumberFormat="1" applyFont="1" applyFill="1" applyBorder="1" applyAlignment="1">
      <alignment vertical="center"/>
    </xf>
    <xf numFmtId="0" fontId="6" fillId="15" borderId="5" xfId="0" applyFont="1" applyFill="1" applyBorder="1" applyAlignment="1">
      <alignment horizontal="center" vertical="center" wrapText="1"/>
    </xf>
    <xf numFmtId="43" fontId="6" fillId="15" borderId="5" xfId="13" applyFont="1" applyFill="1" applyBorder="1" applyAlignment="1">
      <alignment horizontal="center" vertical="center" wrapText="1"/>
    </xf>
    <xf numFmtId="0" fontId="6" fillId="15" borderId="20" xfId="0" applyNumberFormat="1" applyFont="1" applyFill="1" applyBorder="1" applyAlignment="1">
      <alignment vertical="center"/>
    </xf>
    <xf numFmtId="43" fontId="6" fillId="0" borderId="12" xfId="13" applyNumberFormat="1" applyFont="1" applyFill="1" applyBorder="1" applyAlignment="1">
      <alignment vertical="center"/>
    </xf>
    <xf numFmtId="43" fontId="6" fillId="0" borderId="12" xfId="13" applyFont="1" applyFill="1" applyBorder="1" applyAlignment="1">
      <alignment vertical="center"/>
    </xf>
    <xf numFmtId="40" fontId="10" fillId="0" borderId="12" xfId="13" applyNumberFormat="1" applyFont="1" applyFill="1" applyBorder="1" applyAlignment="1">
      <alignment vertical="center"/>
    </xf>
    <xf numFmtId="40" fontId="3" fillId="0" borderId="12" xfId="13" applyNumberFormat="1" applyFont="1" applyFill="1" applyBorder="1" applyAlignment="1">
      <alignment vertical="center"/>
    </xf>
    <xf numFmtId="40" fontId="97" fillId="0" borderId="12" xfId="13" applyNumberFormat="1" applyFont="1" applyFill="1" applyBorder="1" applyAlignment="1">
      <alignment vertical="center"/>
    </xf>
    <xf numFmtId="43" fontId="10" fillId="0" borderId="12" xfId="0" applyNumberFormat="1" applyFont="1" applyFill="1" applyBorder="1" applyAlignment="1">
      <alignment vertical="center"/>
    </xf>
    <xf numFmtId="40" fontId="10" fillId="0" borderId="20" xfId="13" applyNumberFormat="1" applyFont="1" applyFill="1" applyBorder="1" applyAlignment="1">
      <alignment vertical="center"/>
    </xf>
    <xf numFmtId="0" fontId="6" fillId="15" borderId="21" xfId="0" applyFont="1" applyFill="1" applyBorder="1" applyAlignment="1">
      <alignment vertical="center"/>
    </xf>
    <xf numFmtId="43" fontId="6" fillId="0" borderId="14" xfId="13" applyNumberFormat="1" applyFont="1" applyFill="1" applyBorder="1" applyAlignment="1">
      <alignment vertical="center"/>
    </xf>
    <xf numFmtId="43" fontId="6" fillId="0" borderId="14" xfId="13" applyFont="1" applyFill="1" applyBorder="1" applyAlignment="1">
      <alignment vertical="center"/>
    </xf>
    <xf numFmtId="40" fontId="10" fillId="0" borderId="14" xfId="13" applyNumberFormat="1" applyFont="1" applyFill="1" applyBorder="1" applyAlignment="1">
      <alignment vertical="center"/>
    </xf>
    <xf numFmtId="43" fontId="6" fillId="0" borderId="2" xfId="13" applyFont="1" applyFill="1" applyBorder="1" applyAlignment="1">
      <alignment vertical="center"/>
    </xf>
    <xf numFmtId="40" fontId="3" fillId="0" borderId="14" xfId="13" applyNumberFormat="1" applyFont="1" applyFill="1" applyBorder="1" applyAlignment="1">
      <alignment vertical="center"/>
    </xf>
    <xf numFmtId="40" fontId="97" fillId="0" borderId="14" xfId="13" applyNumberFormat="1" applyFont="1" applyFill="1" applyBorder="1" applyAlignment="1">
      <alignment vertical="center"/>
    </xf>
    <xf numFmtId="43" fontId="10" fillId="0" borderId="14" xfId="0" applyNumberFormat="1" applyFont="1" applyFill="1" applyBorder="1" applyAlignment="1">
      <alignment vertical="center"/>
    </xf>
    <xf numFmtId="0" fontId="6" fillId="18" borderId="16" xfId="0" applyFont="1" applyFill="1" applyBorder="1" applyAlignment="1">
      <alignment vertical="center"/>
    </xf>
    <xf numFmtId="43" fontId="6" fillId="18" borderId="17" xfId="13" applyFont="1" applyFill="1" applyBorder="1" applyAlignment="1">
      <alignment vertical="center"/>
    </xf>
    <xf numFmtId="2" fontId="3" fillId="18" borderId="17" xfId="13" applyNumberFormat="1" applyFont="1" applyFill="1" applyBorder="1" applyAlignment="1">
      <alignment vertical="center"/>
    </xf>
    <xf numFmtId="40" fontId="10" fillId="18" borderId="17" xfId="13" applyNumberFormat="1" applyFont="1" applyFill="1" applyBorder="1" applyAlignment="1">
      <alignment vertical="center"/>
    </xf>
    <xf numFmtId="43" fontId="10" fillId="0" borderId="14" xfId="13" applyNumberFormat="1" applyFont="1" applyFill="1" applyBorder="1" applyAlignment="1">
      <alignment horizontal="center" vertical="center"/>
    </xf>
    <xf numFmtId="43" fontId="6" fillId="0" borderId="17" xfId="13" applyFont="1" applyFill="1" applyBorder="1" applyAlignment="1">
      <alignment vertical="center"/>
    </xf>
    <xf numFmtId="0" fontId="6" fillId="20" borderId="16" xfId="0" applyFont="1" applyFill="1" applyBorder="1" applyAlignment="1">
      <alignment vertical="center"/>
    </xf>
    <xf numFmtId="43" fontId="6" fillId="20" borderId="17" xfId="13" applyFont="1" applyFill="1" applyBorder="1" applyAlignment="1">
      <alignment vertical="center"/>
    </xf>
    <xf numFmtId="2" fontId="3" fillId="20" borderId="17" xfId="13" applyNumberFormat="1" applyFont="1" applyFill="1" applyBorder="1" applyAlignment="1">
      <alignment vertical="center"/>
    </xf>
    <xf numFmtId="40" fontId="10" fillId="20" borderId="17" xfId="13" applyNumberFormat="1" applyFont="1" applyFill="1" applyBorder="1" applyAlignment="1">
      <alignment vertical="center"/>
    </xf>
    <xf numFmtId="43" fontId="6" fillId="15" borderId="40" xfId="13" applyFont="1" applyFill="1" applyBorder="1" applyAlignment="1">
      <alignment vertical="center"/>
    </xf>
    <xf numFmtId="0" fontId="98" fillId="15" borderId="0" xfId="0" applyFont="1" applyFill="1" applyBorder="1" applyAlignment="1">
      <alignment vertical="center"/>
    </xf>
    <xf numFmtId="166" fontId="6" fillId="15" borderId="0" xfId="0" applyNumberFormat="1" applyFont="1" applyFill="1" applyBorder="1" applyAlignment="1">
      <alignment vertical="center"/>
    </xf>
    <xf numFmtId="0" fontId="99" fillId="15" borderId="0" xfId="0" applyFont="1" applyFill="1" applyBorder="1" applyAlignment="1">
      <alignment horizontal="right" vertical="center"/>
    </xf>
    <xf numFmtId="0" fontId="10" fillId="0" borderId="12" xfId="13" applyNumberFormat="1" applyFont="1" applyFill="1" applyBorder="1" applyAlignment="1">
      <alignment horizontal="center" vertical="center"/>
    </xf>
    <xf numFmtId="0" fontId="10" fillId="0" borderId="2" xfId="13" applyNumberFormat="1" applyFont="1" applyFill="1" applyBorder="1" applyAlignment="1">
      <alignment horizontal="center" vertical="center"/>
    </xf>
    <xf numFmtId="43" fontId="6" fillId="18" borderId="17" xfId="13" applyFont="1" applyFill="1" applyBorder="1" applyAlignment="1">
      <alignment horizontal="center" vertical="center"/>
    </xf>
    <xf numFmtId="43" fontId="10" fillId="0" borderId="12" xfId="13" applyFont="1" applyFill="1" applyBorder="1" applyAlignment="1">
      <alignment horizontal="center" vertical="center"/>
    </xf>
    <xf numFmtId="43" fontId="35" fillId="15" borderId="0" xfId="13" applyFont="1" applyFill="1" applyBorder="1" applyAlignment="1">
      <alignment horizontal="center" vertical="center"/>
    </xf>
    <xf numFmtId="0" fontId="7" fillId="18" borderId="49" xfId="0" applyFont="1" applyFill="1" applyBorder="1" applyAlignment="1">
      <alignment horizontal="left" vertical="center"/>
    </xf>
    <xf numFmtId="0" fontId="7" fillId="17" borderId="0" xfId="0" applyFont="1" applyFill="1" applyBorder="1" applyAlignment="1">
      <alignment horizontal="right" vertical="center"/>
    </xf>
    <xf numFmtId="0" fontId="20" fillId="18" borderId="0" xfId="0" applyFont="1" applyFill="1" applyBorder="1" applyAlignment="1">
      <alignment horizontal="left" vertical="center"/>
    </xf>
    <xf numFmtId="0" fontId="19" fillId="15" borderId="0" xfId="0" applyFont="1" applyFill="1" applyBorder="1" applyAlignment="1">
      <alignment horizontal="right" vertical="center"/>
    </xf>
    <xf numFmtId="40" fontId="3" fillId="15" borderId="49" xfId="13" applyNumberFormat="1" applyFont="1" applyFill="1" applyBorder="1" applyAlignment="1">
      <alignment vertical="center"/>
    </xf>
    <xf numFmtId="0" fontId="7" fillId="15" borderId="51" xfId="0" applyFont="1" applyFill="1" applyBorder="1" applyAlignment="1">
      <alignment vertical="center"/>
    </xf>
    <xf numFmtId="40" fontId="10" fillId="15" borderId="52" xfId="13" applyNumberFormat="1" applyFont="1" applyFill="1" applyBorder="1" applyAlignment="1">
      <alignment vertical="center"/>
    </xf>
    <xf numFmtId="43" fontId="6" fillId="15" borderId="52" xfId="13" applyFont="1" applyFill="1" applyBorder="1" applyAlignment="1">
      <alignment vertical="center"/>
    </xf>
    <xf numFmtId="43" fontId="6" fillId="15" borderId="52" xfId="13" applyFont="1" applyFill="1" applyBorder="1" applyAlignment="1">
      <alignment vertical="center" wrapText="1"/>
    </xf>
    <xf numFmtId="40" fontId="6" fillId="15" borderId="52" xfId="13" applyNumberFormat="1" applyFont="1" applyFill="1" applyBorder="1" applyAlignment="1">
      <alignment vertical="center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43" fontId="7" fillId="22" borderId="5" xfId="13" applyFont="1" applyFill="1" applyBorder="1" applyAlignment="1">
      <alignment horizontal="center" vertical="center" wrapText="1"/>
    </xf>
    <xf numFmtId="43" fontId="8" fillId="22" borderId="5" xfId="13" applyFont="1" applyFill="1" applyBorder="1" applyAlignment="1">
      <alignment horizontal="center" vertical="center" wrapText="1"/>
    </xf>
    <xf numFmtId="0" fontId="7" fillId="44" borderId="4" xfId="0" applyFont="1" applyFill="1" applyBorder="1" applyAlignment="1">
      <alignment horizontal="center" vertical="center" wrapText="1"/>
    </xf>
    <xf numFmtId="0" fontId="7" fillId="44" borderId="5" xfId="0" applyFont="1" applyFill="1" applyBorder="1" applyAlignment="1">
      <alignment horizontal="center" vertical="center" wrapText="1"/>
    </xf>
    <xf numFmtId="43" fontId="7" fillId="44" borderId="5" xfId="13" applyFont="1" applyFill="1" applyBorder="1" applyAlignment="1">
      <alignment horizontal="center" vertical="center" wrapText="1"/>
    </xf>
    <xf numFmtId="43" fontId="8" fillId="44" borderId="5" xfId="13" applyFont="1" applyFill="1" applyBorder="1" applyAlignment="1">
      <alignment horizontal="center" vertical="center" wrapText="1"/>
    </xf>
    <xf numFmtId="0" fontId="100" fillId="15" borderId="0" xfId="0" applyFont="1" applyFill="1" applyBorder="1" applyAlignment="1">
      <alignment horizontal="center"/>
    </xf>
    <xf numFmtId="40" fontId="11" fillId="15" borderId="0" xfId="13" applyNumberFormat="1" applyFont="1" applyFill="1" applyBorder="1" applyAlignment="1"/>
    <xf numFmtId="43" fontId="11" fillId="15" borderId="0" xfId="13" applyFont="1" applyFill="1" applyBorder="1" applyAlignment="1"/>
    <xf numFmtId="40" fontId="6" fillId="15" borderId="0" xfId="13" applyNumberFormat="1" applyFont="1" applyFill="1" applyBorder="1" applyAlignment="1"/>
    <xf numFmtId="43" fontId="11" fillId="15" borderId="0" xfId="0" applyNumberFormat="1" applyFont="1" applyFill="1" applyBorder="1" applyAlignment="1"/>
    <xf numFmtId="43" fontId="6" fillId="15" borderId="0" xfId="0" applyNumberFormat="1" applyFont="1" applyFill="1" applyAlignment="1">
      <alignment vertical="center"/>
    </xf>
    <xf numFmtId="0" fontId="10" fillId="15" borderId="0" xfId="0" applyFont="1" applyFill="1" applyBorder="1" applyAlignment="1">
      <alignment horizontal="left" vertical="center"/>
    </xf>
    <xf numFmtId="43" fontId="35" fillId="15" borderId="0" xfId="13" applyFont="1" applyFill="1" applyBorder="1" applyAlignment="1">
      <alignment horizontal="center" vertical="center"/>
    </xf>
    <xf numFmtId="0" fontId="10" fillId="0" borderId="12" xfId="13" applyNumberFormat="1" applyFont="1" applyFill="1" applyBorder="1" applyAlignment="1">
      <alignment vertical="center"/>
    </xf>
    <xf numFmtId="0" fontId="10" fillId="0" borderId="2" xfId="13" applyNumberFormat="1" applyFont="1" applyFill="1" applyBorder="1" applyAlignment="1">
      <alignment vertical="center"/>
    </xf>
    <xf numFmtId="43" fontId="10" fillId="0" borderId="12" xfId="13" applyFont="1" applyFill="1" applyBorder="1" applyAlignment="1">
      <alignment vertical="center"/>
    </xf>
    <xf numFmtId="0" fontId="0" fillId="0" borderId="0" xfId="0"/>
    <xf numFmtId="0" fontId="35" fillId="15" borderId="0" xfId="0" applyFont="1" applyFill="1" applyBorder="1" applyAlignment="1">
      <alignment vertical="center"/>
    </xf>
    <xf numFmtId="43" fontId="35" fillId="15" borderId="0" xfId="13" applyFont="1" applyFill="1" applyBorder="1" applyAlignment="1">
      <alignment vertical="center"/>
    </xf>
    <xf numFmtId="43" fontId="7" fillId="15" borderId="5" xfId="13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6" fillId="15" borderId="0" xfId="0" applyFont="1" applyFill="1" applyBorder="1" applyAlignment="1">
      <alignment vertical="center"/>
    </xf>
    <xf numFmtId="43" fontId="6" fillId="15" borderId="0" xfId="13" applyFont="1" applyFill="1" applyBorder="1" applyAlignment="1">
      <alignment vertical="center"/>
    </xf>
    <xf numFmtId="43" fontId="36" fillId="15" borderId="0" xfId="13" applyFont="1" applyFill="1" applyBorder="1" applyAlignment="1">
      <alignment vertical="center"/>
    </xf>
    <xf numFmtId="9" fontId="36" fillId="15" borderId="0" xfId="37" applyFont="1" applyFill="1" applyBorder="1" applyAlignment="1">
      <alignment vertical="center"/>
    </xf>
    <xf numFmtId="0" fontId="36" fillId="15" borderId="0" xfId="0" applyFont="1" applyFill="1" applyBorder="1" applyAlignment="1">
      <alignment vertical="center"/>
    </xf>
    <xf numFmtId="0" fontId="8" fillId="15" borderId="5" xfId="0" applyFont="1" applyFill="1" applyBorder="1" applyAlignment="1">
      <alignment horizontal="center" vertical="center" wrapText="1"/>
    </xf>
    <xf numFmtId="43" fontId="3" fillId="15" borderId="0" xfId="13" applyFont="1" applyFill="1" applyBorder="1" applyAlignment="1">
      <alignment vertical="center"/>
    </xf>
    <xf numFmtId="9" fontId="3" fillId="15" borderId="0" xfId="37" applyFont="1" applyFill="1" applyBorder="1" applyAlignment="1">
      <alignment vertical="center"/>
    </xf>
    <xf numFmtId="0" fontId="3" fillId="15" borderId="0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43" fontId="6" fillId="15" borderId="2" xfId="13" applyFont="1" applyFill="1" applyBorder="1" applyAlignment="1">
      <alignment vertical="center"/>
    </xf>
    <xf numFmtId="40" fontId="10" fillId="15" borderId="2" xfId="13" applyNumberFormat="1" applyFont="1" applyFill="1" applyBorder="1" applyAlignment="1">
      <alignment vertical="center"/>
    </xf>
    <xf numFmtId="40" fontId="3" fillId="15" borderId="2" xfId="13" applyNumberFormat="1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43" fontId="6" fillId="15" borderId="14" xfId="13" applyFont="1" applyFill="1" applyBorder="1" applyAlignment="1">
      <alignment vertical="center"/>
    </xf>
    <xf numFmtId="40" fontId="10" fillId="15" borderId="14" xfId="13" applyNumberFormat="1" applyFont="1" applyFill="1" applyBorder="1" applyAlignment="1">
      <alignment vertical="center"/>
    </xf>
    <xf numFmtId="0" fontId="11" fillId="15" borderId="8" xfId="0" applyFont="1" applyFill="1" applyBorder="1" applyAlignment="1">
      <alignment vertical="center"/>
    </xf>
    <xf numFmtId="43" fontId="11" fillId="15" borderId="9" xfId="13" applyFont="1" applyFill="1" applyBorder="1" applyAlignment="1">
      <alignment vertical="center"/>
    </xf>
    <xf numFmtId="40" fontId="13" fillId="15" borderId="9" xfId="13" applyNumberFormat="1" applyFont="1" applyFill="1" applyBorder="1" applyAlignment="1">
      <alignment vertical="center"/>
    </xf>
    <xf numFmtId="40" fontId="12" fillId="15" borderId="9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vertical="center"/>
    </xf>
    <xf numFmtId="0" fontId="6" fillId="15" borderId="0" xfId="0" applyFont="1" applyFill="1" applyBorder="1" applyAlignment="1">
      <alignment horizontal="right" vertical="center"/>
    </xf>
    <xf numFmtId="43" fontId="7" fillId="15" borderId="0" xfId="13" applyFont="1" applyFill="1" applyBorder="1" applyAlignment="1">
      <alignment vertical="center"/>
    </xf>
    <xf numFmtId="43" fontId="7" fillId="15" borderId="10" xfId="0" applyNumberFormat="1" applyFont="1" applyFill="1" applyBorder="1" applyAlignment="1">
      <alignment vertical="center"/>
    </xf>
    <xf numFmtId="40" fontId="8" fillId="15" borderId="9" xfId="13" applyNumberFormat="1" applyFont="1" applyFill="1" applyBorder="1" applyAlignment="1">
      <alignment vertical="center"/>
    </xf>
    <xf numFmtId="4" fontId="6" fillId="15" borderId="0" xfId="13" applyNumberFormat="1" applyFont="1" applyFill="1" applyBorder="1" applyAlignment="1">
      <alignment vertical="center"/>
    </xf>
    <xf numFmtId="4" fontId="6" fillId="15" borderId="0" xfId="0" applyNumberFormat="1" applyFont="1" applyFill="1" applyBorder="1" applyAlignment="1">
      <alignment vertical="center"/>
    </xf>
    <xf numFmtId="4" fontId="6" fillId="15" borderId="0" xfId="13" applyNumberFormat="1" applyFont="1" applyFill="1" applyBorder="1" applyAlignment="1">
      <alignment horizontal="left" vertical="center"/>
    </xf>
    <xf numFmtId="4" fontId="3" fillId="15" borderId="0" xfId="13" applyNumberFormat="1" applyFont="1" applyFill="1" applyBorder="1" applyAlignment="1">
      <alignment vertical="center"/>
    </xf>
    <xf numFmtId="0" fontId="0" fillId="0" borderId="0" xfId="0"/>
    <xf numFmtId="0" fontId="35" fillId="15" borderId="0" xfId="0" applyFont="1" applyFill="1" applyBorder="1" applyAlignment="1">
      <alignment vertical="center"/>
    </xf>
    <xf numFmtId="43" fontId="35" fillId="15" borderId="0" xfId="13" applyFont="1" applyFill="1" applyBorder="1" applyAlignment="1">
      <alignment vertical="center"/>
    </xf>
    <xf numFmtId="9" fontId="35" fillId="15" borderId="0" xfId="37" applyFont="1" applyFill="1" applyBorder="1" applyAlignment="1">
      <alignment vertical="center"/>
    </xf>
    <xf numFmtId="43" fontId="6" fillId="15" borderId="0" xfId="13" applyFont="1" applyFill="1" applyBorder="1" applyAlignment="1">
      <alignment vertical="center"/>
    </xf>
    <xf numFmtId="0" fontId="6" fillId="15" borderId="0" xfId="0" applyFont="1" applyFill="1" applyBorder="1" applyAlignment="1">
      <alignment vertical="center"/>
    </xf>
    <xf numFmtId="9" fontId="6" fillId="15" borderId="0" xfId="37" applyFont="1" applyFill="1" applyBorder="1" applyAlignment="1">
      <alignment vertical="center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43" fontId="7" fillId="15" borderId="5" xfId="13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vertical="center"/>
    </xf>
    <xf numFmtId="43" fontId="6" fillId="15" borderId="2" xfId="13" applyFont="1" applyFill="1" applyBorder="1" applyAlignment="1">
      <alignment vertical="center"/>
    </xf>
    <xf numFmtId="40" fontId="10" fillId="15" borderId="2" xfId="13" applyNumberFormat="1" applyFont="1" applyFill="1" applyBorder="1" applyAlignment="1">
      <alignment vertical="center"/>
    </xf>
    <xf numFmtId="40" fontId="3" fillId="15" borderId="2" xfId="13" applyNumberFormat="1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43" fontId="6" fillId="15" borderId="14" xfId="13" applyFont="1" applyFill="1" applyBorder="1" applyAlignment="1">
      <alignment vertical="center"/>
    </xf>
    <xf numFmtId="40" fontId="3" fillId="15" borderId="14" xfId="13" applyNumberFormat="1" applyFont="1" applyFill="1" applyBorder="1" applyAlignment="1">
      <alignment vertical="center"/>
    </xf>
    <xf numFmtId="0" fontId="11" fillId="15" borderId="0" xfId="0" applyFont="1" applyFill="1" applyBorder="1" applyAlignment="1">
      <alignment vertical="center"/>
    </xf>
    <xf numFmtId="43" fontId="11" fillId="15" borderId="0" xfId="13" applyFont="1" applyFill="1" applyBorder="1" applyAlignment="1">
      <alignment vertical="center"/>
    </xf>
    <xf numFmtId="43" fontId="7" fillId="15" borderId="10" xfId="13" applyFont="1" applyFill="1" applyBorder="1" applyAlignment="1">
      <alignment vertical="center"/>
    </xf>
    <xf numFmtId="43" fontId="6" fillId="15" borderId="0" xfId="0" applyNumberFormat="1" applyFont="1" applyFill="1" applyBorder="1" applyAlignment="1">
      <alignment vertical="center"/>
    </xf>
    <xf numFmtId="43" fontId="3" fillId="15" borderId="0" xfId="13" applyFont="1" applyFill="1" applyBorder="1" applyAlignment="1">
      <alignment vertical="center"/>
    </xf>
    <xf numFmtId="0" fontId="9" fillId="15" borderId="0" xfId="0" applyFont="1" applyFill="1" applyBorder="1" applyAlignment="1">
      <alignment vertical="center"/>
    </xf>
    <xf numFmtId="40" fontId="3" fillId="16" borderId="2" xfId="13" applyNumberFormat="1" applyFont="1" applyFill="1" applyBorder="1" applyAlignment="1">
      <alignment vertical="center"/>
    </xf>
    <xf numFmtId="43" fontId="9" fillId="15" borderId="0" xfId="13" applyFont="1" applyFill="1" applyBorder="1" applyAlignment="1">
      <alignment vertical="center"/>
    </xf>
    <xf numFmtId="0" fontId="6" fillId="15" borderId="0" xfId="0" applyFont="1" applyFill="1"/>
    <xf numFmtId="43" fontId="6" fillId="15" borderId="0" xfId="13" applyFont="1" applyFill="1"/>
    <xf numFmtId="4" fontId="6" fillId="15" borderId="0" xfId="0" applyNumberFormat="1" applyFont="1" applyFill="1" applyBorder="1" applyAlignment="1">
      <alignment vertical="center"/>
    </xf>
    <xf numFmtId="43" fontId="36" fillId="15" borderId="0" xfId="13" applyFont="1" applyFill="1" applyBorder="1" applyAlignment="1">
      <alignment vertical="center"/>
    </xf>
    <xf numFmtId="40" fontId="6" fillId="15" borderId="0" xfId="13" applyNumberFormat="1" applyFont="1" applyFill="1" applyBorder="1" applyAlignment="1">
      <alignment vertical="center"/>
    </xf>
    <xf numFmtId="40" fontId="6" fillId="15" borderId="0" xfId="0" applyNumberFormat="1" applyFont="1" applyFill="1" applyBorder="1" applyAlignment="1">
      <alignment vertical="center"/>
    </xf>
    <xf numFmtId="40" fontId="6" fillId="15" borderId="0" xfId="13" applyNumberFormat="1" applyFont="1" applyFill="1" applyBorder="1" applyAlignment="1">
      <alignment horizontal="left" vertical="center"/>
    </xf>
    <xf numFmtId="40" fontId="3" fillId="15" borderId="0" xfId="13" applyNumberFormat="1" applyFont="1" applyFill="1" applyBorder="1" applyAlignment="1">
      <alignment vertical="center"/>
    </xf>
    <xf numFmtId="40" fontId="6" fillId="15" borderId="0" xfId="0" applyNumberFormat="1" applyFont="1" applyFill="1"/>
    <xf numFmtId="40" fontId="7" fillId="15" borderId="18" xfId="13" applyNumberFormat="1" applyFont="1" applyFill="1" applyBorder="1" applyAlignment="1">
      <alignment vertical="center"/>
    </xf>
    <xf numFmtId="40" fontId="10" fillId="15" borderId="14" xfId="13" applyNumberFormat="1" applyFont="1" applyFill="1" applyBorder="1" applyAlignment="1">
      <alignment vertical="center"/>
    </xf>
    <xf numFmtId="40" fontId="3" fillId="15" borderId="15" xfId="13" applyNumberFormat="1" applyFont="1" applyFill="1" applyBorder="1" applyAlignment="1">
      <alignment vertical="center"/>
    </xf>
    <xf numFmtId="0" fontId="11" fillId="15" borderId="16" xfId="0" applyFont="1" applyFill="1" applyBorder="1" applyAlignment="1">
      <alignment vertical="center"/>
    </xf>
    <xf numFmtId="40" fontId="13" fillId="15" borderId="17" xfId="13" applyNumberFormat="1" applyFont="1" applyFill="1" applyBorder="1" applyAlignment="1">
      <alignment vertical="center"/>
    </xf>
    <xf numFmtId="43" fontId="11" fillId="15" borderId="17" xfId="13" applyFont="1" applyFill="1" applyBorder="1" applyAlignment="1">
      <alignment vertical="center"/>
    </xf>
    <xf numFmtId="40" fontId="12" fillId="15" borderId="17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horizontal="center" vertical="center"/>
    </xf>
    <xf numFmtId="0" fontId="14" fillId="17" borderId="0" xfId="0" applyFont="1" applyFill="1" applyBorder="1" applyAlignment="1">
      <alignment vertical="center"/>
    </xf>
    <xf numFmtId="43" fontId="6" fillId="17" borderId="0" xfId="13" applyFont="1" applyFill="1" applyBorder="1" applyAlignment="1">
      <alignment vertical="center"/>
    </xf>
    <xf numFmtId="43" fontId="32" fillId="15" borderId="0" xfId="13" applyFont="1" applyFill="1" applyBorder="1" applyAlignment="1">
      <alignment vertical="center"/>
    </xf>
    <xf numFmtId="40" fontId="11" fillId="15" borderId="0" xfId="13" applyNumberFormat="1" applyFont="1" applyFill="1" applyBorder="1" applyAlignment="1">
      <alignment vertical="center"/>
    </xf>
    <xf numFmtId="40" fontId="11" fillId="15" borderId="0" xfId="0" applyNumberFormat="1" applyFont="1" applyFill="1" applyBorder="1" applyAlignment="1">
      <alignment vertical="center"/>
    </xf>
    <xf numFmtId="0" fontId="6" fillId="17" borderId="0" xfId="0" applyFont="1" applyFill="1" applyBorder="1" applyAlignment="1">
      <alignment vertical="center"/>
    </xf>
    <xf numFmtId="43" fontId="13" fillId="15" borderId="17" xfId="13" applyFont="1" applyFill="1" applyBorder="1" applyAlignment="1">
      <alignment vertical="center"/>
    </xf>
    <xf numFmtId="0" fontId="6" fillId="15" borderId="0" xfId="0" applyFont="1" applyFill="1" applyBorder="1" applyAlignment="1"/>
    <xf numFmtId="43" fontId="6" fillId="15" borderId="0" xfId="13" applyFont="1" applyFill="1" applyBorder="1" applyAlignment="1"/>
    <xf numFmtId="0" fontId="35" fillId="15" borderId="0" xfId="0" applyFont="1" applyFill="1" applyBorder="1" applyAlignment="1">
      <alignment vertical="center"/>
    </xf>
    <xf numFmtId="43" fontId="35" fillId="15" borderId="0" xfId="13" applyFont="1" applyFill="1" applyBorder="1" applyAlignment="1">
      <alignment vertical="center"/>
    </xf>
    <xf numFmtId="9" fontId="35" fillId="15" borderId="0" xfId="37" applyFont="1" applyFill="1" applyBorder="1" applyAlignment="1">
      <alignment vertical="center"/>
    </xf>
    <xf numFmtId="43" fontId="8" fillId="15" borderId="5" xfId="13" applyFont="1" applyFill="1" applyBorder="1" applyAlignment="1">
      <alignment horizontal="center" vertical="center" wrapText="1"/>
    </xf>
    <xf numFmtId="4" fontId="6" fillId="15" borderId="0" xfId="0" applyNumberFormat="1" applyFont="1" applyFill="1" applyBorder="1" applyAlignment="1"/>
    <xf numFmtId="0" fontId="7" fillId="15" borderId="6" xfId="0" applyFont="1" applyFill="1" applyBorder="1" applyAlignment="1"/>
    <xf numFmtId="43" fontId="3" fillId="15" borderId="2" xfId="13" applyFont="1" applyFill="1" applyBorder="1" applyAlignment="1"/>
    <xf numFmtId="43" fontId="6" fillId="15" borderId="2" xfId="13" applyFont="1" applyFill="1" applyBorder="1" applyAlignment="1"/>
    <xf numFmtId="40" fontId="10" fillId="15" borderId="2" xfId="13" applyNumberFormat="1" applyFont="1" applyFill="1" applyBorder="1" applyAlignment="1"/>
    <xf numFmtId="40" fontId="3" fillId="15" borderId="2" xfId="13" applyNumberFormat="1" applyFont="1" applyFill="1" applyBorder="1" applyAlignment="1"/>
    <xf numFmtId="40" fontId="10" fillId="15" borderId="14" xfId="13" applyNumberFormat="1" applyFont="1" applyFill="1" applyBorder="1" applyAlignment="1"/>
    <xf numFmtId="43" fontId="7" fillId="15" borderId="0" xfId="13" applyFont="1" applyFill="1" applyBorder="1" applyAlignment="1"/>
    <xf numFmtId="0" fontId="7" fillId="15" borderId="4" xfId="0" applyFont="1" applyFill="1" applyBorder="1" applyAlignment="1">
      <alignment horizontal="center" wrapText="1"/>
    </xf>
    <xf numFmtId="0" fontId="7" fillId="15" borderId="5" xfId="0" applyFont="1" applyFill="1" applyBorder="1" applyAlignment="1">
      <alignment horizontal="center" wrapText="1"/>
    </xf>
    <xf numFmtId="43" fontId="7" fillId="15" borderId="5" xfId="13" applyFont="1" applyFill="1" applyBorder="1" applyAlignment="1">
      <alignment horizontal="center" wrapText="1"/>
    </xf>
    <xf numFmtId="40" fontId="3" fillId="15" borderId="14" xfId="13" applyNumberFormat="1" applyFont="1" applyFill="1" applyBorder="1" applyAlignment="1"/>
    <xf numFmtId="164" fontId="6" fillId="15" borderId="0" xfId="0" applyNumberFormat="1" applyFont="1" applyFill="1" applyBorder="1" applyAlignment="1"/>
    <xf numFmtId="0" fontId="19" fillId="15" borderId="0" xfId="0" applyFont="1" applyFill="1" applyBorder="1" applyAlignment="1"/>
    <xf numFmtId="0" fontId="20" fillId="15" borderId="0" xfId="0" applyFont="1" applyFill="1" applyBorder="1" applyAlignment="1">
      <alignment horizontal="right"/>
    </xf>
    <xf numFmtId="43" fontId="3" fillId="15" borderId="0" xfId="13" applyFont="1" applyFill="1" applyBorder="1" applyAlignment="1"/>
    <xf numFmtId="0" fontId="8" fillId="15" borderId="7" xfId="0" applyFont="1" applyFill="1" applyBorder="1" applyAlignment="1"/>
    <xf numFmtId="43" fontId="3" fillId="15" borderId="14" xfId="13" applyFont="1" applyFill="1" applyBorder="1" applyAlignment="1"/>
    <xf numFmtId="0" fontId="11" fillId="15" borderId="16" xfId="0" applyFont="1" applyFill="1" applyBorder="1" applyAlignment="1"/>
    <xf numFmtId="43" fontId="11" fillId="15" borderId="17" xfId="13" applyFont="1" applyFill="1" applyBorder="1" applyAlignment="1"/>
    <xf numFmtId="40" fontId="13" fillId="15" borderId="17" xfId="13" applyNumberFormat="1" applyFont="1" applyFill="1" applyBorder="1" applyAlignment="1"/>
    <xf numFmtId="43" fontId="12" fillId="15" borderId="17" xfId="13" applyFont="1" applyFill="1" applyBorder="1" applyAlignment="1"/>
    <xf numFmtId="40" fontId="12" fillId="15" borderId="17" xfId="13" applyNumberFormat="1" applyFont="1" applyFill="1" applyBorder="1" applyAlignment="1"/>
    <xf numFmtId="40" fontId="3" fillId="15" borderId="1" xfId="13" applyNumberFormat="1" applyFont="1" applyFill="1" applyBorder="1" applyAlignment="1"/>
    <xf numFmtId="165" fontId="35" fillId="15" borderId="0" xfId="0" applyNumberFormat="1" applyFont="1" applyFill="1" applyBorder="1" applyAlignment="1">
      <alignment vertical="center"/>
    </xf>
    <xf numFmtId="165" fontId="6" fillId="15" borderId="0" xfId="0" applyNumberFormat="1" applyFont="1" applyFill="1" applyBorder="1" applyAlignment="1"/>
    <xf numFmtId="0" fontId="9" fillId="15" borderId="0" xfId="0" applyFont="1" applyFill="1" applyBorder="1" applyAlignment="1"/>
    <xf numFmtId="43" fontId="9" fillId="15" borderId="0" xfId="13" applyFont="1" applyFill="1" applyBorder="1" applyAlignment="1"/>
    <xf numFmtId="40" fontId="9" fillId="15" borderId="0" xfId="0" applyNumberFormat="1" applyFont="1" applyFill="1" applyBorder="1" applyAlignment="1"/>
    <xf numFmtId="43" fontId="42" fillId="15" borderId="0" xfId="13" applyFont="1" applyFill="1" applyBorder="1" applyAlignment="1"/>
    <xf numFmtId="0" fontId="7" fillId="15" borderId="28" xfId="0" applyFont="1" applyFill="1" applyBorder="1" applyAlignment="1">
      <alignment horizontal="center" wrapText="1"/>
    </xf>
    <xf numFmtId="43" fontId="10" fillId="15" borderId="0" xfId="13" applyFont="1" applyFill="1" applyBorder="1" applyAlignment="1">
      <alignment horizontal="center"/>
    </xf>
    <xf numFmtId="40" fontId="6" fillId="15" borderId="0" xfId="0" applyNumberFormat="1" applyFont="1" applyFill="1" applyBorder="1" applyAlignment="1"/>
    <xf numFmtId="43" fontId="6" fillId="15" borderId="0" xfId="13" applyFont="1" applyFill="1" applyBorder="1" applyAlignment="1">
      <alignment horizontal="left" vertical="center"/>
    </xf>
    <xf numFmtId="40" fontId="8" fillId="15" borderId="9" xfId="13" applyNumberFormat="1" applyFont="1" applyFill="1" applyBorder="1" applyAlignment="1"/>
    <xf numFmtId="40" fontId="8" fillId="15" borderId="31" xfId="13" applyNumberFormat="1" applyFont="1" applyFill="1" applyBorder="1" applyAlignment="1"/>
    <xf numFmtId="40" fontId="3" fillId="15" borderId="9" xfId="13" applyNumberFormat="1" applyFont="1" applyFill="1" applyBorder="1" applyAlignment="1"/>
    <xf numFmtId="0" fontId="101" fillId="15" borderId="0" xfId="0" applyFont="1" applyFill="1" applyBorder="1" applyAlignment="1">
      <alignment vertical="center"/>
    </xf>
    <xf numFmtId="0" fontId="61" fillId="15" borderId="0" xfId="0" applyFont="1" applyFill="1" applyBorder="1" applyAlignment="1">
      <alignment vertical="center"/>
    </xf>
    <xf numFmtId="0" fontId="102" fillId="15" borderId="0" xfId="0" applyFont="1" applyFill="1" applyBorder="1" applyAlignment="1">
      <alignment horizontal="center" vertical="center"/>
    </xf>
    <xf numFmtId="0" fontId="103" fillId="15" borderId="0" xfId="0" applyFont="1" applyFill="1" applyBorder="1" applyAlignment="1">
      <alignment horizontal="right" vertical="center"/>
    </xf>
    <xf numFmtId="0" fontId="15" fillId="15" borderId="0" xfId="0" applyFont="1" applyFill="1" applyBorder="1" applyAlignment="1">
      <alignment horizontal="right" vertical="center"/>
    </xf>
    <xf numFmtId="43" fontId="15" fillId="15" borderId="10" xfId="13" applyFont="1" applyFill="1" applyBorder="1" applyAlignment="1">
      <alignment vertical="center"/>
    </xf>
    <xf numFmtId="43" fontId="6" fillId="15" borderId="0" xfId="0" applyNumberFormat="1" applyFont="1" applyFill="1" applyBorder="1" applyAlignment="1"/>
    <xf numFmtId="43" fontId="10" fillId="15" borderId="2" xfId="13" applyNumberFormat="1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right" vertical="center"/>
    </xf>
    <xf numFmtId="9" fontId="9" fillId="15" borderId="0" xfId="37" applyFont="1" applyFill="1" applyBorder="1" applyAlignment="1">
      <alignment vertical="center"/>
    </xf>
    <xf numFmtId="4" fontId="0" fillId="15" borderId="0" xfId="0" applyNumberFormat="1" applyFill="1"/>
    <xf numFmtId="4" fontId="57" fillId="15" borderId="0" xfId="0" applyNumberFormat="1" applyFont="1" applyFill="1"/>
    <xf numFmtId="43" fontId="35" fillId="15" borderId="0" xfId="13" applyFont="1" applyFill="1" applyBorder="1" applyAlignment="1">
      <alignment horizontal="center" vertical="center"/>
    </xf>
    <xf numFmtId="164" fontId="38" fillId="15" borderId="0" xfId="0" applyNumberFormat="1" applyFont="1" applyFill="1" applyBorder="1" applyAlignment="1">
      <alignment vertical="center"/>
    </xf>
    <xf numFmtId="43" fontId="0" fillId="15" borderId="0" xfId="13" applyFont="1" applyFill="1"/>
    <xf numFmtId="4" fontId="6" fillId="15" borderId="0" xfId="13" applyNumberFormat="1" applyFont="1" applyFill="1"/>
    <xf numFmtId="43" fontId="8" fillId="15" borderId="53" xfId="13" applyFont="1" applyFill="1" applyBorder="1" applyAlignment="1">
      <alignment vertical="center"/>
    </xf>
    <xf numFmtId="43" fontId="6" fillId="15" borderId="10" xfId="13" applyFont="1" applyFill="1" applyBorder="1" applyAlignment="1"/>
    <xf numFmtId="4" fontId="104" fillId="0" borderId="0" xfId="0" applyNumberFormat="1" applyFont="1" applyFill="1" applyBorder="1" applyAlignment="1">
      <alignment horizontal="left" vertical="center" wrapText="1"/>
    </xf>
    <xf numFmtId="43" fontId="35" fillId="15" borderId="0" xfId="13" applyFont="1" applyFill="1" applyBorder="1" applyAlignment="1">
      <alignment horizontal="center" vertical="center"/>
    </xf>
    <xf numFmtId="0" fontId="101" fillId="15" borderId="1" xfId="0" applyFont="1" applyFill="1" applyBorder="1" applyAlignment="1">
      <alignment vertical="center"/>
    </xf>
    <xf numFmtId="43" fontId="6" fillId="15" borderId="49" xfId="13" applyFont="1" applyFill="1" applyBorder="1" applyAlignment="1">
      <alignment vertical="center"/>
    </xf>
    <xf numFmtId="43" fontId="8" fillId="15" borderId="54" xfId="13" applyFont="1" applyFill="1" applyBorder="1" applyAlignment="1">
      <alignment vertical="center"/>
    </xf>
    <xf numFmtId="43" fontId="35" fillId="15" borderId="0" xfId="13" applyFont="1" applyFill="1" applyBorder="1" applyAlignment="1">
      <alignment horizontal="center" vertical="center"/>
    </xf>
    <xf numFmtId="43" fontId="36" fillId="16" borderId="14" xfId="13" applyNumberFormat="1" applyFont="1" applyFill="1" applyBorder="1" applyAlignment="1">
      <alignment vertical="center"/>
    </xf>
    <xf numFmtId="43" fontId="72" fillId="15" borderId="0" xfId="13" applyFont="1" applyFill="1" applyBorder="1" applyAlignment="1">
      <alignment horizontal="center" vertical="center"/>
    </xf>
    <xf numFmtId="43" fontId="72" fillId="15" borderId="11" xfId="13" applyFont="1" applyFill="1" applyBorder="1" applyAlignment="1">
      <alignment horizontal="center" vertical="center"/>
    </xf>
    <xf numFmtId="43" fontId="8" fillId="15" borderId="0" xfId="13" applyFont="1" applyFill="1" applyBorder="1" applyAlignment="1">
      <alignment horizontal="center" vertical="center"/>
    </xf>
    <xf numFmtId="43" fontId="8" fillId="15" borderId="11" xfId="13" applyFont="1" applyFill="1" applyBorder="1" applyAlignment="1">
      <alignment horizontal="center" vertical="center"/>
    </xf>
    <xf numFmtId="43" fontId="62" fillId="15" borderId="0" xfId="13" applyFont="1" applyFill="1" applyBorder="1" applyAlignment="1">
      <alignment horizontal="center" vertical="center"/>
    </xf>
    <xf numFmtId="43" fontId="62" fillId="15" borderId="11" xfId="13" applyFont="1" applyFill="1" applyBorder="1" applyAlignment="1">
      <alignment horizontal="center" vertical="center"/>
    </xf>
    <xf numFmtId="43" fontId="43" fillId="15" borderId="0" xfId="13" applyFont="1" applyFill="1" applyBorder="1" applyAlignment="1">
      <alignment horizontal="center" vertical="center"/>
    </xf>
    <xf numFmtId="43" fontId="43" fillId="15" borderId="11" xfId="13" applyFont="1" applyFill="1" applyBorder="1" applyAlignment="1">
      <alignment horizontal="center" vertical="center"/>
    </xf>
    <xf numFmtId="43" fontId="10" fillId="18" borderId="0" xfId="13" applyFont="1" applyFill="1" applyBorder="1" applyAlignment="1">
      <alignment horizontal="center" vertical="center"/>
    </xf>
    <xf numFmtId="43" fontId="35" fillId="18" borderId="0" xfId="13" applyFont="1" applyFill="1" applyBorder="1" applyAlignment="1">
      <alignment horizontal="center" vertical="center"/>
    </xf>
    <xf numFmtId="43" fontId="10" fillId="15" borderId="11" xfId="13" applyFont="1" applyFill="1" applyBorder="1" applyAlignment="1">
      <alignment horizontal="center" vertical="center"/>
    </xf>
    <xf numFmtId="43" fontId="10" fillId="15" borderId="0" xfId="13" applyFont="1" applyFill="1" applyBorder="1" applyAlignment="1">
      <alignment horizontal="center" vertical="center"/>
    </xf>
    <xf numFmtId="43" fontId="15" fillId="15" borderId="0" xfId="13" applyFont="1" applyFill="1" applyBorder="1" applyAlignment="1">
      <alignment horizontal="center" vertical="center"/>
    </xf>
    <xf numFmtId="43" fontId="35" fillId="15" borderId="0" xfId="13" applyFont="1" applyFill="1" applyBorder="1" applyAlignment="1">
      <alignment horizontal="center" vertical="center"/>
    </xf>
    <xf numFmtId="43" fontId="15" fillId="15" borderId="11" xfId="13" applyFont="1" applyFill="1" applyBorder="1" applyAlignment="1">
      <alignment horizontal="center" vertical="center"/>
    </xf>
  </cellXfs>
  <cellStyles count="83">
    <cellStyle name="20% - Accent1" xfId="56" builtinId="30" customBuiltin="1"/>
    <cellStyle name="20% - Accent1 2" xfId="1"/>
    <cellStyle name="20% - Accent2" xfId="60" builtinId="34" customBuiltin="1"/>
    <cellStyle name="20% - Accent2 2" xfId="2"/>
    <cellStyle name="20% - Accent3" xfId="64" builtinId="38" customBuiltin="1"/>
    <cellStyle name="20% - Accent3 2" xfId="3"/>
    <cellStyle name="20% - Accent4" xfId="68" builtinId="42" customBuiltin="1"/>
    <cellStyle name="20% - Accent4 2" xfId="4"/>
    <cellStyle name="20% - Accent5" xfId="72" builtinId="46" customBuiltin="1"/>
    <cellStyle name="20% - Accent5 2" xfId="5"/>
    <cellStyle name="20% - Accent6" xfId="76" builtinId="50" customBuiltin="1"/>
    <cellStyle name="20% - Accent6 2" xfId="6"/>
    <cellStyle name="40% - Accent1" xfId="57" builtinId="31" customBuiltin="1"/>
    <cellStyle name="40% - Accent1 2" xfId="7"/>
    <cellStyle name="40% - Accent2" xfId="61" builtinId="35" customBuiltin="1"/>
    <cellStyle name="40% - Accent2 2" xfId="8"/>
    <cellStyle name="40% - Accent3" xfId="65" builtinId="39" customBuiltin="1"/>
    <cellStyle name="40% - Accent3 2" xfId="9"/>
    <cellStyle name="40% - Accent4" xfId="69" builtinId="43" customBuiltin="1"/>
    <cellStyle name="40% - Accent4 2" xfId="10"/>
    <cellStyle name="40% - Accent5" xfId="73" builtinId="47" customBuiltin="1"/>
    <cellStyle name="40% - Accent5 2" xfId="11"/>
    <cellStyle name="40% - Accent6" xfId="77" builtinId="51" customBuiltin="1"/>
    <cellStyle name="40% - Accent6 2" xfId="12"/>
    <cellStyle name="60% - Accent1" xfId="58" builtinId="32" customBuiltin="1"/>
    <cellStyle name="60% - Accent2" xfId="62" builtinId="36" customBuiltin="1"/>
    <cellStyle name="60% - Accent3" xfId="66" builtinId="40" customBuiltin="1"/>
    <cellStyle name="60% - Accent4" xfId="70" builtinId="44" customBuiltin="1"/>
    <cellStyle name="60% - Accent5" xfId="74" builtinId="48" customBuiltin="1"/>
    <cellStyle name="60% - Accent6" xfId="78" builtinId="52" customBuiltin="1"/>
    <cellStyle name="Accent1" xfId="55" builtinId="29" customBuiltin="1"/>
    <cellStyle name="Accent2" xfId="59" builtinId="33" customBuiltin="1"/>
    <cellStyle name="Accent3" xfId="63" builtinId="37" customBuiltin="1"/>
    <cellStyle name="Accent4" xfId="67" builtinId="41" customBuiltin="1"/>
    <cellStyle name="Accent5" xfId="71" builtinId="45" customBuiltin="1"/>
    <cellStyle name="Accent6" xfId="75" builtinId="49" customBuiltin="1"/>
    <cellStyle name="Bad" xfId="44" builtinId="27" customBuiltin="1"/>
    <cellStyle name="Calculation" xfId="48" builtinId="22" customBuiltin="1"/>
    <cellStyle name="Check Cell" xfId="50" builtinId="23" customBuiltin="1"/>
    <cellStyle name="Comma" xfId="13" builtinId="3"/>
    <cellStyle name="Comma 2" xfId="14"/>
    <cellStyle name="Comma 2 2" xfId="15"/>
    <cellStyle name="Comma 2 3" xfId="16"/>
    <cellStyle name="Comma 3" xfId="17"/>
    <cellStyle name="Comma 3 2" xfId="18"/>
    <cellStyle name="Comma 3 3" xfId="19"/>
    <cellStyle name="Comma 4" xfId="20"/>
    <cellStyle name="Comma 5" xfId="21"/>
    <cellStyle name="Explanatory Text" xfId="53" builtinId="53" customBuiltin="1"/>
    <cellStyle name="Good" xfId="43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6" builtinId="20" customBuiltin="1"/>
    <cellStyle name="Linked Cell" xfId="49" builtinId="24" customBuiltin="1"/>
    <cellStyle name="Neutral" xfId="45" builtinId="28" customBuiltin="1"/>
    <cellStyle name="Normal" xfId="0" builtinId="0"/>
    <cellStyle name="Normal 10" xfId="22"/>
    <cellStyle name="Normal 11" xfId="23"/>
    <cellStyle name="Normal 12" xfId="24"/>
    <cellStyle name="Normal 13" xfId="25"/>
    <cellStyle name="Normal 14" xfId="79"/>
    <cellStyle name="Normal 2" xfId="26"/>
    <cellStyle name="Normal 2 2" xfId="27"/>
    <cellStyle name="Normal 2 3" xfId="28"/>
    <cellStyle name="Normal 2 4" xfId="81"/>
    <cellStyle name="Normal 2 5" xfId="82"/>
    <cellStyle name="Normal 3" xfId="29"/>
    <cellStyle name="Normal 4" xfId="30"/>
    <cellStyle name="Normal 5" xfId="31"/>
    <cellStyle name="Normal 6" xfId="32"/>
    <cellStyle name="Normal 7" xfId="33"/>
    <cellStyle name="Normal 8" xfId="34"/>
    <cellStyle name="Normal 9" xfId="35"/>
    <cellStyle name="Note" xfId="52" builtinId="10" customBuiltin="1"/>
    <cellStyle name="Note 2" xfId="36"/>
    <cellStyle name="Output" xfId="47" builtinId="21" customBuiltin="1"/>
    <cellStyle name="Percent" xfId="37" builtinId="5"/>
    <cellStyle name="Percent 2" xfId="38"/>
    <cellStyle name="Title 2" xfId="80"/>
    <cellStyle name="Total" xfId="54" builtinId="25" customBuiltin="1"/>
    <cellStyle name="Warning Text" xfId="5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Boot!$A$39</c:f>
              <c:strCache>
                <c:ptCount val="1"/>
                <c:pt idx="0">
                  <c:v>คอนซูเมอร์</c:v>
                </c:pt>
              </c:strCache>
            </c:strRef>
          </c:tx>
          <c:invertIfNegative val="0"/>
          <c:cat>
            <c:strRef>
              <c:f>Boot!$B$36:$J$38</c:f>
              <c:strCache>
                <c:ptCount val="9"/>
                <c:pt idx="0">
                  <c:v>ยอดยกมา
(1)</c:v>
                </c:pt>
                <c:pt idx="1">
                  <c:v>ยอดขายเดือน
กุมภาพันธ์ 2564
(2)</c:v>
                </c:pt>
                <c:pt idx="2">
                  <c:v>ค่าใช้จ่าย
(3)</c:v>
                </c:pt>
                <c:pt idx="3">
                  <c:v>CN
(4)</c:v>
                </c:pt>
                <c:pt idx="4">
                  <c:v>ยอดที่ต้องชำระ(5)
[(1)+(2)-(3)-(4)]
</c:v>
                </c:pt>
                <c:pt idx="5">
                  <c:v>ยอดที่ลูกค้าจ่าย
(6)</c:v>
                </c:pt>
                <c:pt idx="6">
                  <c:v>% ที่เก็บได้
 [(6/5)*100]
</c:v>
                </c:pt>
                <c:pt idx="7">
                  <c:v>ยอดที่ค้างชำระ(7)
(5) - (6)</c:v>
                </c:pt>
                <c:pt idx="8">
                  <c:v>% ยอดคงค้าง
 [(7/5)]*100]
</c:v>
                </c:pt>
              </c:strCache>
            </c:strRef>
          </c:cat>
          <c:val>
            <c:numRef>
              <c:f>Boot!$B$39:$J$39</c:f>
              <c:numCache>
                <c:formatCode>_(* #,##0.00_);_(* \(#,##0.00\);_(* "-"??_);_(@_)</c:formatCode>
                <c:ptCount val="9"/>
                <c:pt idx="0" formatCode="#,##0.00_);[Red]\(#,##0.00\)">
                  <c:v>1202172.48</c:v>
                </c:pt>
                <c:pt idx="1">
                  <c:v>125095.96</c:v>
                </c:pt>
                <c:pt idx="2">
                  <c:v>0</c:v>
                </c:pt>
                <c:pt idx="3">
                  <c:v>0</c:v>
                </c:pt>
                <c:pt idx="4" formatCode="#,##0.00_);[Red]\(#,##0.00\)">
                  <c:v>1327268.44</c:v>
                </c:pt>
                <c:pt idx="5">
                  <c:v>0</c:v>
                </c:pt>
                <c:pt idx="6">
                  <c:v>0</c:v>
                </c:pt>
                <c:pt idx="7" formatCode="#,##0.00_);[Red]\(#,##0.00\)">
                  <c:v>1327268.44</c:v>
                </c:pt>
                <c:pt idx="8" formatCode="#,##0.00_);[Red]\(#,##0.00\)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90-4916-9D36-3B2881673ECB}"/>
            </c:ext>
          </c:extLst>
        </c:ser>
        <c:ser>
          <c:idx val="1"/>
          <c:order val="1"/>
          <c:tx>
            <c:strRef>
              <c:f>Boot!$A$40</c:f>
              <c:strCache>
                <c:ptCount val="1"/>
                <c:pt idx="0">
                  <c:v>Cerebos(STL)</c:v>
                </c:pt>
              </c:strCache>
            </c:strRef>
          </c:tx>
          <c:invertIfNegative val="0"/>
          <c:cat>
            <c:strRef>
              <c:f>Boot!$B$36:$J$38</c:f>
              <c:strCache>
                <c:ptCount val="9"/>
                <c:pt idx="0">
                  <c:v>ยอดยกมา
(1)</c:v>
                </c:pt>
                <c:pt idx="1">
                  <c:v>ยอดขายเดือน
กุมภาพันธ์ 2564
(2)</c:v>
                </c:pt>
                <c:pt idx="2">
                  <c:v>ค่าใช้จ่าย
(3)</c:v>
                </c:pt>
                <c:pt idx="3">
                  <c:v>CN
(4)</c:v>
                </c:pt>
                <c:pt idx="4">
                  <c:v>ยอดที่ต้องชำระ(5)
[(1)+(2)-(3)-(4)]
</c:v>
                </c:pt>
                <c:pt idx="5">
                  <c:v>ยอดที่ลูกค้าจ่าย
(6)</c:v>
                </c:pt>
                <c:pt idx="6">
                  <c:v>% ที่เก็บได้
 [(6/5)*100]
</c:v>
                </c:pt>
                <c:pt idx="7">
                  <c:v>ยอดที่ค้างชำระ(7)
(5) - (6)</c:v>
                </c:pt>
                <c:pt idx="8">
                  <c:v>% ยอดคงค้าง
 [(7/5)]*100]
</c:v>
                </c:pt>
              </c:strCache>
            </c:strRef>
          </c:cat>
          <c:val>
            <c:numRef>
              <c:f>Boot!$B$40:$J$40</c:f>
              <c:numCache>
                <c:formatCode>_(* #,##0.00_);_(* \(#,##0.00\);_(* "-"??_);_(@_)</c:formatCode>
                <c:ptCount val="9"/>
                <c:pt idx="0" formatCode="#,##0.00_);[Red]\(#,##0.00\)">
                  <c:v>20353.070000000003</c:v>
                </c:pt>
                <c:pt idx="1">
                  <c:v>21516.15</c:v>
                </c:pt>
                <c:pt idx="2">
                  <c:v>223.1</c:v>
                </c:pt>
                <c:pt idx="3">
                  <c:v>258.19</c:v>
                </c:pt>
                <c:pt idx="4">
                  <c:v>41387.93</c:v>
                </c:pt>
                <c:pt idx="5">
                  <c:v>32348.17</c:v>
                </c:pt>
                <c:pt idx="6">
                  <c:v>78.158463107480841</c:v>
                </c:pt>
                <c:pt idx="7" formatCode="#,##0.00_);[Red]\(#,##0.00\)">
                  <c:v>9039.760000000002</c:v>
                </c:pt>
                <c:pt idx="8" formatCode="#,##0.00_);[Red]\(#,##0.00\)">
                  <c:v>21.841536892519152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0-4916-9D36-3B2881673ECB}"/>
            </c:ext>
          </c:extLst>
        </c:ser>
        <c:ser>
          <c:idx val="2"/>
          <c:order val="2"/>
          <c:tx>
            <c:strRef>
              <c:f>Boot!$A$41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Boot!$B$36:$J$38</c:f>
              <c:strCache>
                <c:ptCount val="9"/>
                <c:pt idx="0">
                  <c:v>ยอดยกมา
(1)</c:v>
                </c:pt>
                <c:pt idx="1">
                  <c:v>ยอดขายเดือน
กุมภาพันธ์ 2564
(2)</c:v>
                </c:pt>
                <c:pt idx="2">
                  <c:v>ค่าใช้จ่าย
(3)</c:v>
                </c:pt>
                <c:pt idx="3">
                  <c:v>CN
(4)</c:v>
                </c:pt>
                <c:pt idx="4">
                  <c:v>ยอดที่ต้องชำระ(5)
[(1)+(2)-(3)-(4)]
</c:v>
                </c:pt>
                <c:pt idx="5">
                  <c:v>ยอดที่ลูกค้าจ่าย
(6)</c:v>
                </c:pt>
                <c:pt idx="6">
                  <c:v>% ที่เก็บได้
 [(6/5)*100]
</c:v>
                </c:pt>
                <c:pt idx="7">
                  <c:v>ยอดที่ค้างชำระ(7)
(5) - (6)</c:v>
                </c:pt>
                <c:pt idx="8">
                  <c:v>% ยอดคงค้าง
 [(7/5)]*100]
</c:v>
                </c:pt>
              </c:strCache>
            </c:strRef>
          </c:cat>
          <c:val>
            <c:numRef>
              <c:f>Boot!$B$41:$J$41</c:f>
              <c:numCache>
                <c:formatCode>_(* #,##0.00_);_(* \(#,##0.00\);_(* "-"??_);_(@_)</c:formatCode>
                <c:ptCount val="9"/>
                <c:pt idx="0">
                  <c:v>1222525.55</c:v>
                </c:pt>
                <c:pt idx="1">
                  <c:v>146612.11000000002</c:v>
                </c:pt>
                <c:pt idx="2" formatCode="#,##0.00_);[Red]\(#,##0.00\)">
                  <c:v>223.1</c:v>
                </c:pt>
                <c:pt idx="3" formatCode="#,##0.00_);[Red]\(#,##0.00\)">
                  <c:v>258.19</c:v>
                </c:pt>
                <c:pt idx="4" formatCode="#,##0.00_);[Red]\(#,##0.00\)">
                  <c:v>1368656.3699999999</c:v>
                </c:pt>
                <c:pt idx="5">
                  <c:v>32348.17</c:v>
                </c:pt>
                <c:pt idx="6" formatCode="#,##0.00_);[Red]\(#,##0.00\)">
                  <c:v>2.363498297238773</c:v>
                </c:pt>
                <c:pt idx="7" formatCode="#,##0.00_);[Red]\(#,##0.00\)">
                  <c:v>1336308.2</c:v>
                </c:pt>
                <c:pt idx="8" formatCode="#,##0.00_);[Red]\(#,##0.00\)">
                  <c:v>97.636501702761237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90-4916-9D36-3B288167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44544"/>
        <c:axId val="218446080"/>
      </c:barChart>
      <c:catAx>
        <c:axId val="21844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446080"/>
        <c:crosses val="autoZero"/>
        <c:auto val="1"/>
        <c:lblAlgn val="ctr"/>
        <c:lblOffset val="100"/>
        <c:noMultiLvlLbl val="0"/>
      </c:catAx>
      <c:valAx>
        <c:axId val="218446080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2184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79844" cy="73818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INO\&#3648;&#3629;\B2S\&#3619;&#3634;&#3618;&#3591;&#3634;&#3609;&#3618;&#3629;&#3604;&#3648;&#3585;&#3655;&#3610;%20B2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INO\&#3648;&#3629;\Big-c\&#3619;&#3634;&#3618;&#3591;&#3634;&#3609;&#3618;&#3629;&#3604;&#3648;&#3585;&#3655;&#3610;%20Big-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INO\&#3648;&#3629;\7-11\&#3619;&#3634;&#3618;&#3591;&#3634;&#3609;&#3618;&#3629;&#3604;&#3648;&#3585;&#3655;&#3610;%207-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kro\2021\M.2.2021\Export%200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nika\Desktop\ARG0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ยอดเก็บ B2S ปี 59"/>
      <sheetName val="ปี 60"/>
      <sheetName val="ปี 61"/>
      <sheetName val="ปี 62"/>
      <sheetName val="ปี 63"/>
      <sheetName val="ปี 64"/>
    </sheetNames>
    <sheetDataSet>
      <sheetData sheetId="0"/>
      <sheetData sheetId="1"/>
      <sheetData sheetId="2"/>
      <sheetData sheetId="3"/>
      <sheetData sheetId="4">
        <row r="215">
          <cell r="I215">
            <v>1580915.0599999586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ปี 59"/>
      <sheetName val="ปี 60"/>
      <sheetName val="ปี 61"/>
      <sheetName val="ปี 62"/>
      <sheetName val="ปี 63"/>
      <sheetName val="ปี 64"/>
    </sheetNames>
    <sheetDataSet>
      <sheetData sheetId="0"/>
      <sheetData sheetId="1"/>
      <sheetData sheetId="2"/>
      <sheetData sheetId="3"/>
      <sheetData sheetId="4">
        <row r="279">
          <cell r="I279">
            <v>12285184.42999886</v>
          </cell>
        </row>
        <row r="280">
          <cell r="I280">
            <v>1.9371509552001953E-7</v>
          </cell>
        </row>
        <row r="282">
          <cell r="I282">
            <v>3.0000228434801102E-6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ปี 59"/>
      <sheetName val="ปี 60"/>
      <sheetName val="ปี 61"/>
      <sheetName val="ปี 62"/>
      <sheetName val="ปี 63"/>
      <sheetName val="ปี 64"/>
    </sheetNames>
    <sheetDataSet>
      <sheetData sheetId="0"/>
      <sheetData sheetId="1"/>
      <sheetData sheetId="2"/>
      <sheetData sheetId="3"/>
      <sheetData sheetId="4">
        <row r="186">
          <cell r="I186">
            <v>18314197.430012345</v>
          </cell>
        </row>
        <row r="187">
          <cell r="I187">
            <v>37534459.090000689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"/>
      <sheetName val="FF"/>
      <sheetName val="STL"/>
    </sheetNames>
    <sheetDataSet>
      <sheetData sheetId="0"/>
      <sheetData sheetId="1"/>
      <sheetData sheetId="2">
        <row r="156">
          <cell r="I156">
            <v>76512696.459999993</v>
          </cell>
        </row>
        <row r="211">
          <cell r="I211">
            <v>34138313.550000004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H7">
            <v>12151.85</v>
          </cell>
        </row>
        <row r="9">
          <cell r="H9">
            <v>5528.28</v>
          </cell>
        </row>
        <row r="12">
          <cell r="H12">
            <v>5835.41</v>
          </cell>
        </row>
        <row r="16">
          <cell r="H16">
            <v>2457.0100000000002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1"/>
  <sheetViews>
    <sheetView topLeftCell="A194" zoomScaleNormal="100" workbookViewId="0">
      <selection activeCell="H195" sqref="H195"/>
    </sheetView>
  </sheetViews>
  <sheetFormatPr defaultRowHeight="20.100000000000001" customHeight="1" x14ac:dyDescent="0.25"/>
  <cols>
    <col min="1" max="1" width="26.5703125" style="354" customWidth="1"/>
    <col min="2" max="2" width="26.140625" style="354" bestFit="1" customWidth="1"/>
    <col min="3" max="7" width="20.7109375" style="357" customWidth="1"/>
    <col min="8" max="8" width="20.7109375" style="22" customWidth="1"/>
    <col min="9" max="9" width="20.7109375" style="357" customWidth="1"/>
    <col min="10" max="10" width="20.7109375" style="354" customWidth="1"/>
    <col min="11" max="16384" width="9.140625" style="354"/>
  </cols>
  <sheetData>
    <row r="1" spans="1:10" ht="20.100000000000001" customHeight="1" x14ac:dyDescent="0.25">
      <c r="A1" s="895" t="s">
        <v>100</v>
      </c>
      <c r="B1" s="895"/>
      <c r="C1" s="895"/>
      <c r="D1" s="895"/>
      <c r="E1" s="895"/>
      <c r="F1" s="895"/>
      <c r="G1" s="895"/>
      <c r="H1" s="895"/>
      <c r="I1" s="895"/>
      <c r="J1" s="895"/>
    </row>
    <row r="2" spans="1:10" ht="20.100000000000001" customHeight="1" thickBot="1" x14ac:dyDescent="0.3">
      <c r="A2" s="896"/>
      <c r="B2" s="896"/>
      <c r="C2" s="896"/>
      <c r="D2" s="896"/>
      <c r="E2" s="896"/>
      <c r="F2" s="896"/>
      <c r="G2" s="896"/>
      <c r="H2" s="896"/>
      <c r="I2" s="896"/>
      <c r="J2" s="896"/>
    </row>
    <row r="3" spans="1:10" ht="51.75" customHeight="1" thickBot="1" x14ac:dyDescent="0.3">
      <c r="A3" s="169" t="s">
        <v>13</v>
      </c>
      <c r="B3" s="171" t="s">
        <v>14</v>
      </c>
      <c r="C3" s="171" t="s">
        <v>58</v>
      </c>
      <c r="D3" s="171" t="s">
        <v>17</v>
      </c>
      <c r="E3" s="171" t="s">
        <v>18</v>
      </c>
      <c r="F3" s="171" t="s">
        <v>183</v>
      </c>
      <c r="G3" s="171" t="s">
        <v>59</v>
      </c>
      <c r="H3" s="171" t="s">
        <v>45</v>
      </c>
      <c r="I3" s="171" t="s">
        <v>61</v>
      </c>
      <c r="J3" s="171" t="s">
        <v>46</v>
      </c>
    </row>
    <row r="4" spans="1:10" ht="20.100000000000001" customHeight="1" x14ac:dyDescent="0.25">
      <c r="A4" s="378" t="s">
        <v>47</v>
      </c>
      <c r="B4" s="377">
        <v>10865258.089999959</v>
      </c>
      <c r="C4" s="372">
        <f>218836569-29792.39</f>
        <v>218806776.61000001</v>
      </c>
      <c r="D4" s="422">
        <v>43475045.439999998</v>
      </c>
      <c r="E4" s="373">
        <v>2822269.42</v>
      </c>
      <c r="F4" s="372">
        <f>+B4+C4-D4-E4</f>
        <v>183374719.84</v>
      </c>
      <c r="G4" s="374">
        <f>204211877.46-D4-E4</f>
        <v>157914562.60000002</v>
      </c>
      <c r="H4" s="373">
        <f>+G4/F4*100</f>
        <v>86.115775793841848</v>
      </c>
      <c r="I4" s="234">
        <f>F4-G4</f>
        <v>25460157.23999998</v>
      </c>
      <c r="J4" s="373">
        <f>+I4/F4*100</f>
        <v>13.884224206158155</v>
      </c>
    </row>
    <row r="5" spans="1:10" ht="20.100000000000001" customHeight="1" x14ac:dyDescent="0.25">
      <c r="A5" s="381" t="s">
        <v>50</v>
      </c>
      <c r="B5" s="181">
        <v>35229414.690000005</v>
      </c>
      <c r="C5" s="181">
        <v>73709557.620000005</v>
      </c>
      <c r="D5" s="373">
        <v>0</v>
      </c>
      <c r="E5" s="386">
        <v>0</v>
      </c>
      <c r="F5" s="372">
        <f>B5+C5-D5-E5</f>
        <v>108938972.31</v>
      </c>
      <c r="G5" s="374">
        <v>106494113.22</v>
      </c>
      <c r="H5" s="373">
        <f>+G5/F5*100</f>
        <v>97.755753484581405</v>
      </c>
      <c r="I5" s="234">
        <f>F5-G5</f>
        <v>2444859.0900000036</v>
      </c>
      <c r="J5" s="373">
        <f>+I5/F5*100</f>
        <v>2.2442465154185953</v>
      </c>
    </row>
    <row r="6" spans="1:10" s="360" customFormat="1" ht="20.100000000000001" customHeight="1" thickBot="1" x14ac:dyDescent="0.3">
      <c r="A6" s="336" t="s">
        <v>36</v>
      </c>
      <c r="B6" s="239">
        <f>SUM(B4:B5)</f>
        <v>46094672.779999964</v>
      </c>
      <c r="C6" s="239">
        <f>SUM(C4:C5)</f>
        <v>292516334.23000002</v>
      </c>
      <c r="D6" s="186">
        <f>SUM(D4:D5)</f>
        <v>43475045.439999998</v>
      </c>
      <c r="E6" s="186">
        <f>SUM(E4:E5)</f>
        <v>2822269.42</v>
      </c>
      <c r="F6" s="376">
        <f>B6+C6-D6-E6</f>
        <v>292313692.14999998</v>
      </c>
      <c r="G6" s="187">
        <f>SUM(G4:G5)</f>
        <v>264408675.82000002</v>
      </c>
      <c r="H6" s="186">
        <f>+G6/F6*100</f>
        <v>90.453742989336078</v>
      </c>
      <c r="I6" s="240">
        <f>SUM(I4:I5)</f>
        <v>27905016.329999983</v>
      </c>
      <c r="J6" s="186">
        <f>+I6/F6*100</f>
        <v>9.5462570106639415</v>
      </c>
    </row>
    <row r="7" spans="1:10" s="360" customFormat="1" ht="20.100000000000001" customHeight="1" thickTop="1" x14ac:dyDescent="0.25">
      <c r="A7" s="114"/>
      <c r="B7" s="34"/>
      <c r="C7" s="34"/>
      <c r="D7" s="362"/>
      <c r="E7" s="362"/>
      <c r="F7" s="361"/>
      <c r="G7" s="365"/>
      <c r="H7" s="362"/>
      <c r="I7" s="117"/>
      <c r="J7" s="362"/>
    </row>
    <row r="8" spans="1:10" ht="20.100000000000001" customHeight="1" x14ac:dyDescent="0.25">
      <c r="A8" s="363" t="s">
        <v>37</v>
      </c>
    </row>
    <row r="9" spans="1:10" ht="20.100000000000001" customHeight="1" x14ac:dyDescent="0.25">
      <c r="A9" s="134" t="s">
        <v>96</v>
      </c>
      <c r="B9" s="135" t="s">
        <v>101</v>
      </c>
      <c r="C9" s="136" t="s">
        <v>52</v>
      </c>
    </row>
    <row r="10" spans="1:10" ht="20.100000000000001" customHeight="1" x14ac:dyDescent="0.25">
      <c r="B10" s="354" t="s">
        <v>47</v>
      </c>
      <c r="C10" s="357">
        <v>23204013.670000002</v>
      </c>
      <c r="D10" s="357" t="s">
        <v>55</v>
      </c>
      <c r="E10" s="357" t="s">
        <v>102</v>
      </c>
    </row>
    <row r="11" spans="1:10" ht="20.100000000000001" customHeight="1" x14ac:dyDescent="0.25">
      <c r="B11" s="354" t="s">
        <v>47</v>
      </c>
      <c r="C11" s="357">
        <v>2256143.5699999998</v>
      </c>
      <c r="D11" s="357" t="s">
        <v>55</v>
      </c>
      <c r="E11" s="357" t="s">
        <v>103</v>
      </c>
    </row>
    <row r="12" spans="1:10" ht="20.100000000000001" customHeight="1" x14ac:dyDescent="0.25">
      <c r="B12" s="354" t="s">
        <v>50</v>
      </c>
      <c r="C12" s="357">
        <v>2444859.0900000036</v>
      </c>
      <c r="D12" s="357" t="s">
        <v>55</v>
      </c>
      <c r="E12" s="357" t="s">
        <v>102</v>
      </c>
    </row>
    <row r="13" spans="1:10" ht="18.75" customHeight="1" thickBot="1" x14ac:dyDescent="0.3">
      <c r="C13" s="189">
        <f>SUM(C10:C12)</f>
        <v>27905016.330000006</v>
      </c>
      <c r="D13" s="370" t="s">
        <v>55</v>
      </c>
    </row>
    <row r="14" spans="1:10" ht="20.100000000000001" customHeight="1" thickTop="1" x14ac:dyDescent="0.25"/>
    <row r="15" spans="1:10" ht="20.100000000000001" customHeight="1" x14ac:dyDescent="0.25">
      <c r="A15" s="895" t="s">
        <v>275</v>
      </c>
      <c r="B15" s="895"/>
      <c r="C15" s="895"/>
      <c r="D15" s="895"/>
      <c r="E15" s="895"/>
      <c r="F15" s="895"/>
      <c r="G15" s="895"/>
      <c r="H15" s="895"/>
      <c r="I15" s="895"/>
      <c r="J15" s="895"/>
    </row>
    <row r="16" spans="1:10" ht="20.100000000000001" customHeight="1" thickBot="1" x14ac:dyDescent="0.3">
      <c r="A16" s="896"/>
      <c r="B16" s="896"/>
      <c r="C16" s="896"/>
      <c r="D16" s="896"/>
      <c r="E16" s="896"/>
      <c r="F16" s="896"/>
      <c r="G16" s="896"/>
      <c r="H16" s="896"/>
      <c r="I16" s="896"/>
      <c r="J16" s="896"/>
    </row>
    <row r="17" spans="1:10" ht="50.25" thickBot="1" x14ac:dyDescent="0.3">
      <c r="A17" s="169" t="s">
        <v>263</v>
      </c>
      <c r="B17" s="171" t="s">
        <v>14</v>
      </c>
      <c r="C17" s="171" t="s">
        <v>253</v>
      </c>
      <c r="D17" s="171" t="s">
        <v>17</v>
      </c>
      <c r="E17" s="171" t="s">
        <v>18</v>
      </c>
      <c r="F17" s="171" t="s">
        <v>183</v>
      </c>
      <c r="G17" s="171" t="s">
        <v>59</v>
      </c>
      <c r="H17" s="171" t="s">
        <v>45</v>
      </c>
      <c r="I17" s="171" t="s">
        <v>61</v>
      </c>
      <c r="J17" s="171" t="s">
        <v>46</v>
      </c>
    </row>
    <row r="18" spans="1:10" ht="20.100000000000001" customHeight="1" x14ac:dyDescent="0.25">
      <c r="A18" s="378" t="s">
        <v>47</v>
      </c>
      <c r="B18" s="377">
        <v>25460157.23999998</v>
      </c>
      <c r="C18" s="372">
        <f>208061935.47-21559.65</f>
        <v>208040375.81999999</v>
      </c>
      <c r="D18" s="423">
        <v>0</v>
      </c>
      <c r="E18" s="373">
        <v>0</v>
      </c>
      <c r="F18" s="372">
        <f>+B18+C18-D18-E18</f>
        <v>233500533.05999997</v>
      </c>
      <c r="G18" s="374">
        <v>224863174.19</v>
      </c>
      <c r="H18" s="373">
        <f>+G18/F18*100</f>
        <v>96.300925416825265</v>
      </c>
      <c r="I18" s="234">
        <f>F18-G18</f>
        <v>8637358.869999975</v>
      </c>
      <c r="J18" s="373">
        <f>+I18/F18*100</f>
        <v>3.6990745831747338</v>
      </c>
    </row>
    <row r="19" spans="1:10" ht="20.100000000000001" customHeight="1" x14ac:dyDescent="0.25">
      <c r="A19" s="381" t="s">
        <v>50</v>
      </c>
      <c r="B19" s="181">
        <v>2444859.0900000036</v>
      </c>
      <c r="C19" s="181">
        <v>68294742.269999996</v>
      </c>
      <c r="D19" s="373">
        <v>0</v>
      </c>
      <c r="E19" s="386">
        <v>0</v>
      </c>
      <c r="F19" s="372">
        <f>B19+C19-D19-E19</f>
        <v>70739601.359999999</v>
      </c>
      <c r="G19" s="374">
        <v>70739601.359999999</v>
      </c>
      <c r="H19" s="373">
        <f>+G19/F19*100</f>
        <v>100</v>
      </c>
      <c r="I19" s="234">
        <f>F19-G19</f>
        <v>0</v>
      </c>
      <c r="J19" s="373">
        <f>+I19/F19*100</f>
        <v>0</v>
      </c>
    </row>
    <row r="20" spans="1:10" s="119" customFormat="1" ht="20.100000000000001" customHeight="1" thickBot="1" x14ac:dyDescent="0.3">
      <c r="A20" s="336" t="s">
        <v>36</v>
      </c>
      <c r="B20" s="239">
        <f t="shared" ref="B20:G20" si="0">SUM(B18:B19)</f>
        <v>27905016.329999983</v>
      </c>
      <c r="C20" s="239">
        <f t="shared" si="0"/>
        <v>276335118.08999997</v>
      </c>
      <c r="D20" s="186">
        <f t="shared" si="0"/>
        <v>0</v>
      </c>
      <c r="E20" s="186">
        <f t="shared" si="0"/>
        <v>0</v>
      </c>
      <c r="F20" s="376">
        <f t="shared" si="0"/>
        <v>304240134.41999996</v>
      </c>
      <c r="G20" s="187">
        <f t="shared" si="0"/>
        <v>295602775.55000001</v>
      </c>
      <c r="H20" s="186">
        <f>+G20/F20*100</f>
        <v>97.161006095903119</v>
      </c>
      <c r="I20" s="240">
        <f>SUM(I18:I19)</f>
        <v>8637358.869999975</v>
      </c>
      <c r="J20" s="186">
        <f>+I20/F20*100</f>
        <v>2.8389939040968875</v>
      </c>
    </row>
    <row r="21" spans="1:10" s="119" customFormat="1" ht="20.100000000000001" customHeight="1" thickTop="1" x14ac:dyDescent="0.25">
      <c r="A21" s="114"/>
      <c r="B21" s="34"/>
      <c r="C21" s="34"/>
      <c r="D21" s="362"/>
      <c r="E21" s="362"/>
      <c r="F21" s="361"/>
      <c r="G21" s="365"/>
      <c r="H21" s="362"/>
      <c r="I21" s="117"/>
      <c r="J21" s="362"/>
    </row>
    <row r="22" spans="1:10" ht="20.100000000000001" customHeight="1" x14ac:dyDescent="0.25">
      <c r="A22" s="363" t="s">
        <v>37</v>
      </c>
    </row>
    <row r="23" spans="1:10" ht="20.100000000000001" customHeight="1" x14ac:dyDescent="0.25">
      <c r="A23" s="134" t="s">
        <v>96</v>
      </c>
      <c r="B23" s="135" t="s">
        <v>276</v>
      </c>
      <c r="C23" s="136" t="s">
        <v>52</v>
      </c>
    </row>
    <row r="24" spans="1:10" ht="20.100000000000001" customHeight="1" x14ac:dyDescent="0.25">
      <c r="B24" s="354" t="s">
        <v>47</v>
      </c>
      <c r="C24" s="357">
        <v>8437019.0399999991</v>
      </c>
      <c r="D24" s="357" t="s">
        <v>55</v>
      </c>
      <c r="E24" s="357" t="s">
        <v>277</v>
      </c>
    </row>
    <row r="25" spans="1:10" ht="20.100000000000001" customHeight="1" x14ac:dyDescent="0.25">
      <c r="B25" s="354" t="s">
        <v>47</v>
      </c>
      <c r="C25" s="357">
        <v>200339.83</v>
      </c>
      <c r="D25" s="357" t="s">
        <v>55</v>
      </c>
      <c r="E25" s="357" t="s">
        <v>103</v>
      </c>
    </row>
    <row r="26" spans="1:10" ht="20.100000000000001" customHeight="1" thickBot="1" x14ac:dyDescent="0.3">
      <c r="C26" s="189">
        <f>SUM(C24:C25)</f>
        <v>8637358.8699999992</v>
      </c>
      <c r="D26" s="370" t="s">
        <v>55</v>
      </c>
    </row>
    <row r="27" spans="1:10" ht="20.100000000000001" customHeight="1" thickTop="1" x14ac:dyDescent="0.25"/>
    <row r="28" spans="1:10" ht="20.100000000000001" customHeight="1" x14ac:dyDescent="0.25">
      <c r="A28" s="363"/>
    </row>
    <row r="29" spans="1:10" ht="20.100000000000001" customHeight="1" x14ac:dyDescent="0.25">
      <c r="A29" s="897" t="s">
        <v>429</v>
      </c>
      <c r="B29" s="897"/>
      <c r="C29" s="897"/>
      <c r="D29" s="897"/>
      <c r="E29" s="897"/>
      <c r="F29" s="897"/>
      <c r="G29" s="897"/>
      <c r="H29" s="897"/>
      <c r="I29" s="897"/>
      <c r="J29" s="897"/>
    </row>
    <row r="30" spans="1:10" ht="17.25" thickBot="1" x14ac:dyDescent="0.3">
      <c r="A30" s="898"/>
      <c r="B30" s="898"/>
      <c r="C30" s="898"/>
      <c r="D30" s="898"/>
      <c r="E30" s="898"/>
      <c r="F30" s="898"/>
      <c r="G30" s="898"/>
      <c r="H30" s="898"/>
      <c r="I30" s="898"/>
      <c r="J30" s="898"/>
    </row>
    <row r="31" spans="1:10" ht="50.25" thickBot="1" x14ac:dyDescent="0.3">
      <c r="A31" s="169" t="s">
        <v>373</v>
      </c>
      <c r="B31" s="171" t="s">
        <v>14</v>
      </c>
      <c r="C31" s="171" t="s">
        <v>335</v>
      </c>
      <c r="D31" s="323" t="s">
        <v>17</v>
      </c>
      <c r="E31" s="171" t="s">
        <v>18</v>
      </c>
      <c r="F31" s="171" t="s">
        <v>183</v>
      </c>
      <c r="G31" s="171" t="s">
        <v>59</v>
      </c>
      <c r="H31" s="171" t="s">
        <v>45</v>
      </c>
      <c r="I31" s="171" t="s">
        <v>61</v>
      </c>
      <c r="J31" s="171" t="s">
        <v>46</v>
      </c>
    </row>
    <row r="32" spans="1:10" ht="20.100000000000001" customHeight="1" x14ac:dyDescent="0.3">
      <c r="A32" s="215" t="s">
        <v>47</v>
      </c>
      <c r="B32" s="219">
        <v>8637358.869999975</v>
      </c>
      <c r="C32" s="217">
        <f>159686527.54-71662.71</f>
        <v>159614864.82999998</v>
      </c>
      <c r="D32" s="536">
        <v>24678083.73</v>
      </c>
      <c r="E32" s="218">
        <v>2680566.5699999998</v>
      </c>
      <c r="F32" s="217">
        <f>+B32+C32-D32-E32</f>
        <v>140893573.39999998</v>
      </c>
      <c r="G32" s="216">
        <f>160431253.84-D32-E32</f>
        <v>133072603.54000002</v>
      </c>
      <c r="H32" s="218">
        <f>+G32/F32*100</f>
        <v>94.449022995679115</v>
      </c>
      <c r="I32" s="537">
        <f>F32-G32</f>
        <v>7820969.8599999547</v>
      </c>
      <c r="J32" s="218">
        <f>+I32/F32*100</f>
        <v>5.5509770043208766</v>
      </c>
    </row>
    <row r="33" spans="1:10" ht="20.100000000000001" customHeight="1" x14ac:dyDescent="0.3">
      <c r="A33" s="538" t="s">
        <v>50</v>
      </c>
      <c r="B33" s="539">
        <v>0</v>
      </c>
      <c r="C33" s="539">
        <f>21454490-380465.41</f>
        <v>21074024.59</v>
      </c>
      <c r="D33" s="218">
        <v>0</v>
      </c>
      <c r="E33" s="540">
        <v>5020.51</v>
      </c>
      <c r="F33" s="217">
        <f>B33+C33-D33-E33</f>
        <v>21069004.079999998</v>
      </c>
      <c r="G33" s="216">
        <f>20835970.48-D33-E33</f>
        <v>20830949.969999999</v>
      </c>
      <c r="H33" s="218">
        <f>+G33/F33*100</f>
        <v>98.87012167686666</v>
      </c>
      <c r="I33" s="537">
        <f>F33-G33</f>
        <v>238054.1099999994</v>
      </c>
      <c r="J33" s="218">
        <f>+I33/F33*100</f>
        <v>1.129878323133342</v>
      </c>
    </row>
    <row r="34" spans="1:10" ht="20.100000000000001" customHeight="1" thickBot="1" x14ac:dyDescent="0.35">
      <c r="A34" s="541" t="s">
        <v>36</v>
      </c>
      <c r="B34" s="542">
        <f>SUM(B32:B33)</f>
        <v>8637358.869999975</v>
      </c>
      <c r="C34" s="542">
        <f>SUM(C32:C33)</f>
        <v>180688889.41999999</v>
      </c>
      <c r="D34" s="543">
        <f>SUM(D32:D33)</f>
        <v>24678083.73</v>
      </c>
      <c r="E34" s="543">
        <f>SUM(E32:E33)</f>
        <v>2685587.0799999996</v>
      </c>
      <c r="F34" s="544">
        <f>B34+C34-D34-E34</f>
        <v>161962577.47999996</v>
      </c>
      <c r="G34" s="545">
        <f>SUM(G32:G33)</f>
        <v>153903553.51000002</v>
      </c>
      <c r="H34" s="543">
        <f>+G34/F34*100</f>
        <v>95.024144407065208</v>
      </c>
      <c r="I34" s="546">
        <f>SUM(I32:I33)</f>
        <v>8059023.9699999541</v>
      </c>
      <c r="J34" s="547">
        <f>+I34/F34*100</f>
        <v>4.9758555929348107</v>
      </c>
    </row>
    <row r="35" spans="1:10" ht="20.100000000000001" customHeight="1" thickTop="1" x14ac:dyDescent="0.3">
      <c r="A35" s="363" t="s">
        <v>37</v>
      </c>
      <c r="B35" s="131"/>
      <c r="C35" s="132"/>
      <c r="D35" s="132"/>
      <c r="E35" s="132"/>
      <c r="F35" s="132"/>
      <c r="G35" s="132"/>
      <c r="H35" s="17"/>
      <c r="I35" s="132"/>
      <c r="J35" s="131"/>
    </row>
    <row r="36" spans="1:10" ht="20.100000000000001" customHeight="1" x14ac:dyDescent="0.3">
      <c r="A36" s="131"/>
      <c r="B36" s="131"/>
      <c r="C36" s="132"/>
      <c r="D36" s="132"/>
      <c r="E36" s="132"/>
      <c r="F36" s="132"/>
      <c r="G36" s="132"/>
      <c r="H36" s="17"/>
      <c r="I36" s="132"/>
      <c r="J36" s="131"/>
    </row>
    <row r="37" spans="1:10" ht="20.100000000000001" customHeight="1" x14ac:dyDescent="0.3">
      <c r="A37" s="134" t="s">
        <v>96</v>
      </c>
      <c r="B37" s="135" t="s">
        <v>428</v>
      </c>
      <c r="C37" s="136" t="s">
        <v>52</v>
      </c>
      <c r="D37" s="132"/>
      <c r="E37" s="132"/>
      <c r="F37" s="132"/>
      <c r="G37" s="132"/>
      <c r="H37" s="17"/>
      <c r="I37" s="132"/>
      <c r="J37" s="131"/>
    </row>
    <row r="38" spans="1:10" ht="20.100000000000001" customHeight="1" x14ac:dyDescent="0.3">
      <c r="A38" s="131"/>
      <c r="B38" s="131" t="s">
        <v>47</v>
      </c>
      <c r="C38" s="132">
        <v>7693206.8099999996</v>
      </c>
      <c r="D38" s="132"/>
      <c r="E38" s="132" t="s">
        <v>427</v>
      </c>
      <c r="F38" s="132"/>
      <c r="G38" s="132"/>
      <c r="H38" s="17"/>
      <c r="I38" s="132"/>
      <c r="J38" s="131"/>
    </row>
    <row r="39" spans="1:10" ht="20.100000000000001" customHeight="1" x14ac:dyDescent="0.3">
      <c r="A39" s="131"/>
      <c r="B39" s="131" t="s">
        <v>47</v>
      </c>
      <c r="C39" s="132">
        <v>116822.81</v>
      </c>
      <c r="D39" s="132"/>
      <c r="E39" s="132" t="s">
        <v>103</v>
      </c>
      <c r="F39" s="132"/>
      <c r="G39" s="132"/>
      <c r="H39" s="17"/>
      <c r="I39" s="132"/>
      <c r="J39" s="131"/>
    </row>
    <row r="40" spans="1:10" ht="20.100000000000001" customHeight="1" x14ac:dyDescent="0.3">
      <c r="A40" s="131"/>
      <c r="B40" s="131" t="s">
        <v>47</v>
      </c>
      <c r="C40" s="132">
        <v>10940.24</v>
      </c>
      <c r="D40" s="132"/>
      <c r="E40" s="132" t="s">
        <v>430</v>
      </c>
      <c r="F40" s="132"/>
      <c r="G40" s="132"/>
      <c r="H40" s="17"/>
      <c r="I40" s="132"/>
      <c r="J40" s="131"/>
    </row>
    <row r="41" spans="1:10" ht="20.100000000000001" customHeight="1" x14ac:dyDescent="0.3">
      <c r="A41" s="131"/>
      <c r="B41" s="131" t="s">
        <v>50</v>
      </c>
      <c r="C41" s="132">
        <v>238054.1099999994</v>
      </c>
      <c r="D41" s="132"/>
      <c r="E41" s="132" t="s">
        <v>427</v>
      </c>
      <c r="F41" s="132"/>
      <c r="G41" s="132"/>
      <c r="H41" s="17"/>
      <c r="I41" s="132"/>
      <c r="J41" s="131"/>
    </row>
    <row r="42" spans="1:10" ht="20.100000000000001" customHeight="1" thickBot="1" x14ac:dyDescent="0.35">
      <c r="A42" s="131"/>
      <c r="B42" s="131"/>
      <c r="C42" s="409">
        <f>SUM(C38:C41)</f>
        <v>8059023.9699999988</v>
      </c>
      <c r="D42" s="132"/>
      <c r="E42" s="132"/>
      <c r="F42" s="132"/>
      <c r="G42" s="132"/>
      <c r="H42" s="17"/>
      <c r="I42" s="132"/>
      <c r="J42" s="131"/>
    </row>
    <row r="43" spans="1:10" ht="20.100000000000001" customHeight="1" thickTop="1" x14ac:dyDescent="0.25">
      <c r="A43" s="358"/>
      <c r="B43" s="357"/>
      <c r="D43" s="68"/>
      <c r="E43" s="68"/>
      <c r="G43" s="57"/>
      <c r="H43" s="68"/>
      <c r="I43" s="366"/>
      <c r="J43" s="68"/>
    </row>
    <row r="44" spans="1:10" ht="20.100000000000001" customHeight="1" x14ac:dyDescent="0.25">
      <c r="A44" s="893" t="s">
        <v>542</v>
      </c>
      <c r="B44" s="893"/>
      <c r="C44" s="893"/>
      <c r="D44" s="893"/>
      <c r="E44" s="893"/>
      <c r="F44" s="893"/>
      <c r="G44" s="893"/>
      <c r="H44" s="893"/>
      <c r="I44" s="893"/>
      <c r="J44" s="893"/>
    </row>
    <row r="45" spans="1:10" ht="20.100000000000001" customHeight="1" thickBot="1" x14ac:dyDescent="0.3">
      <c r="A45" s="894"/>
      <c r="B45" s="894"/>
      <c r="C45" s="894"/>
      <c r="D45" s="894"/>
      <c r="E45" s="894"/>
      <c r="F45" s="894"/>
      <c r="G45" s="894"/>
      <c r="H45" s="894"/>
      <c r="I45" s="894"/>
      <c r="J45" s="894"/>
    </row>
    <row r="46" spans="1:10" ht="70.5" thickBot="1" x14ac:dyDescent="0.3">
      <c r="A46" s="577" t="s">
        <v>470</v>
      </c>
      <c r="B46" s="578" t="s">
        <v>543</v>
      </c>
      <c r="C46" s="578" t="s">
        <v>544</v>
      </c>
      <c r="D46" s="578" t="s">
        <v>545</v>
      </c>
      <c r="E46" s="578" t="s">
        <v>546</v>
      </c>
      <c r="F46" s="578" t="s">
        <v>547</v>
      </c>
      <c r="G46" s="578" t="s">
        <v>548</v>
      </c>
      <c r="H46" s="578" t="s">
        <v>45</v>
      </c>
      <c r="I46" s="578" t="s">
        <v>549</v>
      </c>
      <c r="J46" s="578" t="s">
        <v>46</v>
      </c>
    </row>
    <row r="47" spans="1:10" ht="20.100000000000001" customHeight="1" x14ac:dyDescent="0.5">
      <c r="A47" s="579" t="s">
        <v>47</v>
      </c>
      <c r="B47" s="580">
        <v>7820969.8599999547</v>
      </c>
      <c r="C47" s="581">
        <f>93187835.65-22730.93</f>
        <v>93165104.719999999</v>
      </c>
      <c r="D47" s="597">
        <v>40550734.310000002</v>
      </c>
      <c r="E47" s="582">
        <v>0</v>
      </c>
      <c r="F47" s="581">
        <f>+B47+C47-D47-E47</f>
        <v>60435340.269999951</v>
      </c>
      <c r="G47" s="583">
        <f>85963566.46-D47-E47</f>
        <v>45412832.149999991</v>
      </c>
      <c r="H47" s="582">
        <f>+G47/F47*100</f>
        <v>75.14284183246815</v>
      </c>
      <c r="I47" s="584">
        <f>F47-G47</f>
        <v>15022508.11999996</v>
      </c>
      <c r="J47" s="582">
        <f>+I47/F47*100</f>
        <v>24.857158167531853</v>
      </c>
    </row>
    <row r="48" spans="1:10" ht="20.100000000000001" customHeight="1" x14ac:dyDescent="0.5">
      <c r="A48" s="585" t="s">
        <v>50</v>
      </c>
      <c r="B48" s="586">
        <v>238054.1099999994</v>
      </c>
      <c r="C48" s="586">
        <v>5202704.37</v>
      </c>
      <c r="D48" s="582">
        <v>0</v>
      </c>
      <c r="E48" s="587">
        <v>0</v>
      </c>
      <c r="F48" s="581">
        <f>B48+C48-D48-E48</f>
        <v>5440758.4799999995</v>
      </c>
      <c r="G48" s="583">
        <v>3914169.94</v>
      </c>
      <c r="H48" s="582">
        <f>+G48/F48*100</f>
        <v>71.941622742276195</v>
      </c>
      <c r="I48" s="584">
        <f>F48-G48</f>
        <v>1526588.5399999996</v>
      </c>
      <c r="J48" s="582">
        <f>+I48/F48*100</f>
        <v>28.058377257723809</v>
      </c>
    </row>
    <row r="49" spans="1:13" ht="20.100000000000001" customHeight="1" thickBot="1" x14ac:dyDescent="0.55000000000000004">
      <c r="A49" s="588" t="s">
        <v>36</v>
      </c>
      <c r="B49" s="589">
        <f>SUM(B47:B48)</f>
        <v>8059023.9699999541</v>
      </c>
      <c r="C49" s="589">
        <f>SUM(C47:C48)</f>
        <v>98367809.090000004</v>
      </c>
      <c r="D49" s="590">
        <f>SUM(D47:D48)</f>
        <v>40550734.310000002</v>
      </c>
      <c r="E49" s="590">
        <f>SUM(E47:E48)</f>
        <v>0</v>
      </c>
      <c r="F49" s="591">
        <f>B49+C49-D49-E49</f>
        <v>65876098.749999955</v>
      </c>
      <c r="G49" s="592">
        <f>SUM(G47:G48)</f>
        <v>49327002.089999989</v>
      </c>
      <c r="H49" s="590">
        <f>+G49/F49*100</f>
        <v>74.87845064595605</v>
      </c>
      <c r="I49" s="593">
        <f>SUM(I47:I48)</f>
        <v>16549096.659999959</v>
      </c>
      <c r="J49" s="594">
        <f>+I49/F49*100</f>
        <v>25.121549354043935</v>
      </c>
    </row>
    <row r="50" spans="1:13" ht="20.100000000000001" customHeight="1" thickTop="1" x14ac:dyDescent="0.3">
      <c r="A50" s="363" t="s">
        <v>37</v>
      </c>
      <c r="B50" s="131"/>
      <c r="C50" s="132"/>
      <c r="D50" s="132"/>
      <c r="E50" s="132"/>
      <c r="F50" s="132"/>
      <c r="G50" s="132"/>
      <c r="H50" s="17"/>
      <c r="I50" s="132"/>
      <c r="J50" s="131"/>
    </row>
    <row r="51" spans="1:13" ht="20.100000000000001" customHeight="1" x14ac:dyDescent="0.3">
      <c r="A51" s="131"/>
      <c r="B51" s="131"/>
      <c r="C51" s="132"/>
      <c r="D51" s="132"/>
      <c r="E51" s="132"/>
      <c r="F51" s="132"/>
      <c r="G51" s="132"/>
      <c r="H51" s="17"/>
      <c r="I51" s="132"/>
      <c r="J51" s="131"/>
    </row>
    <row r="52" spans="1:13" ht="20.100000000000001" customHeight="1" x14ac:dyDescent="0.3">
      <c r="A52" s="134" t="s">
        <v>96</v>
      </c>
      <c r="B52" s="135" t="s">
        <v>550</v>
      </c>
      <c r="C52" s="136" t="s">
        <v>52</v>
      </c>
      <c r="D52" s="132"/>
      <c r="E52" s="132"/>
      <c r="F52" s="132"/>
      <c r="G52" s="132"/>
      <c r="H52" s="17"/>
      <c r="I52" s="132"/>
      <c r="J52" s="131"/>
    </row>
    <row r="53" spans="1:13" ht="20.100000000000001" customHeight="1" x14ac:dyDescent="0.3">
      <c r="A53" s="131"/>
      <c r="B53" s="131" t="s">
        <v>47</v>
      </c>
      <c r="C53" s="132">
        <v>9262930.3800000008</v>
      </c>
      <c r="D53" s="132"/>
      <c r="E53" s="132" t="s">
        <v>551</v>
      </c>
      <c r="F53" s="132"/>
      <c r="G53" s="132"/>
      <c r="H53" s="17"/>
      <c r="I53" s="132"/>
      <c r="J53" s="131"/>
    </row>
    <row r="54" spans="1:13" ht="20.100000000000001" customHeight="1" x14ac:dyDescent="0.3">
      <c r="A54" s="131"/>
      <c r="B54" s="131" t="s">
        <v>47</v>
      </c>
      <c r="C54" s="132">
        <v>5748637.5</v>
      </c>
      <c r="D54" s="132"/>
      <c r="E54" s="132" t="s">
        <v>103</v>
      </c>
      <c r="F54" s="132"/>
      <c r="G54" s="132"/>
      <c r="H54" s="17"/>
      <c r="I54" s="132"/>
      <c r="J54" s="131"/>
    </row>
    <row r="55" spans="1:13" ht="20.100000000000001" customHeight="1" x14ac:dyDescent="0.3">
      <c r="A55" s="131"/>
      <c r="B55" s="131" t="s">
        <v>47</v>
      </c>
      <c r="C55" s="132">
        <v>10940.24</v>
      </c>
      <c r="D55" s="132"/>
      <c r="E55" s="132" t="s">
        <v>552</v>
      </c>
      <c r="F55" s="132"/>
      <c r="G55" s="132"/>
      <c r="H55" s="17"/>
      <c r="I55" s="132"/>
      <c r="J55" s="131"/>
    </row>
    <row r="56" spans="1:13" ht="20.100000000000001" customHeight="1" x14ac:dyDescent="0.3">
      <c r="A56" s="131"/>
      <c r="B56" s="131" t="s">
        <v>50</v>
      </c>
      <c r="C56" s="132">
        <v>1235395.52</v>
      </c>
      <c r="D56" s="132"/>
      <c r="E56" s="132" t="s">
        <v>103</v>
      </c>
      <c r="F56" s="132"/>
      <c r="G56" s="132"/>
      <c r="H56" s="17"/>
      <c r="I56" s="132"/>
      <c r="J56" s="131"/>
    </row>
    <row r="57" spans="1:13" ht="20.100000000000001" customHeight="1" x14ac:dyDescent="0.3">
      <c r="A57" s="131"/>
      <c r="B57" s="131"/>
      <c r="C57" s="132">
        <v>291193.02</v>
      </c>
      <c r="D57" s="132"/>
      <c r="E57" s="132" t="s">
        <v>551</v>
      </c>
      <c r="F57" s="132"/>
      <c r="G57" s="132"/>
      <c r="H57" s="17"/>
      <c r="I57" s="132"/>
      <c r="J57" s="131"/>
    </row>
    <row r="58" spans="1:13" ht="20.100000000000001" customHeight="1" thickBot="1" x14ac:dyDescent="0.35">
      <c r="A58" s="131"/>
      <c r="B58" s="131"/>
      <c r="C58" s="409">
        <f>SUM(C53:C57)</f>
        <v>16549096.66</v>
      </c>
      <c r="D58" s="132"/>
      <c r="E58" s="132"/>
      <c r="F58" s="132"/>
      <c r="G58" s="132"/>
      <c r="H58" s="17"/>
      <c r="I58" s="132"/>
      <c r="J58" s="131"/>
    </row>
    <row r="59" spans="1:13" ht="20.100000000000001" customHeight="1" thickTop="1" x14ac:dyDescent="0.25">
      <c r="A59" s="72"/>
      <c r="B59" s="73"/>
      <c r="C59" s="73"/>
      <c r="D59" s="73"/>
      <c r="E59" s="73"/>
      <c r="F59" s="73"/>
      <c r="G59" s="73"/>
      <c r="H59" s="73"/>
      <c r="I59" s="73"/>
      <c r="J59" s="73"/>
    </row>
    <row r="60" spans="1:13" ht="20.100000000000001" customHeight="1" x14ac:dyDescent="0.25">
      <c r="A60" s="358"/>
      <c r="B60" s="355"/>
      <c r="D60" s="68"/>
      <c r="E60" s="68"/>
      <c r="G60" s="57"/>
      <c r="H60" s="68"/>
      <c r="I60" s="366"/>
      <c r="J60" s="68"/>
    </row>
    <row r="61" spans="1:13" s="131" customFormat="1" ht="21.75" customHeight="1" x14ac:dyDescent="0.3">
      <c r="A61" s="893" t="s">
        <v>680</v>
      </c>
      <c r="B61" s="893"/>
      <c r="C61" s="893"/>
      <c r="D61" s="893"/>
      <c r="E61" s="893"/>
      <c r="F61" s="893"/>
      <c r="G61" s="893"/>
      <c r="H61" s="893"/>
      <c r="I61" s="893"/>
      <c r="J61" s="893"/>
      <c r="K61" s="132"/>
      <c r="L61" s="132"/>
      <c r="M61" s="132"/>
    </row>
    <row r="62" spans="1:13" s="131" customFormat="1" ht="21.75" customHeight="1" thickBot="1" x14ac:dyDescent="0.35">
      <c r="A62" s="894"/>
      <c r="B62" s="894"/>
      <c r="C62" s="894"/>
      <c r="D62" s="894"/>
      <c r="E62" s="894"/>
      <c r="F62" s="894"/>
      <c r="G62" s="894"/>
      <c r="H62" s="894"/>
      <c r="I62" s="894"/>
      <c r="J62" s="894"/>
      <c r="K62" s="132"/>
      <c r="L62" s="132"/>
      <c r="M62" s="132"/>
    </row>
    <row r="63" spans="1:13" s="131" customFormat="1" ht="70.5" thickBot="1" x14ac:dyDescent="0.35">
      <c r="A63" s="577" t="s">
        <v>587</v>
      </c>
      <c r="B63" s="578" t="s">
        <v>543</v>
      </c>
      <c r="C63" s="578" t="s">
        <v>681</v>
      </c>
      <c r="D63" s="605" t="s">
        <v>545</v>
      </c>
      <c r="E63" s="578" t="s">
        <v>546</v>
      </c>
      <c r="F63" s="578" t="s">
        <v>547</v>
      </c>
      <c r="G63" s="578" t="s">
        <v>548</v>
      </c>
      <c r="H63" s="578" t="s">
        <v>45</v>
      </c>
      <c r="I63" s="578" t="s">
        <v>549</v>
      </c>
      <c r="J63" s="578" t="s">
        <v>46</v>
      </c>
      <c r="K63" s="132"/>
      <c r="L63" s="132"/>
      <c r="M63" s="132"/>
    </row>
    <row r="64" spans="1:13" s="131" customFormat="1" ht="21.75" customHeight="1" x14ac:dyDescent="0.5">
      <c r="A64" s="579" t="s">
        <v>47</v>
      </c>
      <c r="B64" s="580">
        <v>15022508.11999996</v>
      </c>
      <c r="C64" s="581">
        <v>122766244.79000001</v>
      </c>
      <c r="D64" s="606">
        <v>29359536.109999999</v>
      </c>
      <c r="E64" s="582">
        <v>2708592.83</v>
      </c>
      <c r="F64" s="581">
        <f>+B64+C64-D64-E64</f>
        <v>105720623.96999997</v>
      </c>
      <c r="G64" s="583">
        <f>123091142.3-D64-E64</f>
        <v>91023013.359999999</v>
      </c>
      <c r="H64" s="582">
        <f>+G64/F64*100</f>
        <v>86.097688361950389</v>
      </c>
      <c r="I64" s="584">
        <f>F64-G64</f>
        <v>14697610.60999997</v>
      </c>
      <c r="J64" s="582">
        <f>+I64/F64*100</f>
        <v>13.902311638049609</v>
      </c>
      <c r="K64" s="132"/>
      <c r="L64" s="132"/>
      <c r="M64" s="132"/>
    </row>
    <row r="65" spans="1:13" s="131" customFormat="1" ht="21.75" customHeight="1" x14ac:dyDescent="0.5">
      <c r="A65" s="585" t="s">
        <v>50</v>
      </c>
      <c r="B65" s="586">
        <v>1526588.5399999996</v>
      </c>
      <c r="C65" s="586">
        <f>22112222.19-5393.06</f>
        <v>22106829.130000003</v>
      </c>
      <c r="D65" s="582">
        <v>0</v>
      </c>
      <c r="E65" s="587">
        <v>0</v>
      </c>
      <c r="F65" s="581">
        <f>B65+C65-D65-E65</f>
        <v>23633417.670000002</v>
      </c>
      <c r="G65" s="583">
        <v>22398022.149999999</v>
      </c>
      <c r="H65" s="582">
        <f>+G65/F65*100</f>
        <v>94.772675127862698</v>
      </c>
      <c r="I65" s="584">
        <f>F65-G65</f>
        <v>1235395.5200000033</v>
      </c>
      <c r="J65" s="582">
        <f>+I65/F65*100</f>
        <v>5.2273248721373067</v>
      </c>
      <c r="K65" s="132"/>
      <c r="L65" s="132"/>
      <c r="M65" s="132"/>
    </row>
    <row r="66" spans="1:13" s="131" customFormat="1" ht="21.75" customHeight="1" thickBot="1" x14ac:dyDescent="0.55000000000000004">
      <c r="A66" s="588" t="s">
        <v>36</v>
      </c>
      <c r="B66" s="589">
        <f t="shared" ref="B66:G66" si="1">SUM(B64:B65)</f>
        <v>16549096.659999959</v>
      </c>
      <c r="C66" s="589">
        <f t="shared" si="1"/>
        <v>144873073.92000002</v>
      </c>
      <c r="D66" s="590">
        <f t="shared" si="1"/>
        <v>29359536.109999999</v>
      </c>
      <c r="E66" s="590">
        <f t="shared" si="1"/>
        <v>2708592.83</v>
      </c>
      <c r="F66" s="592">
        <f t="shared" si="1"/>
        <v>129354041.63999997</v>
      </c>
      <c r="G66" s="592">
        <f t="shared" si="1"/>
        <v>113421035.50999999</v>
      </c>
      <c r="H66" s="590">
        <f>+G66/F66*100</f>
        <v>87.682637567411703</v>
      </c>
      <c r="I66" s="593">
        <f>SUM(I64:I65)</f>
        <v>15933006.129999973</v>
      </c>
      <c r="J66" s="594">
        <f>+I66/F66*100</f>
        <v>12.317362432588293</v>
      </c>
      <c r="K66" s="132"/>
      <c r="L66" s="132"/>
      <c r="M66" s="132"/>
    </row>
    <row r="67" spans="1:13" s="131" customFormat="1" ht="21.75" customHeight="1" thickTop="1" x14ac:dyDescent="0.3">
      <c r="A67" s="363" t="s">
        <v>37</v>
      </c>
      <c r="C67" s="132"/>
      <c r="D67" s="132"/>
      <c r="E67" s="132"/>
      <c r="F67" s="132"/>
      <c r="G67" s="132"/>
      <c r="H67" s="17"/>
      <c r="I67" s="132"/>
      <c r="K67" s="132"/>
      <c r="L67" s="132"/>
      <c r="M67" s="132"/>
    </row>
    <row r="68" spans="1:13" s="131" customFormat="1" ht="21.75" customHeight="1" x14ac:dyDescent="0.3">
      <c r="C68" s="132"/>
      <c r="D68" s="132"/>
      <c r="E68" s="132"/>
      <c r="F68" s="132"/>
      <c r="G68" s="132"/>
      <c r="H68" s="17"/>
      <c r="I68" s="132"/>
      <c r="K68" s="132"/>
      <c r="L68" s="132"/>
      <c r="M68" s="132"/>
    </row>
    <row r="69" spans="1:13" s="131" customFormat="1" ht="21.75" customHeight="1" x14ac:dyDescent="0.3">
      <c r="A69" s="134" t="s">
        <v>96</v>
      </c>
      <c r="B69" s="135" t="s">
        <v>682</v>
      </c>
      <c r="C69" s="136" t="s">
        <v>52</v>
      </c>
      <c r="D69" s="132"/>
      <c r="E69" s="132"/>
      <c r="F69" s="132"/>
      <c r="G69" s="132"/>
      <c r="H69" s="17"/>
      <c r="I69" s="132"/>
      <c r="K69" s="132"/>
      <c r="L69" s="132"/>
      <c r="M69" s="132"/>
    </row>
    <row r="70" spans="1:13" s="131" customFormat="1" ht="21.75" customHeight="1" x14ac:dyDescent="0.3">
      <c r="B70" s="131" t="s">
        <v>47</v>
      </c>
      <c r="C70" s="132">
        <v>13085951.949999999</v>
      </c>
      <c r="D70" s="132"/>
      <c r="E70" s="132" t="s">
        <v>683</v>
      </c>
      <c r="F70" s="132"/>
      <c r="G70" s="132"/>
      <c r="H70" s="17"/>
      <c r="I70" s="132"/>
      <c r="K70" s="132"/>
      <c r="L70" s="132"/>
      <c r="M70" s="132"/>
    </row>
    <row r="71" spans="1:13" s="131" customFormat="1" ht="21.75" customHeight="1" x14ac:dyDescent="0.3">
      <c r="B71" s="131" t="s">
        <v>47</v>
      </c>
      <c r="C71" s="132">
        <v>1611658.66</v>
      </c>
      <c r="D71" s="132"/>
      <c r="E71" s="132" t="s">
        <v>103</v>
      </c>
      <c r="F71" s="132"/>
      <c r="G71" s="132"/>
      <c r="H71" s="17"/>
      <c r="I71" s="132"/>
      <c r="K71" s="132"/>
      <c r="L71" s="132"/>
      <c r="M71" s="132"/>
    </row>
    <row r="72" spans="1:13" s="131" customFormat="1" ht="21.75" customHeight="1" x14ac:dyDescent="0.3">
      <c r="B72" s="131" t="s">
        <v>50</v>
      </c>
      <c r="C72" s="132">
        <v>1235395.5200000033</v>
      </c>
      <c r="D72" s="132"/>
      <c r="E72" s="132" t="s">
        <v>683</v>
      </c>
      <c r="F72" s="132"/>
      <c r="G72" s="132"/>
      <c r="H72" s="17"/>
      <c r="I72" s="132"/>
      <c r="K72" s="132"/>
      <c r="L72" s="132"/>
      <c r="M72" s="132"/>
    </row>
    <row r="73" spans="1:13" s="131" customFormat="1" ht="21.75" customHeight="1" thickBot="1" x14ac:dyDescent="0.35">
      <c r="C73" s="409">
        <f>SUM(C70:C72)</f>
        <v>15933006.130000003</v>
      </c>
      <c r="D73" s="132"/>
      <c r="E73" s="132"/>
      <c r="F73" s="132"/>
      <c r="G73" s="132"/>
      <c r="H73" s="17"/>
      <c r="I73" s="132"/>
      <c r="K73" s="132"/>
      <c r="L73" s="132"/>
      <c r="M73" s="132"/>
    </row>
    <row r="74" spans="1:13" s="131" customFormat="1" ht="21.75" customHeight="1" thickTop="1" x14ac:dyDescent="0.3">
      <c r="C74" s="132"/>
      <c r="D74" s="132"/>
      <c r="E74" s="132"/>
      <c r="F74" s="132"/>
      <c r="G74" s="132"/>
      <c r="H74" s="17"/>
      <c r="I74" s="132"/>
      <c r="K74" s="132"/>
      <c r="L74" s="132"/>
      <c r="M74" s="132"/>
    </row>
    <row r="75" spans="1:13" ht="20.100000000000001" customHeight="1" x14ac:dyDescent="0.25">
      <c r="A75" s="118"/>
      <c r="B75" s="34"/>
      <c r="C75" s="34"/>
      <c r="D75" s="362"/>
      <c r="E75" s="362"/>
      <c r="F75" s="370"/>
      <c r="G75" s="77"/>
      <c r="H75" s="362"/>
      <c r="I75" s="117"/>
      <c r="J75" s="69"/>
    </row>
    <row r="76" spans="1:13" s="131" customFormat="1" ht="21.75" customHeight="1" x14ac:dyDescent="0.3">
      <c r="C76" s="132"/>
      <c r="D76" s="132"/>
      <c r="E76" s="132"/>
      <c r="F76" s="132"/>
      <c r="G76" s="132"/>
      <c r="H76" s="17"/>
      <c r="I76" s="132"/>
      <c r="K76" s="132"/>
      <c r="L76" s="132"/>
      <c r="M76" s="132"/>
    </row>
    <row r="77" spans="1:13" s="131" customFormat="1" ht="21.75" customHeight="1" x14ac:dyDescent="0.3">
      <c r="A77" s="893" t="s">
        <v>754</v>
      </c>
      <c r="B77" s="893"/>
      <c r="C77" s="893"/>
      <c r="D77" s="893"/>
      <c r="E77" s="893"/>
      <c r="F77" s="893"/>
      <c r="G77" s="893"/>
      <c r="H77" s="893"/>
      <c r="I77" s="893"/>
      <c r="J77" s="893"/>
      <c r="K77" s="132"/>
      <c r="L77" s="132"/>
      <c r="M77" s="132"/>
    </row>
    <row r="78" spans="1:13" s="131" customFormat="1" ht="21.75" customHeight="1" thickBot="1" x14ac:dyDescent="0.35">
      <c r="A78" s="894"/>
      <c r="B78" s="894"/>
      <c r="C78" s="894"/>
      <c r="D78" s="894"/>
      <c r="E78" s="894"/>
      <c r="F78" s="894"/>
      <c r="G78" s="894"/>
      <c r="H78" s="894"/>
      <c r="I78" s="894"/>
      <c r="J78" s="894"/>
      <c r="K78" s="132"/>
      <c r="L78" s="132"/>
      <c r="M78" s="132"/>
    </row>
    <row r="79" spans="1:13" s="131" customFormat="1" ht="70.5" thickBot="1" x14ac:dyDescent="0.35">
      <c r="A79" s="577" t="s">
        <v>696</v>
      </c>
      <c r="B79" s="578" t="s">
        <v>543</v>
      </c>
      <c r="C79" s="578" t="s">
        <v>755</v>
      </c>
      <c r="D79" s="578" t="s">
        <v>545</v>
      </c>
      <c r="E79" s="578" t="s">
        <v>546</v>
      </c>
      <c r="F79" s="578" t="s">
        <v>547</v>
      </c>
      <c r="G79" s="578" t="s">
        <v>548</v>
      </c>
      <c r="H79" s="578" t="s">
        <v>45</v>
      </c>
      <c r="I79" s="578" t="s">
        <v>549</v>
      </c>
      <c r="J79" s="578" t="s">
        <v>46</v>
      </c>
      <c r="K79" s="132"/>
      <c r="L79" s="132"/>
      <c r="M79" s="132"/>
    </row>
    <row r="80" spans="1:13" s="131" customFormat="1" ht="21.75" customHeight="1" x14ac:dyDescent="0.5">
      <c r="A80" s="579" t="s">
        <v>47</v>
      </c>
      <c r="B80" s="580">
        <v>14697610.60999997</v>
      </c>
      <c r="C80" s="581">
        <f>123711635.5-100738.13</f>
        <v>123610897.37</v>
      </c>
      <c r="D80" s="597">
        <v>0</v>
      </c>
      <c r="E80" s="582">
        <v>0</v>
      </c>
      <c r="F80" s="581">
        <f>+B80+C80-D80-E80</f>
        <v>138308507.97999996</v>
      </c>
      <c r="G80" s="583">
        <v>122099713.93000001</v>
      </c>
      <c r="H80" s="582">
        <f>+G80/F80*100</f>
        <v>88.280696331173047</v>
      </c>
      <c r="I80" s="584">
        <f>F80-G80</f>
        <v>16208794.049999952</v>
      </c>
      <c r="J80" s="582">
        <f>+I80/F80*100</f>
        <v>11.719303668826951</v>
      </c>
      <c r="K80" s="132"/>
      <c r="L80" s="132"/>
      <c r="M80" s="132"/>
    </row>
    <row r="81" spans="1:13" s="131" customFormat="1" ht="21.75" customHeight="1" x14ac:dyDescent="0.5">
      <c r="A81" s="585" t="s">
        <v>50</v>
      </c>
      <c r="B81" s="586">
        <v>1235395.5200000033</v>
      </c>
      <c r="C81" s="586">
        <v>14477659.17</v>
      </c>
      <c r="D81" s="582">
        <v>0</v>
      </c>
      <c r="E81" s="587">
        <v>0</v>
      </c>
      <c r="F81" s="581">
        <f>B81+C81-D81-E81</f>
        <v>15713054.690000003</v>
      </c>
      <c r="G81" s="583">
        <v>13461321.359999999</v>
      </c>
      <c r="H81" s="582">
        <f>+G81/F81*100</f>
        <v>85.669665291542344</v>
      </c>
      <c r="I81" s="584">
        <f>F81-G81</f>
        <v>2251733.3300000038</v>
      </c>
      <c r="J81" s="582">
        <f>+I81/F81*100</f>
        <v>14.330334708457654</v>
      </c>
      <c r="K81" s="132"/>
      <c r="L81" s="132"/>
      <c r="M81" s="132"/>
    </row>
    <row r="82" spans="1:13" s="131" customFormat="1" ht="21.75" customHeight="1" thickBot="1" x14ac:dyDescent="0.55000000000000004">
      <c r="A82" s="588" t="s">
        <v>36</v>
      </c>
      <c r="B82" s="589">
        <f>SUM(B80:B81)</f>
        <v>15933006.129999973</v>
      </c>
      <c r="C82" s="589">
        <f>SUM(C80:C81)</f>
        <v>138088556.53999999</v>
      </c>
      <c r="D82" s="590">
        <f>SUM(D80:D81)</f>
        <v>0</v>
      </c>
      <c r="E82" s="590">
        <f>SUM(E80:E81)</f>
        <v>0</v>
      </c>
      <c r="F82" s="592">
        <f t="shared" ref="F82" si="2">SUM(F80:F81)</f>
        <v>154021562.66999996</v>
      </c>
      <c r="G82" s="592">
        <f>SUM(G80:G81)</f>
        <v>135561035.29000002</v>
      </c>
      <c r="H82" s="590">
        <f>+G82/F82*100</f>
        <v>88.014322761058679</v>
      </c>
      <c r="I82" s="593">
        <f>SUM(I80:I81)</f>
        <v>18460527.379999958</v>
      </c>
      <c r="J82" s="594">
        <f>+I82/F82*100</f>
        <v>11.98567723894134</v>
      </c>
      <c r="K82" s="132"/>
      <c r="L82" s="132"/>
      <c r="M82" s="132"/>
    </row>
    <row r="83" spans="1:13" s="131" customFormat="1" ht="21.75" customHeight="1" thickTop="1" x14ac:dyDescent="0.3">
      <c r="A83" s="641" t="s">
        <v>37</v>
      </c>
      <c r="C83" s="132"/>
      <c r="D83" s="132"/>
      <c r="E83" s="132"/>
      <c r="F83" s="132"/>
      <c r="G83" s="132"/>
      <c r="H83" s="17"/>
      <c r="I83" s="132"/>
      <c r="K83" s="132"/>
      <c r="L83" s="132"/>
      <c r="M83" s="132"/>
    </row>
    <row r="84" spans="1:13" s="131" customFormat="1" ht="21.75" customHeight="1" x14ac:dyDescent="0.3">
      <c r="C84" s="132"/>
      <c r="D84" s="132"/>
      <c r="E84" s="132"/>
      <c r="F84" s="132"/>
      <c r="G84" s="132"/>
      <c r="H84" s="17"/>
      <c r="I84" s="132"/>
      <c r="K84" s="132"/>
      <c r="L84" s="132"/>
      <c r="M84" s="132"/>
    </row>
    <row r="85" spans="1:13" s="131" customFormat="1" ht="21.75" customHeight="1" x14ac:dyDescent="0.3">
      <c r="A85" s="134" t="s">
        <v>96</v>
      </c>
      <c r="B85" s="135" t="s">
        <v>682</v>
      </c>
      <c r="C85" s="136" t="s">
        <v>52</v>
      </c>
      <c r="D85" s="132"/>
      <c r="E85" s="132"/>
      <c r="F85" s="132"/>
      <c r="G85" s="132"/>
      <c r="H85" s="17"/>
      <c r="I85" s="132"/>
      <c r="K85" s="132"/>
      <c r="L85" s="132"/>
      <c r="M85" s="132"/>
    </row>
    <row r="86" spans="1:13" s="131" customFormat="1" ht="21.75" customHeight="1" x14ac:dyDescent="0.3">
      <c r="B86" s="131" t="s">
        <v>47</v>
      </c>
      <c r="C86" s="132">
        <v>12688631.92</v>
      </c>
      <c r="D86" s="132"/>
      <c r="E86" s="132" t="s">
        <v>756</v>
      </c>
      <c r="F86" s="132"/>
      <c r="G86" s="132"/>
      <c r="H86" s="17"/>
      <c r="I86" s="132"/>
      <c r="K86" s="132"/>
      <c r="L86" s="132"/>
      <c r="M86" s="132"/>
    </row>
    <row r="87" spans="1:13" s="131" customFormat="1" ht="21.75" customHeight="1" x14ac:dyDescent="0.3">
      <c r="B87" s="131" t="s">
        <v>47</v>
      </c>
      <c r="C87" s="132">
        <v>3520162.13</v>
      </c>
      <c r="D87" s="132"/>
      <c r="E87" s="132" t="s">
        <v>103</v>
      </c>
      <c r="F87" s="132"/>
      <c r="G87" s="132"/>
      <c r="H87" s="17"/>
      <c r="I87" s="132"/>
      <c r="K87" s="132"/>
      <c r="L87" s="132"/>
      <c r="M87" s="132"/>
    </row>
    <row r="88" spans="1:13" s="131" customFormat="1" ht="21.75" customHeight="1" x14ac:dyDescent="0.3">
      <c r="B88" s="131" t="s">
        <v>50</v>
      </c>
      <c r="C88" s="132">
        <v>2251733.3300000038</v>
      </c>
      <c r="D88" s="132"/>
      <c r="E88" s="132" t="s">
        <v>756</v>
      </c>
      <c r="F88" s="132"/>
      <c r="G88" s="132"/>
      <c r="H88" s="17"/>
      <c r="I88" s="132"/>
      <c r="K88" s="132"/>
      <c r="L88" s="132"/>
      <c r="M88" s="132"/>
    </row>
    <row r="89" spans="1:13" s="131" customFormat="1" ht="21.75" customHeight="1" thickBot="1" x14ac:dyDescent="0.35">
      <c r="C89" s="409">
        <f>SUM(C86:C88)</f>
        <v>18460527.380000003</v>
      </c>
      <c r="D89" s="132"/>
      <c r="E89" s="132"/>
      <c r="F89" s="132"/>
      <c r="G89" s="132"/>
      <c r="H89" s="17"/>
      <c r="I89" s="132"/>
      <c r="K89" s="132"/>
      <c r="L89" s="132"/>
      <c r="M89" s="132"/>
    </row>
    <row r="90" spans="1:13" ht="20.100000000000001" customHeight="1" thickTop="1" x14ac:dyDescent="0.25">
      <c r="B90" s="367"/>
    </row>
    <row r="91" spans="1:13" ht="20.100000000000001" customHeight="1" x14ac:dyDescent="0.25">
      <c r="A91" s="893" t="s">
        <v>928</v>
      </c>
      <c r="B91" s="893"/>
      <c r="C91" s="893"/>
      <c r="D91" s="893"/>
      <c r="E91" s="893"/>
      <c r="F91" s="893"/>
      <c r="G91" s="893"/>
      <c r="H91" s="893"/>
      <c r="I91" s="893"/>
      <c r="J91" s="893"/>
    </row>
    <row r="92" spans="1:13" ht="20.100000000000001" customHeight="1" thickBot="1" x14ac:dyDescent="0.3">
      <c r="A92" s="894"/>
      <c r="B92" s="894"/>
      <c r="C92" s="894"/>
      <c r="D92" s="894"/>
      <c r="E92" s="894"/>
      <c r="F92" s="894"/>
      <c r="G92" s="894"/>
      <c r="H92" s="894"/>
      <c r="I92" s="894"/>
      <c r="J92" s="894"/>
    </row>
    <row r="93" spans="1:13" ht="70.5" thickBot="1" x14ac:dyDescent="0.3">
      <c r="A93" s="577" t="s">
        <v>800</v>
      </c>
      <c r="B93" s="578" t="s">
        <v>543</v>
      </c>
      <c r="C93" s="578" t="s">
        <v>929</v>
      </c>
      <c r="D93" s="578" t="s">
        <v>545</v>
      </c>
      <c r="E93" s="578" t="s">
        <v>546</v>
      </c>
      <c r="F93" s="578" t="s">
        <v>547</v>
      </c>
      <c r="G93" s="578" t="s">
        <v>548</v>
      </c>
      <c r="H93" s="578" t="s">
        <v>45</v>
      </c>
      <c r="I93" s="578" t="s">
        <v>549</v>
      </c>
      <c r="J93" s="578" t="s">
        <v>46</v>
      </c>
    </row>
    <row r="94" spans="1:13" ht="20.100000000000001" customHeight="1" x14ac:dyDescent="0.5">
      <c r="A94" s="579" t="s">
        <v>47</v>
      </c>
      <c r="B94" s="580">
        <v>16208794.049999952</v>
      </c>
      <c r="C94" s="581">
        <f>178001551.27-300905.52</f>
        <v>177700645.75</v>
      </c>
      <c r="D94" s="597">
        <v>0</v>
      </c>
      <c r="E94" s="582">
        <v>0</v>
      </c>
      <c r="F94" s="581">
        <f>+B94+C94-D94-E94</f>
        <v>193909439.79999995</v>
      </c>
      <c r="G94" s="583">
        <v>179158664.84</v>
      </c>
      <c r="H94" s="582">
        <f>+G94/F94*100</f>
        <v>92.392956745574622</v>
      </c>
      <c r="I94" s="584">
        <f>F94-G94</f>
        <v>14750774.959999949</v>
      </c>
      <c r="J94" s="582">
        <f>+I94/F94*100</f>
        <v>7.6070432544253848</v>
      </c>
    </row>
    <row r="95" spans="1:13" ht="20.100000000000001" customHeight="1" x14ac:dyDescent="0.5">
      <c r="A95" s="585" t="s">
        <v>50</v>
      </c>
      <c r="B95" s="586">
        <v>2251733.3300000038</v>
      </c>
      <c r="C95" s="586">
        <v>16652581.890000001</v>
      </c>
      <c r="D95" s="582">
        <v>0</v>
      </c>
      <c r="E95" s="587">
        <v>0</v>
      </c>
      <c r="F95" s="581">
        <f>B95+C95-D95-E95</f>
        <v>18904315.220000006</v>
      </c>
      <c r="G95" s="583">
        <v>18904315.219999999</v>
      </c>
      <c r="H95" s="582">
        <f>+G95/F95*100</f>
        <v>99.999999999999957</v>
      </c>
      <c r="I95" s="584">
        <f>F95-G95</f>
        <v>0</v>
      </c>
      <c r="J95" s="582">
        <f>+I95/F95*100</f>
        <v>0</v>
      </c>
    </row>
    <row r="96" spans="1:13" ht="20.100000000000001" customHeight="1" thickBot="1" x14ac:dyDescent="0.55000000000000004">
      <c r="A96" s="588" t="s">
        <v>36</v>
      </c>
      <c r="B96" s="589">
        <f>SUM(B94:B95)</f>
        <v>18460527.379999958</v>
      </c>
      <c r="C96" s="589">
        <f>SUM(C94:C95)</f>
        <v>194353227.63999999</v>
      </c>
      <c r="D96" s="590">
        <f>SUM(D94:D95)</f>
        <v>0</v>
      </c>
      <c r="E96" s="590">
        <f>SUM(E94:E95)</f>
        <v>0</v>
      </c>
      <c r="F96" s="592">
        <f t="shared" ref="F96:G96" si="3">SUM(F94:F95)</f>
        <v>212813755.01999995</v>
      </c>
      <c r="G96" s="592">
        <f t="shared" si="3"/>
        <v>198062980.06</v>
      </c>
      <c r="H96" s="590">
        <f>+G96/F96*100</f>
        <v>93.068692877199737</v>
      </c>
      <c r="I96" s="593">
        <f>SUM(I94:I95)</f>
        <v>14750774.959999949</v>
      </c>
      <c r="J96" s="594">
        <f>+I96/F96*100</f>
        <v>6.9313071228002583</v>
      </c>
    </row>
    <row r="97" spans="1:13" ht="20.100000000000001" customHeight="1" thickTop="1" x14ac:dyDescent="0.3">
      <c r="A97" s="641" t="s">
        <v>37</v>
      </c>
      <c r="B97" s="131"/>
      <c r="C97" s="132"/>
      <c r="D97" s="132"/>
      <c r="E97" s="132"/>
      <c r="F97" s="132"/>
      <c r="G97" s="132"/>
      <c r="H97" s="17"/>
      <c r="I97" s="132"/>
      <c r="J97" s="131"/>
      <c r="K97" s="357"/>
      <c r="L97" s="357"/>
      <c r="M97" s="357"/>
    </row>
    <row r="98" spans="1:13" ht="20.100000000000001" customHeight="1" x14ac:dyDescent="0.3">
      <c r="A98" s="131"/>
      <c r="B98" s="131"/>
      <c r="C98" s="132"/>
      <c r="D98" s="132"/>
      <c r="E98" s="132"/>
      <c r="F98" s="132"/>
      <c r="G98" s="132"/>
      <c r="H98" s="17"/>
      <c r="I98" s="132"/>
      <c r="J98" s="131"/>
      <c r="K98" s="357"/>
      <c r="L98" s="357"/>
      <c r="M98" s="357"/>
    </row>
    <row r="99" spans="1:13" ht="20.100000000000001" customHeight="1" x14ac:dyDescent="0.3">
      <c r="A99" s="134" t="s">
        <v>96</v>
      </c>
      <c r="B99" s="135" t="s">
        <v>930</v>
      </c>
      <c r="C99" s="136" t="s">
        <v>52</v>
      </c>
      <c r="D99" s="132"/>
      <c r="E99" s="132"/>
      <c r="F99" s="132"/>
      <c r="G99" s="132"/>
      <c r="H99" s="17"/>
      <c r="I99" s="132"/>
      <c r="J99" s="131"/>
      <c r="K99" s="357"/>
      <c r="L99" s="357"/>
      <c r="M99" s="357"/>
    </row>
    <row r="100" spans="1:13" ht="20.100000000000001" customHeight="1" x14ac:dyDescent="0.3">
      <c r="A100" s="131"/>
      <c r="B100" s="131" t="s">
        <v>47</v>
      </c>
      <c r="C100" s="132">
        <v>14453933.619999999</v>
      </c>
      <c r="D100" s="132"/>
      <c r="E100" s="132" t="s">
        <v>931</v>
      </c>
      <c r="F100" s="132"/>
      <c r="G100" s="132"/>
      <c r="H100" s="17"/>
      <c r="I100" s="132"/>
      <c r="J100" s="131"/>
      <c r="K100" s="357"/>
      <c r="L100" s="357"/>
      <c r="M100" s="357"/>
    </row>
    <row r="101" spans="1:13" ht="20.100000000000001" customHeight="1" x14ac:dyDescent="0.3">
      <c r="A101" s="131"/>
      <c r="B101" s="131"/>
      <c r="C101" s="132">
        <v>296841.34000000003</v>
      </c>
      <c r="D101" s="132"/>
      <c r="E101" s="132" t="s">
        <v>103</v>
      </c>
      <c r="F101" s="132"/>
      <c r="G101" s="132"/>
      <c r="H101" s="17"/>
      <c r="I101" s="132"/>
      <c r="J101" s="131"/>
      <c r="K101" s="357"/>
      <c r="L101" s="357"/>
      <c r="M101" s="357"/>
    </row>
    <row r="102" spans="1:13" ht="20.100000000000001" customHeight="1" thickBot="1" x14ac:dyDescent="0.35">
      <c r="A102" s="131"/>
      <c r="B102" s="131"/>
      <c r="C102" s="409">
        <f>SUM(C100:C101)</f>
        <v>14750774.959999999</v>
      </c>
      <c r="D102" s="132"/>
      <c r="E102" s="132"/>
      <c r="F102" s="132"/>
      <c r="G102" s="132"/>
      <c r="H102" s="17"/>
      <c r="I102" s="132"/>
      <c r="J102" s="131"/>
      <c r="K102" s="357"/>
      <c r="L102" s="357"/>
      <c r="M102" s="357"/>
    </row>
    <row r="103" spans="1:13" ht="20.100000000000001" customHeight="1" thickTop="1" x14ac:dyDescent="0.3">
      <c r="A103" s="131"/>
      <c r="B103" s="131"/>
      <c r="C103" s="132"/>
      <c r="D103" s="132"/>
      <c r="E103" s="132"/>
      <c r="F103" s="132"/>
      <c r="G103" s="132"/>
      <c r="H103" s="17"/>
      <c r="I103" s="132"/>
      <c r="J103" s="131"/>
      <c r="K103" s="357"/>
      <c r="L103" s="357"/>
      <c r="M103" s="357"/>
    </row>
    <row r="104" spans="1:13" ht="20.100000000000001" customHeight="1" x14ac:dyDescent="0.25">
      <c r="A104" s="363"/>
      <c r="K104" s="357"/>
      <c r="L104" s="357"/>
      <c r="M104" s="357"/>
    </row>
    <row r="105" spans="1:13" s="825" customFormat="1" ht="21.75" customHeight="1" x14ac:dyDescent="0.3">
      <c r="A105" s="893" t="s">
        <v>1022</v>
      </c>
      <c r="B105" s="893"/>
      <c r="C105" s="893"/>
      <c r="D105" s="893"/>
      <c r="E105" s="893"/>
      <c r="F105" s="893"/>
      <c r="G105" s="893"/>
      <c r="H105" s="893"/>
      <c r="I105" s="893"/>
      <c r="J105" s="893"/>
      <c r="K105" s="826"/>
      <c r="L105" s="826"/>
      <c r="M105" s="826"/>
    </row>
    <row r="106" spans="1:13" s="825" customFormat="1" ht="21.75" customHeight="1" thickBot="1" x14ac:dyDescent="0.35">
      <c r="A106" s="894"/>
      <c r="B106" s="894"/>
      <c r="C106" s="894"/>
      <c r="D106" s="894"/>
      <c r="E106" s="894"/>
      <c r="F106" s="894"/>
      <c r="G106" s="894"/>
      <c r="H106" s="894"/>
      <c r="I106" s="894"/>
      <c r="J106" s="894"/>
      <c r="K106" s="826"/>
      <c r="L106" s="826"/>
      <c r="M106" s="826"/>
    </row>
    <row r="107" spans="1:13" s="825" customFormat="1" ht="70.5" thickBot="1" x14ac:dyDescent="0.35">
      <c r="A107" s="577" t="s">
        <v>944</v>
      </c>
      <c r="B107" s="578" t="s">
        <v>543</v>
      </c>
      <c r="C107" s="578" t="s">
        <v>1023</v>
      </c>
      <c r="D107" s="605" t="s">
        <v>545</v>
      </c>
      <c r="E107" s="578" t="s">
        <v>546</v>
      </c>
      <c r="F107" s="578" t="s">
        <v>547</v>
      </c>
      <c r="G107" s="578" t="s">
        <v>548</v>
      </c>
      <c r="H107" s="578" t="s">
        <v>45</v>
      </c>
      <c r="I107" s="578" t="s">
        <v>549</v>
      </c>
      <c r="J107" s="578" t="s">
        <v>46</v>
      </c>
      <c r="K107" s="826"/>
      <c r="L107" s="826"/>
      <c r="M107" s="826"/>
    </row>
    <row r="108" spans="1:13" s="825" customFormat="1" ht="21.75" customHeight="1" x14ac:dyDescent="0.5">
      <c r="A108" s="579" t="s">
        <v>47</v>
      </c>
      <c r="B108" s="580">
        <v>14750774.959999949</v>
      </c>
      <c r="C108" s="581">
        <f>137656453.46-148166.41</f>
        <v>137508287.05000001</v>
      </c>
      <c r="D108" s="606">
        <v>31746724.379999999</v>
      </c>
      <c r="E108" s="582">
        <v>1144734.73</v>
      </c>
      <c r="F108" s="581">
        <f>+B108+C108-D108-E108</f>
        <v>119367602.89999996</v>
      </c>
      <c r="G108" s="583">
        <f>143123479.12-D108-E108</f>
        <v>110232020.01000001</v>
      </c>
      <c r="H108" s="582">
        <f>+G108/F108*100</f>
        <v>92.346681454554073</v>
      </c>
      <c r="I108" s="584">
        <f>F108-G108</f>
        <v>9135582.8899999559</v>
      </c>
      <c r="J108" s="582">
        <f>+I108/F108*100</f>
        <v>7.6533185454459352</v>
      </c>
      <c r="K108" s="826"/>
      <c r="L108" s="826"/>
      <c r="M108" s="826"/>
    </row>
    <row r="109" spans="1:13" s="825" customFormat="1" ht="21.75" customHeight="1" x14ac:dyDescent="0.5">
      <c r="A109" s="585" t="s">
        <v>50</v>
      </c>
      <c r="B109" s="586">
        <v>0</v>
      </c>
      <c r="C109" s="586">
        <v>10527410.43</v>
      </c>
      <c r="D109" s="582">
        <v>0</v>
      </c>
      <c r="E109" s="587">
        <v>0</v>
      </c>
      <c r="F109" s="581">
        <f>B109+C109-D109-E109</f>
        <v>10527410.43</v>
      </c>
      <c r="G109" s="583">
        <v>9402224.3800000008</v>
      </c>
      <c r="H109" s="582">
        <f>+G109/F109*100</f>
        <v>89.31184399542785</v>
      </c>
      <c r="I109" s="584">
        <f>F109-G109</f>
        <v>1125186.0499999989</v>
      </c>
      <c r="J109" s="582">
        <f>+I109/F109*100</f>
        <v>10.688156004572141</v>
      </c>
      <c r="K109" s="826"/>
      <c r="L109" s="826"/>
      <c r="M109" s="826"/>
    </row>
    <row r="110" spans="1:13" s="825" customFormat="1" ht="21.75" customHeight="1" thickBot="1" x14ac:dyDescent="0.55000000000000004">
      <c r="A110" s="588" t="s">
        <v>36</v>
      </c>
      <c r="B110" s="589">
        <f>SUM(B108:B109)</f>
        <v>14750774.959999949</v>
      </c>
      <c r="C110" s="589">
        <f>SUM(C108:C109)</f>
        <v>148035697.48000002</v>
      </c>
      <c r="D110" s="590">
        <f>SUM(D108:D109)</f>
        <v>31746724.379999999</v>
      </c>
      <c r="E110" s="590">
        <f>SUM(E108:E109)</f>
        <v>1144734.73</v>
      </c>
      <c r="F110" s="591">
        <f>B110+C110-D110-E110</f>
        <v>129895013.32999997</v>
      </c>
      <c r="G110" s="592">
        <f>SUM(G108:G109)</f>
        <v>119634244.39</v>
      </c>
      <c r="H110" s="590">
        <f>+G110/F110*100</f>
        <v>92.100721438834327</v>
      </c>
      <c r="I110" s="593">
        <f>SUM(I108:I109)</f>
        <v>10260768.939999955</v>
      </c>
      <c r="J110" s="594">
        <f>+I110/F110*100</f>
        <v>7.8992785611656524</v>
      </c>
      <c r="K110" s="826"/>
      <c r="L110" s="826"/>
      <c r="M110" s="826"/>
    </row>
    <row r="111" spans="1:13" s="825" customFormat="1" ht="21.75" customHeight="1" thickTop="1" x14ac:dyDescent="0.3">
      <c r="A111" s="870" t="s">
        <v>37</v>
      </c>
      <c r="C111" s="826"/>
      <c r="D111" s="826"/>
      <c r="E111" s="826"/>
      <c r="F111" s="826"/>
      <c r="G111" s="826"/>
      <c r="H111" s="17"/>
      <c r="I111" s="826"/>
      <c r="K111" s="826"/>
      <c r="L111" s="826"/>
      <c r="M111" s="826"/>
    </row>
    <row r="112" spans="1:13" s="781" customFormat="1" ht="21.75" customHeight="1" x14ac:dyDescent="0.25">
      <c r="A112" s="134" t="s">
        <v>96</v>
      </c>
      <c r="B112" s="135" t="s">
        <v>1024</v>
      </c>
      <c r="C112" s="136"/>
      <c r="D112" s="780"/>
      <c r="E112" s="780"/>
      <c r="F112" s="780"/>
      <c r="G112" s="780"/>
      <c r="H112" s="782"/>
      <c r="I112" s="780"/>
      <c r="K112" s="780"/>
      <c r="L112" s="780"/>
      <c r="M112" s="780"/>
    </row>
    <row r="113" spans="1:13" s="781" customFormat="1" ht="21.75" customHeight="1" x14ac:dyDescent="0.25">
      <c r="A113" s="871" t="s">
        <v>47</v>
      </c>
      <c r="B113" s="135" t="s">
        <v>1065</v>
      </c>
      <c r="C113" s="136">
        <f>SUM(C114:C117)</f>
        <v>9135582.8900000006</v>
      </c>
      <c r="D113" s="780" t="s">
        <v>1066</v>
      </c>
      <c r="E113" s="780"/>
      <c r="F113" s="780"/>
      <c r="G113" s="780"/>
      <c r="H113" s="782"/>
      <c r="I113" s="780"/>
      <c r="K113" s="780"/>
      <c r="L113" s="780"/>
      <c r="M113" s="780"/>
    </row>
    <row r="114" spans="1:13" s="781" customFormat="1" ht="21.75" customHeight="1" x14ac:dyDescent="0.25">
      <c r="B114" s="781" t="s">
        <v>1067</v>
      </c>
      <c r="C114" s="780">
        <v>7163832.7999999998</v>
      </c>
      <c r="D114" s="780" t="s">
        <v>1068</v>
      </c>
      <c r="E114" s="780"/>
      <c r="F114" s="780"/>
      <c r="G114" s="780"/>
      <c r="H114" s="782"/>
      <c r="I114" s="780"/>
      <c r="K114" s="780"/>
      <c r="L114" s="780"/>
      <c r="M114" s="780"/>
    </row>
    <row r="115" spans="1:13" s="781" customFormat="1" ht="21.75" customHeight="1" x14ac:dyDescent="0.25">
      <c r="B115" s="781" t="s">
        <v>1067</v>
      </c>
      <c r="C115" s="780">
        <v>1674908.75</v>
      </c>
      <c r="D115" s="780" t="s">
        <v>1069</v>
      </c>
      <c r="E115" s="780"/>
      <c r="F115" s="780"/>
      <c r="G115" s="780"/>
      <c r="H115" s="782"/>
      <c r="I115" s="780"/>
      <c r="K115" s="780"/>
      <c r="L115" s="780"/>
      <c r="M115" s="780"/>
    </row>
    <row r="116" spans="1:13" s="781" customFormat="1" ht="21.75" customHeight="1" x14ac:dyDescent="0.25">
      <c r="B116" s="781" t="s">
        <v>1070</v>
      </c>
      <c r="C116" s="780">
        <v>99145.52</v>
      </c>
      <c r="D116" s="780" t="s">
        <v>1069</v>
      </c>
      <c r="E116" s="780"/>
      <c r="F116" s="780"/>
      <c r="G116" s="780"/>
      <c r="H116" s="782"/>
      <c r="I116" s="780"/>
      <c r="K116" s="780"/>
      <c r="L116" s="780"/>
      <c r="M116" s="780"/>
    </row>
    <row r="117" spans="1:13" s="781" customFormat="1" ht="21.75" customHeight="1" x14ac:dyDescent="0.25">
      <c r="B117" s="781" t="s">
        <v>1071</v>
      </c>
      <c r="C117" s="780">
        <v>197695.82</v>
      </c>
      <c r="D117" s="780" t="s">
        <v>1069</v>
      </c>
      <c r="E117" s="780"/>
      <c r="F117" s="780"/>
      <c r="G117" s="780"/>
      <c r="H117" s="782"/>
      <c r="I117" s="780"/>
      <c r="K117" s="780"/>
      <c r="L117" s="780"/>
      <c r="M117" s="780"/>
    </row>
    <row r="118" spans="1:13" s="781" customFormat="1" ht="21.75" customHeight="1" x14ac:dyDescent="0.25">
      <c r="C118" s="780"/>
      <c r="D118" s="780"/>
      <c r="E118" s="780"/>
      <c r="F118" s="780"/>
      <c r="G118" s="780"/>
      <c r="H118" s="782"/>
      <c r="I118" s="780"/>
      <c r="K118" s="780"/>
      <c r="L118" s="780"/>
      <c r="M118" s="780"/>
    </row>
    <row r="119" spans="1:13" s="781" customFormat="1" ht="21.75" customHeight="1" x14ac:dyDescent="0.25">
      <c r="B119" s="781" t="s">
        <v>50</v>
      </c>
      <c r="C119" s="780">
        <v>1125186.0499999989</v>
      </c>
      <c r="D119" s="780" t="s">
        <v>1068</v>
      </c>
      <c r="F119" s="780"/>
      <c r="G119" s="780"/>
      <c r="H119" s="782"/>
      <c r="I119" s="780"/>
      <c r="K119" s="780"/>
      <c r="L119" s="780"/>
      <c r="M119" s="780"/>
    </row>
    <row r="120" spans="1:13" s="781" customFormat="1" ht="21.75" customHeight="1" x14ac:dyDescent="0.25">
      <c r="C120" s="780"/>
      <c r="D120" s="780"/>
      <c r="F120" s="780"/>
      <c r="G120" s="780"/>
      <c r="H120" s="782"/>
      <c r="I120" s="780"/>
      <c r="K120" s="780"/>
      <c r="L120" s="780"/>
      <c r="M120" s="780"/>
    </row>
    <row r="121" spans="1:13" s="781" customFormat="1" ht="21.75" customHeight="1" thickBot="1" x14ac:dyDescent="0.3">
      <c r="A121" s="872" t="s">
        <v>96</v>
      </c>
      <c r="B121" s="45" t="s">
        <v>1072</v>
      </c>
      <c r="C121" s="873">
        <f>SUM(C114:C119)</f>
        <v>10260768.939999999</v>
      </c>
      <c r="D121" s="780"/>
      <c r="E121" s="780"/>
      <c r="F121" s="780"/>
      <c r="G121" s="780"/>
      <c r="H121" s="782"/>
      <c r="I121" s="780"/>
      <c r="K121" s="780"/>
      <c r="L121" s="780"/>
      <c r="M121" s="780"/>
    </row>
    <row r="122" spans="1:13" ht="20.100000000000001" customHeight="1" thickTop="1" x14ac:dyDescent="0.25">
      <c r="A122" s="358"/>
      <c r="B122" s="357"/>
      <c r="D122" s="68"/>
      <c r="E122" s="68"/>
      <c r="G122" s="57"/>
      <c r="H122" s="68"/>
      <c r="I122" s="366"/>
      <c r="J122" s="68"/>
    </row>
    <row r="123" spans="1:13" s="825" customFormat="1" ht="21.75" customHeight="1" x14ac:dyDescent="0.3">
      <c r="A123" s="893" t="s">
        <v>1160</v>
      </c>
      <c r="B123" s="893"/>
      <c r="C123" s="893"/>
      <c r="D123" s="893"/>
      <c r="E123" s="893"/>
      <c r="F123" s="893"/>
      <c r="G123" s="893"/>
      <c r="H123" s="893"/>
      <c r="I123" s="893"/>
      <c r="J123" s="893"/>
      <c r="K123" s="826"/>
      <c r="L123" s="826"/>
      <c r="M123" s="826"/>
    </row>
    <row r="124" spans="1:13" s="825" customFormat="1" ht="21.75" customHeight="1" thickBot="1" x14ac:dyDescent="0.35">
      <c r="A124" s="894"/>
      <c r="B124" s="894"/>
      <c r="C124" s="894"/>
      <c r="D124" s="894"/>
      <c r="E124" s="894"/>
      <c r="F124" s="894"/>
      <c r="G124" s="894"/>
      <c r="H124" s="894"/>
      <c r="I124" s="894"/>
      <c r="J124" s="894"/>
      <c r="K124" s="826"/>
      <c r="L124" s="826"/>
      <c r="M124" s="826"/>
    </row>
    <row r="125" spans="1:13" s="825" customFormat="1" ht="70.5" thickBot="1" x14ac:dyDescent="0.35">
      <c r="A125" s="577" t="s">
        <v>1074</v>
      </c>
      <c r="B125" s="578" t="s">
        <v>543</v>
      </c>
      <c r="C125" s="578" t="s">
        <v>1161</v>
      </c>
      <c r="D125" s="605" t="s">
        <v>545</v>
      </c>
      <c r="E125" s="578" t="s">
        <v>546</v>
      </c>
      <c r="F125" s="578" t="s">
        <v>547</v>
      </c>
      <c r="G125" s="578" t="s">
        <v>548</v>
      </c>
      <c r="H125" s="578" t="s">
        <v>45</v>
      </c>
      <c r="I125" s="578" t="s">
        <v>549</v>
      </c>
      <c r="J125" s="578" t="s">
        <v>46</v>
      </c>
      <c r="K125" s="826"/>
      <c r="L125" s="826"/>
      <c r="M125" s="826"/>
    </row>
    <row r="126" spans="1:13" s="825" customFormat="1" ht="23.25" x14ac:dyDescent="0.5">
      <c r="A126" s="579" t="s">
        <v>47</v>
      </c>
      <c r="B126" s="580">
        <v>9135582.8899999559</v>
      </c>
      <c r="C126" s="581">
        <f>155942748.98-2913206.89</f>
        <v>153029542.09</v>
      </c>
      <c r="D126" s="606">
        <v>32153661.609999999</v>
      </c>
      <c r="E126" s="582">
        <v>2402467.9</v>
      </c>
      <c r="F126" s="581">
        <f>+B126+C126-D126-E126</f>
        <v>127608995.46999995</v>
      </c>
      <c r="G126" s="583">
        <f>160136459.77-D126-E126</f>
        <v>125580330.26000001</v>
      </c>
      <c r="H126" s="582">
        <f>+G126/F126*100</f>
        <v>98.410249056088787</v>
      </c>
      <c r="I126" s="584">
        <f>F126-G126</f>
        <v>2028665.2099999487</v>
      </c>
      <c r="J126" s="582">
        <f>+I126/F126*100</f>
        <v>1.5897509439112187</v>
      </c>
      <c r="K126" s="826"/>
      <c r="L126" s="826"/>
      <c r="M126" s="826"/>
    </row>
    <row r="127" spans="1:13" s="825" customFormat="1" ht="21.75" customHeight="1" x14ac:dyDescent="0.5">
      <c r="A127" s="585" t="s">
        <v>50</v>
      </c>
      <c r="B127" s="586">
        <v>1125186.0499999989</v>
      </c>
      <c r="C127" s="586">
        <v>19346134.27</v>
      </c>
      <c r="D127" s="582">
        <v>0</v>
      </c>
      <c r="E127" s="587">
        <v>0</v>
      </c>
      <c r="F127" s="581">
        <f>B127+C127-D127-E127</f>
        <v>20471320.32</v>
      </c>
      <c r="G127" s="583">
        <f>19587008.01-D127-E127</f>
        <v>19587008.010000002</v>
      </c>
      <c r="H127" s="582">
        <f>+G127/F127*100</f>
        <v>95.680238029708093</v>
      </c>
      <c r="I127" s="584">
        <f>F127-G127</f>
        <v>884312.30999999866</v>
      </c>
      <c r="J127" s="582">
        <f>+I127/F127*100</f>
        <v>4.3197619702919026</v>
      </c>
      <c r="K127" s="826"/>
      <c r="L127" s="826"/>
      <c r="M127" s="826"/>
    </row>
    <row r="128" spans="1:13" s="825" customFormat="1" ht="21.75" customHeight="1" thickBot="1" x14ac:dyDescent="0.55000000000000004">
      <c r="A128" s="588" t="s">
        <v>36</v>
      </c>
      <c r="B128" s="589">
        <f>SUM(B126:B127)</f>
        <v>10260768.939999955</v>
      </c>
      <c r="C128" s="589">
        <f>SUM(C126:C127)</f>
        <v>172375676.36000001</v>
      </c>
      <c r="D128" s="590">
        <f>SUM(D126:D127)</f>
        <v>32153661.609999999</v>
      </c>
      <c r="E128" s="590">
        <f>SUM(E126:E127)</f>
        <v>2402467.9</v>
      </c>
      <c r="F128" s="591">
        <f>B128+C128-D128-E128</f>
        <v>148080315.78999999</v>
      </c>
      <c r="G128" s="592">
        <f>SUM(G126:G127)</f>
        <v>145167338.27000001</v>
      </c>
      <c r="H128" s="590">
        <f>+G128/F128*100</f>
        <v>98.032839473322696</v>
      </c>
      <c r="I128" s="593">
        <f>SUM(I126:I127)</f>
        <v>2912977.5199999474</v>
      </c>
      <c r="J128" s="594">
        <f>+I128/F128*100</f>
        <v>1.9671605266772827</v>
      </c>
      <c r="K128" s="826"/>
      <c r="L128" s="826"/>
      <c r="M128" s="826"/>
    </row>
    <row r="129" spans="1:13" s="825" customFormat="1" ht="21.75" customHeight="1" thickTop="1" x14ac:dyDescent="0.3">
      <c r="A129" s="767" t="s">
        <v>37</v>
      </c>
      <c r="C129" s="826"/>
      <c r="D129" s="826"/>
      <c r="E129" s="826"/>
      <c r="F129" s="826"/>
      <c r="G129" s="826"/>
      <c r="H129" s="17"/>
      <c r="I129" s="826"/>
      <c r="K129" s="826"/>
      <c r="L129" s="826"/>
      <c r="M129" s="826"/>
    </row>
    <row r="130" spans="1:13" s="825" customFormat="1" ht="21.75" customHeight="1" x14ac:dyDescent="0.3">
      <c r="C130" s="826"/>
      <c r="D130" s="826"/>
      <c r="E130" s="826"/>
      <c r="F130" s="826"/>
      <c r="G130" s="826"/>
      <c r="H130" s="17"/>
      <c r="I130" s="826"/>
      <c r="K130" s="826"/>
      <c r="L130" s="826"/>
      <c r="M130" s="826"/>
    </row>
    <row r="131" spans="1:13" s="781" customFormat="1" ht="21.75" customHeight="1" x14ac:dyDescent="0.25">
      <c r="A131" s="134" t="s">
        <v>96</v>
      </c>
      <c r="B131" s="135" t="s">
        <v>1162</v>
      </c>
      <c r="C131" s="136"/>
      <c r="D131" s="780"/>
      <c r="E131" s="780"/>
      <c r="F131" s="780"/>
      <c r="G131" s="780"/>
      <c r="H131" s="782"/>
      <c r="I131" s="780"/>
      <c r="K131" s="780"/>
      <c r="L131" s="780"/>
      <c r="M131" s="780"/>
    </row>
    <row r="132" spans="1:13" s="781" customFormat="1" ht="21.75" customHeight="1" x14ac:dyDescent="0.25">
      <c r="A132" s="871" t="s">
        <v>47</v>
      </c>
      <c r="B132" s="135" t="s">
        <v>1065</v>
      </c>
      <c r="C132" s="136">
        <v>2028665.2099999487</v>
      </c>
      <c r="E132" s="780" t="s">
        <v>1066</v>
      </c>
      <c r="F132" s="780"/>
      <c r="G132" s="780"/>
      <c r="H132" s="782"/>
      <c r="I132" s="780"/>
      <c r="K132" s="780"/>
      <c r="L132" s="780"/>
      <c r="M132" s="780"/>
    </row>
    <row r="133" spans="1:13" s="825" customFormat="1" ht="21.75" customHeight="1" x14ac:dyDescent="0.3">
      <c r="B133" s="825" t="s">
        <v>1163</v>
      </c>
      <c r="C133" s="826">
        <v>1340678.31</v>
      </c>
      <c r="D133" s="826"/>
      <c r="E133" s="826" t="s">
        <v>1164</v>
      </c>
      <c r="F133" s="826"/>
      <c r="G133" s="826"/>
      <c r="H133" s="17"/>
      <c r="I133" s="826"/>
      <c r="K133" s="826"/>
      <c r="L133" s="826"/>
      <c r="M133" s="826"/>
    </row>
    <row r="134" spans="1:13" s="825" customFormat="1" ht="21.75" customHeight="1" x14ac:dyDescent="0.3">
      <c r="B134" s="825" t="s">
        <v>1163</v>
      </c>
      <c r="C134" s="826">
        <v>446876.68</v>
      </c>
      <c r="D134" s="826"/>
      <c r="E134" s="826" t="s">
        <v>1165</v>
      </c>
      <c r="F134" s="826"/>
      <c r="G134" s="826"/>
      <c r="H134" s="17"/>
      <c r="I134" s="826"/>
      <c r="K134" s="826"/>
      <c r="L134" s="826"/>
      <c r="M134" s="826"/>
    </row>
    <row r="135" spans="1:13" s="825" customFormat="1" ht="21.75" customHeight="1" x14ac:dyDescent="0.3">
      <c r="B135" s="825" t="s">
        <v>1163</v>
      </c>
      <c r="C135" s="826">
        <v>241110.22</v>
      </c>
      <c r="D135" s="826"/>
      <c r="E135" s="826" t="s">
        <v>1166</v>
      </c>
      <c r="F135" s="826"/>
      <c r="G135" s="826"/>
      <c r="H135" s="17"/>
      <c r="I135" s="826"/>
      <c r="K135" s="826"/>
      <c r="L135" s="826"/>
      <c r="M135" s="826"/>
    </row>
    <row r="136" spans="1:13" s="825" customFormat="1" ht="21.75" customHeight="1" x14ac:dyDescent="0.3">
      <c r="C136" s="826"/>
      <c r="D136" s="826"/>
      <c r="E136" s="826"/>
      <c r="F136" s="826"/>
      <c r="G136" s="826"/>
      <c r="H136" s="17"/>
      <c r="I136" s="826"/>
      <c r="K136" s="826"/>
      <c r="L136" s="826"/>
      <c r="M136" s="826"/>
    </row>
    <row r="137" spans="1:13" s="825" customFormat="1" ht="21.75" customHeight="1" x14ac:dyDescent="0.3">
      <c r="B137" s="825" t="s">
        <v>50</v>
      </c>
      <c r="C137" s="826">
        <v>884312.30999999866</v>
      </c>
      <c r="D137" s="826"/>
      <c r="E137" s="826" t="s">
        <v>1164</v>
      </c>
      <c r="F137" s="826"/>
      <c r="G137" s="826"/>
      <c r="H137" s="17"/>
      <c r="I137" s="826"/>
      <c r="K137" s="826"/>
      <c r="L137" s="826"/>
      <c r="M137" s="826"/>
    </row>
    <row r="138" spans="1:13" s="825" customFormat="1" ht="21.75" customHeight="1" thickBot="1" x14ac:dyDescent="0.35">
      <c r="A138" s="134" t="s">
        <v>96</v>
      </c>
      <c r="B138" s="135" t="s">
        <v>1167</v>
      </c>
      <c r="C138" s="409">
        <f>C133+C134+C135+C137</f>
        <v>2912977.5199999986</v>
      </c>
      <c r="D138" s="826"/>
      <c r="E138" s="826"/>
      <c r="F138" s="826"/>
      <c r="G138" s="826"/>
      <c r="H138" s="17"/>
      <c r="I138" s="826"/>
      <c r="K138" s="826"/>
      <c r="L138" s="826"/>
      <c r="M138" s="826"/>
    </row>
    <row r="139" spans="1:13" s="825" customFormat="1" ht="21.75" customHeight="1" thickTop="1" x14ac:dyDescent="0.3">
      <c r="C139" s="826"/>
      <c r="D139" s="826"/>
      <c r="E139" s="826"/>
      <c r="F139" s="826"/>
      <c r="G139" s="826"/>
      <c r="H139" s="17"/>
      <c r="I139" s="826"/>
      <c r="K139" s="826"/>
      <c r="L139" s="826"/>
      <c r="M139" s="826"/>
    </row>
    <row r="140" spans="1:13" s="825" customFormat="1" ht="21.75" customHeight="1" x14ac:dyDescent="0.3">
      <c r="A140" s="893" t="s">
        <v>1221</v>
      </c>
      <c r="B140" s="893"/>
      <c r="C140" s="893"/>
      <c r="D140" s="893"/>
      <c r="E140" s="893"/>
      <c r="F140" s="893"/>
      <c r="G140" s="893"/>
      <c r="H140" s="893"/>
      <c r="I140" s="893"/>
      <c r="J140" s="893"/>
      <c r="K140" s="826"/>
      <c r="L140" s="826"/>
      <c r="M140" s="826"/>
    </row>
    <row r="141" spans="1:13" s="825" customFormat="1" ht="17.25" thickBot="1" x14ac:dyDescent="0.35">
      <c r="A141" s="894"/>
      <c r="B141" s="894"/>
      <c r="C141" s="894"/>
      <c r="D141" s="894"/>
      <c r="E141" s="894"/>
      <c r="F141" s="894"/>
      <c r="G141" s="894"/>
      <c r="H141" s="894"/>
      <c r="I141" s="894"/>
      <c r="J141" s="894"/>
      <c r="K141" s="826"/>
      <c r="L141" s="826"/>
      <c r="M141" s="826"/>
    </row>
    <row r="142" spans="1:13" s="825" customFormat="1" ht="70.5" thickBot="1" x14ac:dyDescent="0.35">
      <c r="A142" s="577" t="s">
        <v>1169</v>
      </c>
      <c r="B142" s="578" t="s">
        <v>543</v>
      </c>
      <c r="C142" s="578" t="s">
        <v>1222</v>
      </c>
      <c r="D142" s="605" t="s">
        <v>545</v>
      </c>
      <c r="E142" s="578" t="s">
        <v>546</v>
      </c>
      <c r="F142" s="578" t="s">
        <v>547</v>
      </c>
      <c r="G142" s="578" t="s">
        <v>548</v>
      </c>
      <c r="H142" s="578" t="s">
        <v>45</v>
      </c>
      <c r="I142" s="578" t="s">
        <v>549</v>
      </c>
      <c r="J142" s="578" t="s">
        <v>46</v>
      </c>
      <c r="K142" s="826"/>
      <c r="L142" s="826"/>
      <c r="M142" s="826"/>
    </row>
    <row r="143" spans="1:13" s="825" customFormat="1" ht="23.25" x14ac:dyDescent="0.5">
      <c r="A143" s="579" t="s">
        <v>47</v>
      </c>
      <c r="B143" s="580">
        <v>2028665.2099999487</v>
      </c>
      <c r="C143" s="581">
        <f>165400240.71-4288762.44</f>
        <v>161111478.27000001</v>
      </c>
      <c r="D143" s="606">
        <v>42103029.770000003</v>
      </c>
      <c r="E143" s="582">
        <v>1555403.88</v>
      </c>
      <c r="F143" s="581">
        <f>+B143+C143-D143-E143</f>
        <v>119481709.82999995</v>
      </c>
      <c r="G143" s="583">
        <f>155075944.02-D143-E143</f>
        <v>111417510.37</v>
      </c>
      <c r="H143" s="582">
        <f>+G143/F143*100</f>
        <v>93.250682910820586</v>
      </c>
      <c r="I143" s="584">
        <f>F143-G143</f>
        <v>8064199.4599999487</v>
      </c>
      <c r="J143" s="582">
        <f>+I143/F143*100</f>
        <v>6.7493170891794154</v>
      </c>
      <c r="K143" s="826"/>
      <c r="L143" s="826"/>
      <c r="M143" s="826"/>
    </row>
    <row r="144" spans="1:13" s="825" customFormat="1" ht="23.25" x14ac:dyDescent="0.5">
      <c r="A144" s="585" t="s">
        <v>50</v>
      </c>
      <c r="B144" s="586">
        <v>884312.30999999866</v>
      </c>
      <c r="C144" s="586">
        <v>27907942.120000001</v>
      </c>
      <c r="D144" s="582">
        <v>0</v>
      </c>
      <c r="E144" s="587">
        <v>0</v>
      </c>
      <c r="F144" s="581">
        <f>B144+C144-D144-E144</f>
        <v>28792254.43</v>
      </c>
      <c r="G144" s="583">
        <v>28792254.43</v>
      </c>
      <c r="H144" s="582">
        <f>+G144/F144*100</f>
        <v>100</v>
      </c>
      <c r="I144" s="584">
        <f>F144-G144</f>
        <v>0</v>
      </c>
      <c r="J144" s="582">
        <f>+I144/F144*100</f>
        <v>0</v>
      </c>
      <c r="K144" s="826"/>
      <c r="L144" s="826"/>
      <c r="M144" s="826"/>
    </row>
    <row r="145" spans="1:13" s="825" customFormat="1" ht="24" thickBot="1" x14ac:dyDescent="0.55000000000000004">
      <c r="A145" s="588" t="s">
        <v>36</v>
      </c>
      <c r="B145" s="589">
        <f>SUM(B143:B144)</f>
        <v>2912977.5199999474</v>
      </c>
      <c r="C145" s="589">
        <f>SUM(C143:C144)</f>
        <v>189019420.39000002</v>
      </c>
      <c r="D145" s="590">
        <f>SUM(D143:D144)</f>
        <v>42103029.770000003</v>
      </c>
      <c r="E145" s="590">
        <f>SUM(E143:E144)</f>
        <v>1555403.88</v>
      </c>
      <c r="F145" s="591">
        <f>B145+C145-D145-E145</f>
        <v>148273964.25999996</v>
      </c>
      <c r="G145" s="592">
        <f>SUM(G143:G144)</f>
        <v>140209764.80000001</v>
      </c>
      <c r="H145" s="590">
        <f>+G145/F145*100</f>
        <v>94.561284241473913</v>
      </c>
      <c r="I145" s="593">
        <f>SUM(I143:I144)</f>
        <v>8064199.4599999487</v>
      </c>
      <c r="J145" s="594">
        <f>+I145/F145*100</f>
        <v>5.4387157585260821</v>
      </c>
      <c r="K145" s="826"/>
      <c r="L145" s="826"/>
      <c r="M145" s="826"/>
    </row>
    <row r="146" spans="1:13" s="825" customFormat="1" ht="17.25" thickTop="1" x14ac:dyDescent="0.3">
      <c r="A146" s="767" t="s">
        <v>37</v>
      </c>
      <c r="C146" s="826"/>
      <c r="D146" s="826"/>
      <c r="E146" s="826"/>
      <c r="F146" s="826"/>
      <c r="G146" s="826"/>
      <c r="H146" s="17"/>
      <c r="I146" s="826"/>
      <c r="K146" s="826"/>
      <c r="L146" s="826"/>
      <c r="M146" s="826"/>
    </row>
    <row r="147" spans="1:13" s="825" customFormat="1" ht="16.5" x14ac:dyDescent="0.3">
      <c r="C147" s="826"/>
      <c r="D147" s="826"/>
      <c r="E147" s="826"/>
      <c r="F147" s="826"/>
      <c r="G147" s="826"/>
      <c r="H147" s="17"/>
      <c r="I147" s="826"/>
      <c r="K147" s="826"/>
      <c r="L147" s="826"/>
      <c r="M147" s="826"/>
    </row>
    <row r="148" spans="1:13" s="825" customFormat="1" ht="16.5" x14ac:dyDescent="0.3">
      <c r="A148" s="134" t="s">
        <v>96</v>
      </c>
      <c r="B148" s="135" t="s">
        <v>1223</v>
      </c>
      <c r="C148" s="136" t="s">
        <v>52</v>
      </c>
      <c r="D148" s="826"/>
      <c r="E148" s="826"/>
      <c r="F148" s="826"/>
      <c r="G148" s="826"/>
      <c r="H148" s="17"/>
      <c r="I148" s="826"/>
      <c r="K148" s="826"/>
      <c r="L148" s="826"/>
      <c r="M148" s="826"/>
    </row>
    <row r="149" spans="1:13" s="781" customFormat="1" ht="21.75" customHeight="1" x14ac:dyDescent="0.25">
      <c r="A149" s="871" t="s">
        <v>47</v>
      </c>
      <c r="B149" s="135" t="s">
        <v>1065</v>
      </c>
      <c r="C149" s="136">
        <v>8064199.4599999487</v>
      </c>
      <c r="E149" s="780" t="s">
        <v>1066</v>
      </c>
      <c r="F149" s="780"/>
      <c r="G149" s="780"/>
      <c r="H149" s="782"/>
      <c r="I149" s="780"/>
      <c r="K149" s="780"/>
      <c r="L149" s="780"/>
      <c r="M149" s="780"/>
    </row>
    <row r="150" spans="1:13" s="825" customFormat="1" ht="21.75" customHeight="1" x14ac:dyDescent="0.3">
      <c r="B150" s="825" t="s">
        <v>1163</v>
      </c>
      <c r="C150" s="826">
        <v>241110.22</v>
      </c>
      <c r="D150" s="826"/>
      <c r="E150" s="826" t="s">
        <v>1224</v>
      </c>
      <c r="F150" s="826"/>
      <c r="G150" s="826"/>
      <c r="H150" s="17"/>
      <c r="I150" s="826"/>
      <c r="K150" s="826"/>
      <c r="L150" s="826"/>
      <c r="M150" s="826"/>
    </row>
    <row r="151" spans="1:13" s="825" customFormat="1" ht="21.75" customHeight="1" x14ac:dyDescent="0.3">
      <c r="B151" s="825" t="s">
        <v>1225</v>
      </c>
      <c r="C151" s="826">
        <v>17841.46</v>
      </c>
      <c r="D151" s="826"/>
      <c r="E151" s="826" t="s">
        <v>1226</v>
      </c>
      <c r="F151" s="826"/>
      <c r="G151" s="826"/>
      <c r="H151" s="17"/>
      <c r="I151" s="826"/>
      <c r="K151" s="826"/>
      <c r="L151" s="826"/>
      <c r="M151" s="826"/>
    </row>
    <row r="152" spans="1:13" s="825" customFormat="1" ht="21.75" customHeight="1" x14ac:dyDescent="0.3">
      <c r="B152" s="825" t="s">
        <v>1225</v>
      </c>
      <c r="C152" s="826">
        <v>4011473.88</v>
      </c>
      <c r="D152" s="826"/>
      <c r="E152" s="826" t="s">
        <v>1227</v>
      </c>
      <c r="F152" s="826"/>
      <c r="G152" s="826"/>
      <c r="H152" s="17"/>
      <c r="I152" s="826"/>
      <c r="K152" s="826"/>
      <c r="L152" s="826"/>
      <c r="M152" s="826"/>
    </row>
    <row r="153" spans="1:13" s="825" customFormat="1" ht="21.75" customHeight="1" x14ac:dyDescent="0.3">
      <c r="B153" s="825" t="s">
        <v>1225</v>
      </c>
      <c r="C153" s="826">
        <v>103144.64</v>
      </c>
      <c r="D153" s="826"/>
      <c r="E153" s="826" t="s">
        <v>1224</v>
      </c>
      <c r="F153" s="826"/>
      <c r="G153" s="826"/>
      <c r="H153" s="17"/>
      <c r="I153" s="826"/>
      <c r="K153" s="826"/>
      <c r="L153" s="826"/>
      <c r="M153" s="826"/>
    </row>
    <row r="154" spans="1:13" s="825" customFormat="1" ht="21.75" customHeight="1" x14ac:dyDescent="0.3">
      <c r="B154" s="825" t="s">
        <v>1225</v>
      </c>
      <c r="C154" s="826">
        <v>3300693.27</v>
      </c>
      <c r="D154" s="826"/>
      <c r="E154" s="826" t="s">
        <v>1228</v>
      </c>
      <c r="F154" s="826"/>
      <c r="G154" s="826"/>
      <c r="H154" s="17"/>
      <c r="I154" s="826"/>
      <c r="K154" s="826"/>
      <c r="L154" s="826"/>
      <c r="M154" s="826"/>
    </row>
    <row r="155" spans="1:13" s="825" customFormat="1" ht="21.75" customHeight="1" x14ac:dyDescent="0.3">
      <c r="B155" s="825" t="s">
        <v>1225</v>
      </c>
      <c r="C155" s="826">
        <v>389935.99</v>
      </c>
      <c r="D155" s="826"/>
      <c r="E155" s="826" t="s">
        <v>1229</v>
      </c>
      <c r="F155" s="826"/>
      <c r="G155" s="826"/>
      <c r="H155" s="17"/>
      <c r="I155" s="826"/>
      <c r="K155" s="826"/>
      <c r="L155" s="826"/>
      <c r="M155" s="826"/>
    </row>
    <row r="156" spans="1:13" s="825" customFormat="1" ht="21.75" customHeight="1" thickBot="1" x14ac:dyDescent="0.35">
      <c r="C156" s="409">
        <f>SUM(C150:C155)</f>
        <v>8064199.459999999</v>
      </c>
      <c r="D156" s="826"/>
      <c r="E156" s="826"/>
      <c r="F156" s="826"/>
      <c r="G156" s="826"/>
      <c r="H156" s="17"/>
      <c r="I156" s="826"/>
      <c r="K156" s="826"/>
      <c r="L156" s="826"/>
      <c r="M156" s="826"/>
    </row>
    <row r="157" spans="1:13" ht="20.100000000000001" customHeight="1" thickTop="1" x14ac:dyDescent="0.25">
      <c r="A157" s="114"/>
      <c r="B157" s="34"/>
      <c r="C157" s="34"/>
      <c r="D157" s="362"/>
      <c r="E157" s="362"/>
      <c r="F157" s="361"/>
      <c r="G157" s="365"/>
      <c r="H157" s="362"/>
      <c r="I157" s="117"/>
      <c r="J157" s="69"/>
    </row>
    <row r="158" spans="1:13" ht="20.100000000000001" customHeight="1" x14ac:dyDescent="0.25">
      <c r="A158" s="363"/>
    </row>
    <row r="159" spans="1:13" s="825" customFormat="1" ht="21.75" customHeight="1" x14ac:dyDescent="0.3">
      <c r="A159" s="893" t="s">
        <v>1301</v>
      </c>
      <c r="B159" s="893"/>
      <c r="C159" s="893"/>
      <c r="D159" s="893"/>
      <c r="E159" s="893"/>
      <c r="F159" s="893"/>
      <c r="G159" s="893"/>
      <c r="H159" s="893"/>
      <c r="I159" s="893"/>
      <c r="J159" s="893"/>
      <c r="K159" s="826"/>
      <c r="L159" s="826"/>
      <c r="M159" s="826"/>
    </row>
    <row r="160" spans="1:13" s="825" customFormat="1" ht="17.25" thickBot="1" x14ac:dyDescent="0.35">
      <c r="A160" s="894"/>
      <c r="B160" s="894"/>
      <c r="C160" s="894"/>
      <c r="D160" s="894"/>
      <c r="E160" s="894"/>
      <c r="F160" s="894"/>
      <c r="G160" s="894"/>
      <c r="H160" s="894"/>
      <c r="I160" s="894"/>
      <c r="J160" s="894"/>
      <c r="K160" s="826"/>
      <c r="L160" s="826"/>
      <c r="M160" s="826"/>
    </row>
    <row r="161" spans="1:13" s="825" customFormat="1" ht="70.5" thickBot="1" x14ac:dyDescent="0.35">
      <c r="A161" s="577" t="s">
        <v>1286</v>
      </c>
      <c r="B161" s="578" t="s">
        <v>543</v>
      </c>
      <c r="C161" s="578" t="s">
        <v>1302</v>
      </c>
      <c r="D161" s="605" t="s">
        <v>545</v>
      </c>
      <c r="E161" s="578" t="s">
        <v>546</v>
      </c>
      <c r="F161" s="578" t="s">
        <v>547</v>
      </c>
      <c r="G161" s="578" t="s">
        <v>548</v>
      </c>
      <c r="H161" s="578" t="s">
        <v>45</v>
      </c>
      <c r="I161" s="578" t="s">
        <v>549</v>
      </c>
      <c r="J161" s="578" t="s">
        <v>46</v>
      </c>
      <c r="K161" s="826"/>
      <c r="L161" s="826"/>
      <c r="M161" s="826"/>
    </row>
    <row r="162" spans="1:13" s="825" customFormat="1" ht="23.25" x14ac:dyDescent="0.5">
      <c r="A162" s="579" t="s">
        <v>47</v>
      </c>
      <c r="B162" s="580">
        <v>8064199.4599999487</v>
      </c>
      <c r="C162" s="581">
        <f>151130467.01-23978.6</f>
        <v>151106488.41</v>
      </c>
      <c r="D162" s="606">
        <v>28473085.57</v>
      </c>
      <c r="E162" s="582">
        <v>5251789.4400000004</v>
      </c>
      <c r="F162" s="581">
        <f>+B162+C162-D162-E162</f>
        <v>125445812.85999995</v>
      </c>
      <c r="G162" s="583">
        <f>153051979.61-D162-E162</f>
        <v>119327104.60000002</v>
      </c>
      <c r="H162" s="582">
        <f>+G162/F162*100</f>
        <v>95.122429262084225</v>
      </c>
      <c r="I162" s="584">
        <f>F162-G162</f>
        <v>6118708.2599999309</v>
      </c>
      <c r="J162" s="582">
        <f>+I162/F162*100</f>
        <v>4.8775707379157662</v>
      </c>
      <c r="K162" s="826"/>
      <c r="L162" s="826"/>
      <c r="M162" s="826"/>
    </row>
    <row r="163" spans="1:13" s="825" customFormat="1" ht="23.25" x14ac:dyDescent="0.5">
      <c r="A163" s="585" t="s">
        <v>50</v>
      </c>
      <c r="B163" s="586">
        <v>0</v>
      </c>
      <c r="C163" s="586">
        <v>28653945.23</v>
      </c>
      <c r="D163" s="582">
        <v>0</v>
      </c>
      <c r="E163" s="587">
        <v>124876.71</v>
      </c>
      <c r="F163" s="581">
        <f>B163+C163-D163-E163</f>
        <v>28529068.52</v>
      </c>
      <c r="G163" s="583">
        <f>24764787.7-D163-E163</f>
        <v>24639910.989999998</v>
      </c>
      <c r="H163" s="582">
        <f>+G163/F163*100</f>
        <v>86.367737427972628</v>
      </c>
      <c r="I163" s="584">
        <f>F163-G163</f>
        <v>3889157.5300000012</v>
      </c>
      <c r="J163" s="582">
        <f>+I163/F163*100</f>
        <v>13.632262572027365</v>
      </c>
      <c r="K163" s="826"/>
      <c r="L163" s="826"/>
      <c r="M163" s="826"/>
    </row>
    <row r="164" spans="1:13" s="825" customFormat="1" ht="24" thickBot="1" x14ac:dyDescent="0.55000000000000004">
      <c r="A164" s="588" t="s">
        <v>36</v>
      </c>
      <c r="B164" s="589">
        <f t="shared" ref="B164:G164" si="4">SUM(B162:B163)</f>
        <v>8064199.4599999487</v>
      </c>
      <c r="C164" s="589">
        <f t="shared" si="4"/>
        <v>179760433.63999999</v>
      </c>
      <c r="D164" s="590">
        <f t="shared" si="4"/>
        <v>28473085.57</v>
      </c>
      <c r="E164" s="590">
        <f t="shared" si="4"/>
        <v>5376666.1500000004</v>
      </c>
      <c r="F164" s="591">
        <f t="shared" si="4"/>
        <v>153974881.37999997</v>
      </c>
      <c r="G164" s="591">
        <f t="shared" si="4"/>
        <v>143967015.59000003</v>
      </c>
      <c r="H164" s="590">
        <f>+G164/F164*100</f>
        <v>93.500325702280506</v>
      </c>
      <c r="I164" s="593">
        <f>SUM(I162:I163)</f>
        <v>10007865.789999932</v>
      </c>
      <c r="J164" s="594">
        <f>+I164/F164*100</f>
        <v>6.4996742977194906</v>
      </c>
      <c r="K164" s="826"/>
      <c r="L164" s="826"/>
      <c r="M164" s="826"/>
    </row>
    <row r="165" spans="1:13" s="825" customFormat="1" ht="17.25" thickTop="1" x14ac:dyDescent="0.3">
      <c r="A165" s="767" t="s">
        <v>37</v>
      </c>
      <c r="C165" s="826"/>
      <c r="D165" s="826"/>
      <c r="E165" s="826"/>
      <c r="F165" s="826"/>
      <c r="G165" s="826"/>
      <c r="H165" s="17"/>
      <c r="I165" s="826"/>
      <c r="K165" s="826"/>
      <c r="L165" s="826"/>
      <c r="M165" s="826"/>
    </row>
    <row r="166" spans="1:13" s="825" customFormat="1" ht="16.5" x14ac:dyDescent="0.3">
      <c r="C166" s="826"/>
      <c r="D166" s="826"/>
      <c r="E166" s="826"/>
      <c r="F166" s="826"/>
      <c r="G166" s="826"/>
      <c r="H166" s="17"/>
      <c r="I166" s="826"/>
      <c r="K166" s="826"/>
      <c r="L166" s="826"/>
      <c r="M166" s="826"/>
    </row>
    <row r="167" spans="1:13" s="825" customFormat="1" ht="16.5" x14ac:dyDescent="0.3">
      <c r="A167" s="134" t="s">
        <v>96</v>
      </c>
      <c r="B167" s="135" t="s">
        <v>1303</v>
      </c>
      <c r="C167" s="136" t="s">
        <v>52</v>
      </c>
      <c r="D167" s="826"/>
      <c r="E167" s="826"/>
      <c r="F167" s="826"/>
      <c r="G167" s="826"/>
      <c r="H167" s="17"/>
      <c r="I167" s="826"/>
      <c r="K167" s="826"/>
      <c r="L167" s="826"/>
      <c r="M167" s="826"/>
    </row>
    <row r="168" spans="1:13" s="825" customFormat="1" ht="21.75" customHeight="1" x14ac:dyDescent="0.3">
      <c r="A168" s="871" t="s">
        <v>47</v>
      </c>
      <c r="B168" s="135" t="s">
        <v>1065</v>
      </c>
      <c r="C168" s="838">
        <v>6118708.2599999309</v>
      </c>
      <c r="D168" s="826"/>
      <c r="E168" s="780" t="s">
        <v>1066</v>
      </c>
      <c r="F168" s="826"/>
      <c r="G168" s="826"/>
      <c r="H168" s="17"/>
      <c r="I168" s="826"/>
      <c r="K168" s="826"/>
      <c r="L168" s="826"/>
      <c r="M168" s="826"/>
    </row>
    <row r="169" spans="1:13" s="825" customFormat="1" ht="21.75" customHeight="1" x14ac:dyDescent="0.3">
      <c r="B169" s="825" t="s">
        <v>1225</v>
      </c>
      <c r="C169" s="826">
        <v>17841.46</v>
      </c>
      <c r="D169" s="826"/>
      <c r="E169" s="826" t="s">
        <v>1304</v>
      </c>
      <c r="F169" s="826"/>
      <c r="G169" s="826"/>
      <c r="H169" s="17"/>
      <c r="I169" s="826"/>
      <c r="K169" s="826"/>
      <c r="L169" s="826"/>
      <c r="M169" s="826"/>
    </row>
    <row r="170" spans="1:13" s="825" customFormat="1" ht="21.75" customHeight="1" x14ac:dyDescent="0.3">
      <c r="B170" s="825" t="s">
        <v>1225</v>
      </c>
      <c r="C170" s="826">
        <v>50938.36</v>
      </c>
      <c r="D170" s="826"/>
      <c r="E170" s="826" t="s">
        <v>1305</v>
      </c>
      <c r="F170" s="826"/>
      <c r="G170" s="826"/>
      <c r="H170" s="17"/>
      <c r="I170" s="826"/>
      <c r="K170" s="826"/>
      <c r="L170" s="826"/>
      <c r="M170" s="826"/>
    </row>
    <row r="171" spans="1:13" s="825" customFormat="1" ht="21.75" customHeight="1" x14ac:dyDescent="0.3">
      <c r="B171" s="825" t="s">
        <v>1225</v>
      </c>
      <c r="C171" s="826">
        <v>24942.3</v>
      </c>
      <c r="D171" s="826"/>
      <c r="E171" s="826" t="s">
        <v>1306</v>
      </c>
      <c r="F171" s="826"/>
      <c r="G171" s="826"/>
      <c r="H171" s="17"/>
      <c r="I171" s="826"/>
      <c r="K171" s="826"/>
      <c r="L171" s="826"/>
      <c r="M171" s="826"/>
    </row>
    <row r="172" spans="1:13" s="825" customFormat="1" ht="21.75" customHeight="1" x14ac:dyDescent="0.3">
      <c r="B172" s="825" t="s">
        <v>1225</v>
      </c>
      <c r="C172" s="826">
        <v>292484.31</v>
      </c>
      <c r="D172" s="826"/>
      <c r="E172" s="826" t="s">
        <v>1307</v>
      </c>
      <c r="F172" s="826"/>
      <c r="G172" s="826"/>
      <c r="H172" s="17"/>
      <c r="I172" s="826"/>
      <c r="K172" s="826"/>
      <c r="L172" s="826"/>
      <c r="M172" s="826"/>
    </row>
    <row r="173" spans="1:13" s="825" customFormat="1" ht="21.75" customHeight="1" x14ac:dyDescent="0.3">
      <c r="B173" s="825" t="s">
        <v>1225</v>
      </c>
      <c r="C173" s="826">
        <v>41225.53</v>
      </c>
      <c r="D173" s="826"/>
      <c r="E173" s="826" t="s">
        <v>1308</v>
      </c>
      <c r="F173" s="826"/>
      <c r="G173" s="826"/>
      <c r="H173" s="17"/>
      <c r="I173" s="826"/>
      <c r="K173" s="826"/>
      <c r="L173" s="826"/>
      <c r="M173" s="826"/>
    </row>
    <row r="174" spans="1:13" s="825" customFormat="1" ht="21.75" customHeight="1" x14ac:dyDescent="0.3">
      <c r="B174" s="825" t="s">
        <v>1225</v>
      </c>
      <c r="C174" s="826">
        <v>21571.02</v>
      </c>
      <c r="D174" s="826"/>
      <c r="E174" s="826" t="s">
        <v>1229</v>
      </c>
      <c r="F174" s="826"/>
      <c r="G174" s="826"/>
      <c r="H174" s="17"/>
      <c r="I174" s="826"/>
      <c r="K174" s="826"/>
      <c r="L174" s="826"/>
      <c r="M174" s="826"/>
    </row>
    <row r="175" spans="1:13" s="825" customFormat="1" ht="21.75" customHeight="1" x14ac:dyDescent="0.3">
      <c r="B175" s="825" t="s">
        <v>1309</v>
      </c>
      <c r="C175" s="826">
        <v>612040.09</v>
      </c>
      <c r="D175" s="826"/>
      <c r="E175" s="826" t="s">
        <v>1310</v>
      </c>
      <c r="F175" s="826"/>
      <c r="G175" s="826"/>
      <c r="H175" s="17"/>
      <c r="I175" s="826"/>
      <c r="K175" s="826"/>
      <c r="L175" s="826"/>
      <c r="M175" s="826"/>
    </row>
    <row r="176" spans="1:13" s="825" customFormat="1" ht="21.75" customHeight="1" x14ac:dyDescent="0.3">
      <c r="B176" s="825" t="s">
        <v>1309</v>
      </c>
      <c r="C176" s="826">
        <v>22642.41</v>
      </c>
      <c r="D176" s="826"/>
      <c r="E176" s="826" t="s">
        <v>1305</v>
      </c>
      <c r="F176" s="826"/>
      <c r="G176" s="826"/>
      <c r="H176" s="17"/>
      <c r="I176" s="826"/>
      <c r="K176" s="826"/>
      <c r="L176" s="826"/>
      <c r="M176" s="826"/>
    </row>
    <row r="177" spans="1:13" s="825" customFormat="1" ht="21.75" customHeight="1" x14ac:dyDescent="0.3">
      <c r="B177" s="825" t="s">
        <v>1309</v>
      </c>
      <c r="C177" s="826">
        <v>19871.41</v>
      </c>
      <c r="D177" s="826"/>
      <c r="E177" s="826" t="s">
        <v>1311</v>
      </c>
      <c r="F177" s="826"/>
      <c r="G177" s="826"/>
      <c r="H177" s="17"/>
      <c r="I177" s="826"/>
      <c r="K177" s="826"/>
      <c r="L177" s="826"/>
      <c r="M177" s="826"/>
    </row>
    <row r="178" spans="1:13" s="825" customFormat="1" ht="21.75" customHeight="1" x14ac:dyDescent="0.3">
      <c r="B178" s="825" t="s">
        <v>1309</v>
      </c>
      <c r="C178" s="826">
        <v>3517931.86</v>
      </c>
      <c r="D178" s="826"/>
      <c r="E178" s="826" t="s">
        <v>1306</v>
      </c>
      <c r="F178" s="826"/>
      <c r="G178" s="826"/>
      <c r="H178" s="17"/>
      <c r="I178" s="826"/>
      <c r="K178" s="826"/>
      <c r="L178" s="826"/>
      <c r="M178" s="826"/>
    </row>
    <row r="179" spans="1:13" s="825" customFormat="1" ht="21.75" customHeight="1" x14ac:dyDescent="0.3">
      <c r="B179" s="825" t="s">
        <v>1309</v>
      </c>
      <c r="C179" s="826">
        <v>1489954.64</v>
      </c>
      <c r="D179" s="826"/>
      <c r="E179" s="826" t="s">
        <v>1229</v>
      </c>
      <c r="F179" s="826"/>
      <c r="G179" s="826"/>
      <c r="H179" s="17"/>
      <c r="I179" s="826"/>
      <c r="K179" s="826"/>
      <c r="L179" s="826"/>
      <c r="M179" s="826"/>
    </row>
    <row r="180" spans="1:13" s="825" customFormat="1" ht="21.75" customHeight="1" x14ac:dyDescent="0.3">
      <c r="B180" s="825" t="s">
        <v>1309</v>
      </c>
      <c r="C180" s="826">
        <v>7264.87</v>
      </c>
      <c r="D180" s="826"/>
      <c r="E180" s="826" t="s">
        <v>1312</v>
      </c>
      <c r="F180" s="826"/>
      <c r="G180" s="826"/>
      <c r="H180" s="17"/>
      <c r="I180" s="826"/>
      <c r="K180" s="826"/>
      <c r="L180" s="826"/>
      <c r="M180" s="826"/>
    </row>
    <row r="181" spans="1:13" s="825" customFormat="1" ht="21.75" customHeight="1" x14ac:dyDescent="0.3">
      <c r="C181" s="826"/>
      <c r="D181" s="826"/>
      <c r="E181" s="826"/>
      <c r="F181" s="826"/>
      <c r="G181" s="826"/>
      <c r="H181" s="17"/>
      <c r="I181" s="826"/>
      <c r="K181" s="826"/>
      <c r="L181" s="826"/>
      <c r="M181" s="826"/>
    </row>
    <row r="182" spans="1:13" s="825" customFormat="1" ht="21.75" customHeight="1" x14ac:dyDescent="0.3">
      <c r="B182" s="825" t="s">
        <v>50</v>
      </c>
      <c r="C182" s="826"/>
      <c r="D182" s="826"/>
      <c r="E182" s="826"/>
      <c r="F182" s="826"/>
      <c r="G182" s="826"/>
      <c r="H182" s="17"/>
      <c r="I182" s="826"/>
      <c r="K182" s="826"/>
      <c r="L182" s="826"/>
      <c r="M182" s="826"/>
    </row>
    <row r="183" spans="1:13" s="825" customFormat="1" ht="21.75" customHeight="1" x14ac:dyDescent="0.3">
      <c r="B183" s="825" t="s">
        <v>1309</v>
      </c>
      <c r="C183" s="826">
        <v>2333660.4300000002</v>
      </c>
      <c r="D183" s="826"/>
      <c r="E183" s="826" t="s">
        <v>1306</v>
      </c>
      <c r="F183" s="826"/>
      <c r="G183" s="826"/>
      <c r="H183" s="17"/>
      <c r="I183" s="826"/>
      <c r="K183" s="826"/>
      <c r="L183" s="826"/>
      <c r="M183" s="826"/>
    </row>
    <row r="184" spans="1:13" s="825" customFormat="1" ht="21.75" customHeight="1" x14ac:dyDescent="0.3">
      <c r="B184" s="825" t="s">
        <v>1309</v>
      </c>
      <c r="C184" s="826">
        <v>1555497.1</v>
      </c>
      <c r="D184" s="826"/>
      <c r="E184" s="826" t="s">
        <v>1310</v>
      </c>
      <c r="F184" s="826"/>
      <c r="G184" s="826"/>
      <c r="H184" s="17"/>
      <c r="I184" s="826"/>
      <c r="K184" s="826"/>
      <c r="L184" s="826"/>
      <c r="M184" s="826"/>
    </row>
    <row r="185" spans="1:13" s="825" customFormat="1" ht="21.75" customHeight="1" thickBot="1" x14ac:dyDescent="0.35">
      <c r="C185" s="409">
        <f>SUM(C169:C184)</f>
        <v>10007865.789999999</v>
      </c>
      <c r="D185" s="826"/>
      <c r="E185" s="826"/>
      <c r="F185" s="826"/>
      <c r="G185" s="826"/>
      <c r="H185" s="17"/>
      <c r="I185" s="826"/>
      <c r="K185" s="826"/>
      <c r="L185" s="826"/>
      <c r="M185" s="826"/>
    </row>
    <row r="186" spans="1:13" s="825" customFormat="1" ht="21.75" customHeight="1" thickTop="1" x14ac:dyDescent="0.3">
      <c r="C186" s="826"/>
      <c r="D186" s="826"/>
      <c r="E186" s="826"/>
      <c r="F186" s="826"/>
      <c r="G186" s="826"/>
      <c r="H186" s="17"/>
      <c r="I186" s="826"/>
      <c r="K186" s="826"/>
      <c r="L186" s="826"/>
      <c r="M186" s="826"/>
    </row>
    <row r="187" spans="1:13" ht="20.100000000000001" customHeight="1" x14ac:dyDescent="0.25">
      <c r="A187" s="114"/>
      <c r="B187" s="34"/>
      <c r="C187" s="34"/>
      <c r="D187" s="362"/>
      <c r="E187" s="362"/>
      <c r="F187" s="361"/>
      <c r="G187" s="365"/>
      <c r="H187" s="362"/>
      <c r="I187" s="117"/>
      <c r="J187" s="69"/>
    </row>
    <row r="188" spans="1:13" ht="20.100000000000001" customHeight="1" x14ac:dyDescent="0.25">
      <c r="A188" s="363"/>
    </row>
    <row r="189" spans="1:13" s="825" customFormat="1" ht="21.75" customHeight="1" x14ac:dyDescent="0.3">
      <c r="A189" s="893" t="s">
        <v>1456</v>
      </c>
      <c r="B189" s="893"/>
      <c r="C189" s="893"/>
      <c r="D189" s="893"/>
      <c r="E189" s="893"/>
      <c r="F189" s="893"/>
      <c r="G189" s="893"/>
      <c r="H189" s="893"/>
      <c r="I189" s="893"/>
      <c r="J189" s="893"/>
      <c r="K189" s="826"/>
      <c r="L189" s="826"/>
      <c r="M189" s="826"/>
    </row>
    <row r="190" spans="1:13" s="825" customFormat="1" ht="21.75" customHeight="1" thickBot="1" x14ac:dyDescent="0.35">
      <c r="A190" s="894"/>
      <c r="B190" s="894"/>
      <c r="C190" s="894"/>
      <c r="D190" s="894"/>
      <c r="E190" s="894"/>
      <c r="F190" s="894"/>
      <c r="G190" s="894"/>
      <c r="H190" s="894"/>
      <c r="I190" s="894"/>
      <c r="J190" s="894"/>
      <c r="K190" s="826"/>
      <c r="L190" s="826"/>
      <c r="M190" s="826"/>
    </row>
    <row r="191" spans="1:13" s="825" customFormat="1" ht="70.5" thickBot="1" x14ac:dyDescent="0.35">
      <c r="A191" s="577" t="s">
        <v>1398</v>
      </c>
      <c r="B191" s="578" t="s">
        <v>543</v>
      </c>
      <c r="C191" s="578" t="s">
        <v>1457</v>
      </c>
      <c r="D191" s="605" t="s">
        <v>545</v>
      </c>
      <c r="E191" s="578" t="s">
        <v>546</v>
      </c>
      <c r="F191" s="578" t="s">
        <v>547</v>
      </c>
      <c r="G191" s="578" t="s">
        <v>548</v>
      </c>
      <c r="H191" s="578" t="s">
        <v>45</v>
      </c>
      <c r="I191" s="578" t="s">
        <v>549</v>
      </c>
      <c r="J191" s="578" t="s">
        <v>46</v>
      </c>
      <c r="K191" s="826"/>
      <c r="L191" s="826"/>
      <c r="M191" s="826"/>
    </row>
    <row r="192" spans="1:13" s="825" customFormat="1" ht="21.75" customHeight="1" x14ac:dyDescent="0.5">
      <c r="A192" s="579" t="s">
        <v>47</v>
      </c>
      <c r="B192" s="580">
        <v>6118708.2599999309</v>
      </c>
      <c r="C192" s="581">
        <f>154033725.83-87527.96</f>
        <v>153946197.87</v>
      </c>
      <c r="D192" s="606">
        <v>28986480.129999999</v>
      </c>
      <c r="E192" s="582">
        <v>2686998.69</v>
      </c>
      <c r="F192" s="581">
        <f>+B192+C192-D192-E192</f>
        <v>128391427.30999994</v>
      </c>
      <c r="G192" s="583">
        <f>152007307.64-D192-E192</f>
        <v>120333828.81999999</v>
      </c>
      <c r="H192" s="582">
        <f>+G192/F192*100</f>
        <v>93.724192760514342</v>
      </c>
      <c r="I192" s="584">
        <f>F192-G192</f>
        <v>8057598.4899999499</v>
      </c>
      <c r="J192" s="582">
        <f>+I192/F192*100</f>
        <v>6.2758072394856628</v>
      </c>
      <c r="K192" s="826"/>
      <c r="L192" s="826"/>
      <c r="M192" s="826"/>
    </row>
    <row r="193" spans="1:13" s="825" customFormat="1" ht="21.75" customHeight="1" x14ac:dyDescent="0.5">
      <c r="A193" s="585" t="s">
        <v>50</v>
      </c>
      <c r="B193" s="586">
        <v>3889157.5300000012</v>
      </c>
      <c r="C193" s="586">
        <v>18770758.120000001</v>
      </c>
      <c r="D193" s="582">
        <v>0</v>
      </c>
      <c r="E193" s="587">
        <v>0</v>
      </c>
      <c r="F193" s="581">
        <f>B193+C193-D193-E193</f>
        <v>22659915.650000002</v>
      </c>
      <c r="G193" s="583">
        <f>20327274.59-D193-E193</f>
        <v>20327274.59</v>
      </c>
      <c r="H193" s="582">
        <f>+G193/F193*100</f>
        <v>89.705870507068724</v>
      </c>
      <c r="I193" s="584">
        <f>F193-G193</f>
        <v>2332641.0600000024</v>
      </c>
      <c r="J193" s="582">
        <f>+I193/F193*100</f>
        <v>10.294129492931287</v>
      </c>
      <c r="K193" s="826"/>
      <c r="L193" s="826"/>
      <c r="M193" s="826"/>
    </row>
    <row r="194" spans="1:13" s="825" customFormat="1" ht="21.75" customHeight="1" thickBot="1" x14ac:dyDescent="0.55000000000000004">
      <c r="A194" s="588" t="s">
        <v>36</v>
      </c>
      <c r="B194" s="589">
        <f>SUM(B192:B193)</f>
        <v>10007865.789999932</v>
      </c>
      <c r="C194" s="589">
        <f>SUM(C192:C193)</f>
        <v>172716955.99000001</v>
      </c>
      <c r="D194" s="590">
        <f>SUM(D192:D193)</f>
        <v>28986480.129999999</v>
      </c>
      <c r="E194" s="590">
        <f>SUM(E192:E193)</f>
        <v>2686998.69</v>
      </c>
      <c r="F194" s="591">
        <f>B194+C194-D194-E194</f>
        <v>151051342.95999995</v>
      </c>
      <c r="G194" s="592">
        <f>SUM(G192:G193)</f>
        <v>140661103.41</v>
      </c>
      <c r="H194" s="590">
        <f>+G194/F194*100</f>
        <v>93.121385519391637</v>
      </c>
      <c r="I194" s="593">
        <f>SUM(I192:I193)</f>
        <v>10390239.549999952</v>
      </c>
      <c r="J194" s="594">
        <f>+I194/F194*100</f>
        <v>6.87861448060836</v>
      </c>
      <c r="K194" s="826"/>
      <c r="L194" s="826"/>
      <c r="M194" s="826"/>
    </row>
    <row r="195" spans="1:13" s="825" customFormat="1" ht="21.75" customHeight="1" thickTop="1" x14ac:dyDescent="0.3">
      <c r="A195" s="767" t="s">
        <v>37</v>
      </c>
      <c r="C195" s="826"/>
      <c r="D195" s="826"/>
      <c r="E195" s="826"/>
      <c r="F195" s="826"/>
      <c r="G195" s="826"/>
      <c r="H195" s="17"/>
      <c r="I195" s="826"/>
      <c r="K195" s="826"/>
      <c r="L195" s="826"/>
      <c r="M195" s="826"/>
    </row>
    <row r="196" spans="1:13" s="825" customFormat="1" ht="21.75" customHeight="1" x14ac:dyDescent="0.3">
      <c r="C196" s="826"/>
      <c r="D196" s="826"/>
      <c r="E196" s="826"/>
      <c r="F196" s="826"/>
      <c r="G196" s="826"/>
      <c r="H196" s="17"/>
      <c r="I196" s="826"/>
      <c r="K196" s="826"/>
      <c r="L196" s="826"/>
      <c r="M196" s="826"/>
    </row>
    <row r="197" spans="1:13" s="825" customFormat="1" ht="21.75" customHeight="1" x14ac:dyDescent="0.3">
      <c r="A197" s="134" t="s">
        <v>96</v>
      </c>
      <c r="B197" s="135" t="s">
        <v>1458</v>
      </c>
      <c r="C197" s="136" t="s">
        <v>52</v>
      </c>
      <c r="D197" s="826"/>
      <c r="E197" s="826"/>
      <c r="F197" s="826"/>
      <c r="G197" s="826"/>
      <c r="H197" s="17"/>
      <c r="I197" s="826"/>
      <c r="K197" s="826"/>
      <c r="L197" s="826"/>
      <c r="M197" s="826"/>
    </row>
    <row r="198" spans="1:13" s="825" customFormat="1" ht="21.75" customHeight="1" x14ac:dyDescent="0.3">
      <c r="A198" s="871" t="s">
        <v>47</v>
      </c>
      <c r="B198" s="135" t="s">
        <v>1459</v>
      </c>
      <c r="C198" s="838">
        <v>8057598.4900000002</v>
      </c>
      <c r="D198" s="826"/>
      <c r="E198" s="780" t="s">
        <v>1066</v>
      </c>
      <c r="F198" s="826"/>
      <c r="G198" s="826"/>
      <c r="H198" s="17"/>
      <c r="I198" s="826"/>
      <c r="K198" s="826"/>
      <c r="L198" s="826"/>
      <c r="M198" s="826"/>
    </row>
    <row r="199" spans="1:13" s="825" customFormat="1" ht="21.75" customHeight="1" x14ac:dyDescent="0.3">
      <c r="B199" s="825" t="s">
        <v>1225</v>
      </c>
      <c r="C199" s="826">
        <v>292484.31</v>
      </c>
      <c r="D199" s="826"/>
      <c r="E199" s="826" t="s">
        <v>1307</v>
      </c>
      <c r="F199" s="826"/>
      <c r="G199" s="826"/>
      <c r="H199" s="17"/>
      <c r="I199" s="826"/>
      <c r="K199" s="826"/>
      <c r="L199" s="826"/>
      <c r="M199" s="826"/>
    </row>
    <row r="200" spans="1:13" s="825" customFormat="1" ht="21.75" customHeight="1" x14ac:dyDescent="0.3">
      <c r="B200" s="825" t="s">
        <v>1225</v>
      </c>
      <c r="C200" s="826">
        <v>41225.53</v>
      </c>
      <c r="D200" s="826"/>
      <c r="E200" s="826" t="s">
        <v>1460</v>
      </c>
      <c r="F200" s="826"/>
      <c r="G200" s="826"/>
      <c r="H200" s="17"/>
      <c r="I200" s="826"/>
      <c r="K200" s="826"/>
      <c r="L200" s="826"/>
      <c r="M200" s="826"/>
    </row>
    <row r="201" spans="1:13" s="825" customFormat="1" ht="21.75" customHeight="1" x14ac:dyDescent="0.3">
      <c r="B201" s="825" t="s">
        <v>1225</v>
      </c>
      <c r="C201" s="826">
        <v>21571.02</v>
      </c>
      <c r="D201" s="826"/>
      <c r="E201" s="826" t="s">
        <v>1229</v>
      </c>
      <c r="F201" s="826"/>
      <c r="G201" s="826"/>
      <c r="H201" s="17"/>
      <c r="I201" s="826"/>
      <c r="K201" s="826"/>
      <c r="L201" s="826"/>
      <c r="M201" s="826"/>
    </row>
    <row r="202" spans="1:13" s="825" customFormat="1" ht="21.75" customHeight="1" x14ac:dyDescent="0.3">
      <c r="B202" s="825" t="s">
        <v>1309</v>
      </c>
      <c r="C202" s="826">
        <v>7264.87</v>
      </c>
      <c r="D202" s="826"/>
      <c r="E202" s="826" t="s">
        <v>1461</v>
      </c>
      <c r="F202" s="826"/>
      <c r="G202" s="826"/>
      <c r="H202" s="17"/>
      <c r="I202" s="826"/>
      <c r="K202" s="826"/>
      <c r="L202" s="826"/>
      <c r="M202" s="826"/>
    </row>
    <row r="203" spans="1:13" s="825" customFormat="1" ht="21.75" customHeight="1" x14ac:dyDescent="0.3">
      <c r="B203" s="825" t="s">
        <v>1309</v>
      </c>
      <c r="C203" s="826">
        <v>222749.48</v>
      </c>
      <c r="D203" s="826"/>
      <c r="E203" s="826" t="s">
        <v>1462</v>
      </c>
      <c r="F203" s="826"/>
      <c r="G203" s="826"/>
      <c r="H203" s="17"/>
      <c r="I203" s="826"/>
      <c r="K203" s="826"/>
      <c r="L203" s="826"/>
      <c r="M203" s="826"/>
    </row>
    <row r="204" spans="1:13" s="825" customFormat="1" ht="21.75" customHeight="1" x14ac:dyDescent="0.3">
      <c r="B204" s="825" t="s">
        <v>1309</v>
      </c>
      <c r="C204" s="826">
        <v>1267205.1599999999</v>
      </c>
      <c r="D204" s="826"/>
      <c r="E204" s="826" t="s">
        <v>1463</v>
      </c>
      <c r="F204" s="826"/>
      <c r="G204" s="826"/>
      <c r="H204" s="17"/>
      <c r="I204" s="826"/>
      <c r="K204" s="826"/>
      <c r="L204" s="826"/>
      <c r="M204" s="826"/>
    </row>
    <row r="205" spans="1:13" s="825" customFormat="1" ht="21.75" customHeight="1" x14ac:dyDescent="0.3">
      <c r="B205" s="825" t="s">
        <v>1464</v>
      </c>
      <c r="C205" s="826">
        <v>653270.23</v>
      </c>
      <c r="D205" s="826"/>
      <c r="E205" s="826" t="s">
        <v>1463</v>
      </c>
      <c r="F205" s="826"/>
      <c r="G205" s="826"/>
      <c r="H205" s="17"/>
      <c r="I205" s="826"/>
      <c r="K205" s="826"/>
      <c r="L205" s="826"/>
      <c r="M205" s="826"/>
    </row>
    <row r="206" spans="1:13" s="825" customFormat="1" ht="21.75" customHeight="1" x14ac:dyDescent="0.3">
      <c r="B206" s="825" t="s">
        <v>1464</v>
      </c>
      <c r="C206" s="826">
        <v>5551827.8899999997</v>
      </c>
      <c r="D206" s="826"/>
      <c r="E206" s="826" t="s">
        <v>1465</v>
      </c>
      <c r="F206" s="826"/>
      <c r="G206" s="826"/>
      <c r="H206" s="17"/>
      <c r="I206" s="826"/>
      <c r="K206" s="826"/>
      <c r="L206" s="826"/>
      <c r="M206" s="826"/>
    </row>
    <row r="207" spans="1:13" s="825" customFormat="1" ht="21.75" customHeight="1" x14ac:dyDescent="0.3">
      <c r="C207" s="826"/>
      <c r="D207" s="826"/>
      <c r="E207" s="826"/>
      <c r="F207" s="826"/>
      <c r="G207" s="826"/>
      <c r="H207" s="17"/>
      <c r="I207" s="826"/>
      <c r="K207" s="826"/>
      <c r="L207" s="826"/>
      <c r="M207" s="826"/>
    </row>
    <row r="208" spans="1:13" s="825" customFormat="1" ht="21.75" customHeight="1" x14ac:dyDescent="0.3">
      <c r="B208" s="108" t="s">
        <v>50</v>
      </c>
      <c r="C208" s="826"/>
      <c r="D208" s="826"/>
      <c r="E208" s="826"/>
      <c r="F208" s="826"/>
      <c r="G208" s="826"/>
      <c r="H208" s="17"/>
      <c r="I208" s="826"/>
      <c r="K208" s="826"/>
      <c r="L208" s="826"/>
      <c r="M208" s="826"/>
    </row>
    <row r="209" spans="1:13" s="825" customFormat="1" ht="21.75" customHeight="1" x14ac:dyDescent="0.3">
      <c r="B209" s="825" t="s">
        <v>1464</v>
      </c>
      <c r="C209" s="826">
        <v>2332641.0600000024</v>
      </c>
      <c r="D209" s="826"/>
      <c r="E209" s="826" t="s">
        <v>1465</v>
      </c>
      <c r="F209" s="826"/>
      <c r="G209" s="826"/>
      <c r="H209" s="17"/>
      <c r="I209" s="826"/>
      <c r="K209" s="826"/>
      <c r="L209" s="826"/>
      <c r="M209" s="826"/>
    </row>
    <row r="210" spans="1:13" s="825" customFormat="1" ht="21.75" customHeight="1" thickBot="1" x14ac:dyDescent="0.35">
      <c r="A210" s="134" t="s">
        <v>96</v>
      </c>
      <c r="B210" s="135" t="s">
        <v>1466</v>
      </c>
      <c r="C210" s="409">
        <f>SUM(C199:C209)</f>
        <v>10390239.550000001</v>
      </c>
      <c r="D210" s="826"/>
      <c r="E210" s="826"/>
      <c r="F210" s="826"/>
      <c r="G210" s="826"/>
      <c r="H210" s="17"/>
      <c r="I210" s="826"/>
      <c r="K210" s="826"/>
      <c r="L210" s="826"/>
      <c r="M210" s="826"/>
    </row>
    <row r="211" spans="1:13" ht="20.100000000000001" customHeight="1" thickTop="1" x14ac:dyDescent="0.25"/>
  </sheetData>
  <mergeCells count="12">
    <mergeCell ref="A1:J2"/>
    <mergeCell ref="A77:J78"/>
    <mergeCell ref="A15:J16"/>
    <mergeCell ref="A29:J30"/>
    <mergeCell ref="A44:J45"/>
    <mergeCell ref="A61:J62"/>
    <mergeCell ref="A189:J190"/>
    <mergeCell ref="A91:J92"/>
    <mergeCell ref="A105:J106"/>
    <mergeCell ref="A123:J124"/>
    <mergeCell ref="A140:J141"/>
    <mergeCell ref="A159:J160"/>
  </mergeCells>
  <printOptions horizontalCentered="1"/>
  <pageMargins left="0.3" right="0.3" top="0.7" bottom="0.7" header="0.3" footer="0.3"/>
  <pageSetup scale="66" fitToHeight="0" orientation="landscape" r:id="rId1"/>
  <headerFooter>
    <oddHeader>&amp;F</oddHeader>
    <oddFooter>&amp;A&amp;RPage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G12" sqref="G12"/>
    </sheetView>
  </sheetViews>
  <sheetFormatPr defaultRowHeight="21" customHeight="1" x14ac:dyDescent="0.25"/>
  <cols>
    <col min="1" max="1" width="13.28515625" style="5" customWidth="1"/>
    <col min="2" max="2" width="12.5703125" customWidth="1"/>
    <col min="3" max="3" width="14.85546875" customWidth="1"/>
    <col min="4" max="4" width="12.7109375" customWidth="1"/>
    <col min="5" max="5" width="13.7109375" customWidth="1"/>
    <col min="6" max="6" width="17" customWidth="1"/>
    <col min="7" max="7" width="16.5703125" customWidth="1"/>
    <col min="8" max="8" width="12.85546875" customWidth="1"/>
    <col min="9" max="9" width="4.28515625" customWidth="1"/>
    <col min="10" max="10" width="15" customWidth="1"/>
  </cols>
  <sheetData>
    <row r="2" spans="1:8" ht="21" customHeight="1" x14ac:dyDescent="0.25">
      <c r="A2" s="11" t="s">
        <v>1</v>
      </c>
      <c r="B2" s="6" t="s">
        <v>7</v>
      </c>
      <c r="C2" s="6" t="s">
        <v>0</v>
      </c>
      <c r="D2" s="4" t="s">
        <v>2</v>
      </c>
      <c r="E2" s="4" t="s">
        <v>3</v>
      </c>
      <c r="F2" s="6" t="s">
        <v>4</v>
      </c>
      <c r="G2" s="6" t="s">
        <v>8</v>
      </c>
      <c r="H2" s="2" t="s">
        <v>6</v>
      </c>
    </row>
    <row r="3" spans="1:8" ht="21" customHeight="1" x14ac:dyDescent="0.25">
      <c r="A3" s="10" t="s">
        <v>9</v>
      </c>
      <c r="B3" s="3">
        <v>473744.65</v>
      </c>
      <c r="C3" s="3">
        <v>0</v>
      </c>
      <c r="D3" s="8" t="s">
        <v>5</v>
      </c>
      <c r="E3" s="7">
        <v>1061648.49</v>
      </c>
      <c r="F3" s="9">
        <f>B3+C3-E3</f>
        <v>-587903.84</v>
      </c>
      <c r="G3" s="3">
        <v>0</v>
      </c>
      <c r="H3" s="1">
        <f>G3/F3</f>
        <v>0</v>
      </c>
    </row>
    <row r="5" spans="1:8" ht="21" customHeight="1" x14ac:dyDescent="0.25">
      <c r="A5" s="11" t="s">
        <v>1</v>
      </c>
      <c r="B5" s="13" t="s">
        <v>7</v>
      </c>
      <c r="C5" s="13" t="s">
        <v>0</v>
      </c>
      <c r="D5" s="4" t="s">
        <v>2</v>
      </c>
      <c r="E5" s="4" t="s">
        <v>3</v>
      </c>
      <c r="F5" s="13" t="s">
        <v>4</v>
      </c>
      <c r="G5" s="13" t="s">
        <v>8</v>
      </c>
      <c r="H5" s="2" t="s">
        <v>6</v>
      </c>
    </row>
    <row r="6" spans="1:8" ht="21" customHeight="1" x14ac:dyDescent="0.25">
      <c r="A6" s="10" t="s">
        <v>10</v>
      </c>
      <c r="B6" s="14">
        <v>473744.65</v>
      </c>
      <c r="C6" s="14">
        <v>0</v>
      </c>
      <c r="D6" s="8" t="s">
        <v>5</v>
      </c>
      <c r="E6" s="7">
        <v>1288522.52</v>
      </c>
      <c r="F6" s="12">
        <f>B6+C6-E6</f>
        <v>-814777.87</v>
      </c>
      <c r="G6" s="14">
        <v>0</v>
      </c>
      <c r="H6" s="1">
        <f>G6/F6</f>
        <v>0</v>
      </c>
    </row>
    <row r="8" spans="1:8" ht="21" customHeight="1" x14ac:dyDescent="0.25">
      <c r="A8" s="11" t="s">
        <v>1</v>
      </c>
      <c r="B8" s="16" t="s">
        <v>7</v>
      </c>
      <c r="C8" s="16" t="s">
        <v>0</v>
      </c>
      <c r="D8" s="4" t="s">
        <v>2</v>
      </c>
      <c r="E8" s="4" t="s">
        <v>3</v>
      </c>
      <c r="F8" s="16" t="s">
        <v>4</v>
      </c>
      <c r="G8" s="16" t="s">
        <v>8</v>
      </c>
      <c r="H8" s="2" t="s">
        <v>6</v>
      </c>
    </row>
    <row r="9" spans="1:8" ht="21" customHeight="1" x14ac:dyDescent="0.25">
      <c r="A9" s="10" t="s">
        <v>11</v>
      </c>
      <c r="B9" s="15">
        <v>473744.65</v>
      </c>
      <c r="C9" s="15">
        <v>0</v>
      </c>
      <c r="D9" s="8" t="s">
        <v>5</v>
      </c>
      <c r="E9" s="7">
        <v>1422312.05</v>
      </c>
      <c r="F9" s="12">
        <f>B9+C9-E9</f>
        <v>-948567.4</v>
      </c>
      <c r="G9" s="15">
        <v>0</v>
      </c>
      <c r="H9" s="1">
        <f>G9/F9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1"/>
  <sheetViews>
    <sheetView topLeftCell="A209" zoomScaleNormal="100" zoomScaleSheetLayoutView="75" workbookViewId="0">
      <selection activeCell="D221" sqref="D221"/>
    </sheetView>
  </sheetViews>
  <sheetFormatPr defaultColWidth="13.85546875" defaultRowHeight="20.100000000000001" customHeight="1" x14ac:dyDescent="0.25"/>
  <cols>
    <col min="1" max="1" width="35.85546875" style="354" customWidth="1"/>
    <col min="2" max="2" width="26.42578125" style="25" bestFit="1" customWidth="1"/>
    <col min="3" max="7" width="20.7109375" style="357" customWidth="1"/>
    <col min="8" max="8" width="20.7109375" style="22" customWidth="1"/>
    <col min="9" max="10" width="20.7109375" style="354" customWidth="1"/>
    <col min="11" max="16384" width="13.85546875" style="354"/>
  </cols>
  <sheetData>
    <row r="1" spans="1:11" ht="20.100000000000001" customHeight="1" x14ac:dyDescent="0.25">
      <c r="A1" s="904" t="s">
        <v>170</v>
      </c>
      <c r="B1" s="904"/>
      <c r="C1" s="904"/>
      <c r="D1" s="904"/>
      <c r="E1" s="904"/>
      <c r="F1" s="904"/>
      <c r="G1" s="904"/>
      <c r="H1" s="904"/>
      <c r="I1" s="904"/>
      <c r="J1" s="904"/>
    </row>
    <row r="2" spans="1:11" s="210" customFormat="1" ht="20.100000000000001" customHeight="1" thickBot="1" x14ac:dyDescent="0.35">
      <c r="A2" s="903"/>
      <c r="B2" s="903"/>
      <c r="C2" s="903"/>
      <c r="D2" s="903"/>
      <c r="E2" s="903"/>
      <c r="F2" s="903"/>
      <c r="G2" s="903"/>
      <c r="H2" s="903"/>
      <c r="I2" s="903"/>
      <c r="J2" s="903"/>
      <c r="K2" s="33"/>
    </row>
    <row r="3" spans="1:11" s="210" customFormat="1" ht="50.25" thickBot="1" x14ac:dyDescent="0.35">
      <c r="A3" s="169" t="s">
        <v>171</v>
      </c>
      <c r="B3" s="170" t="s">
        <v>14</v>
      </c>
      <c r="C3" s="171" t="s">
        <v>58</v>
      </c>
      <c r="D3" s="214" t="s">
        <v>42</v>
      </c>
      <c r="E3" s="214" t="s">
        <v>43</v>
      </c>
      <c r="F3" s="170" t="s">
        <v>19</v>
      </c>
      <c r="G3" s="170" t="s">
        <v>59</v>
      </c>
      <c r="H3" s="170" t="s">
        <v>60</v>
      </c>
      <c r="I3" s="170" t="s">
        <v>61</v>
      </c>
      <c r="J3" s="323" t="s">
        <v>23</v>
      </c>
      <c r="K3" s="50"/>
    </row>
    <row r="4" spans="1:11" s="210" customFormat="1" ht="20.100000000000001" customHeight="1" x14ac:dyDescent="0.3">
      <c r="A4" s="334" t="s">
        <v>47</v>
      </c>
      <c r="B4" s="449">
        <v>8563218.4199999981</v>
      </c>
      <c r="C4" s="197">
        <v>23740739.09</v>
      </c>
      <c r="D4" s="197">
        <f>7286.4+7635+29986.48+84868.55-245.27-107.52-655.23-2876.82</f>
        <v>125891.58999999998</v>
      </c>
      <c r="E4" s="197">
        <v>35004.769999999997</v>
      </c>
      <c r="F4" s="197">
        <f>B4+C4-D4-E4</f>
        <v>32143061.149999999</v>
      </c>
      <c r="G4" s="450">
        <v>29658943.23</v>
      </c>
      <c r="H4" s="451">
        <f>G4/F4*100</f>
        <v>92.271682188552234</v>
      </c>
      <c r="I4" s="449">
        <v>2484117.92</v>
      </c>
      <c r="J4" s="452">
        <f>+I4*100/F4</f>
        <v>7.7283178114477753</v>
      </c>
    </row>
    <row r="5" spans="1:11" s="441" customFormat="1" ht="20.100000000000001" customHeight="1" thickBot="1" x14ac:dyDescent="0.35">
      <c r="A5" s="185" t="s">
        <v>36</v>
      </c>
      <c r="B5" s="455">
        <f>+B4</f>
        <v>8563218.4199999981</v>
      </c>
      <c r="C5" s="456"/>
      <c r="D5" s="328">
        <f t="shared" ref="D5:G5" si="0">SUM(D4)</f>
        <v>125891.58999999998</v>
      </c>
      <c r="E5" s="328">
        <f t="shared" si="0"/>
        <v>35004.769999999997</v>
      </c>
      <c r="F5" s="376">
        <f t="shared" si="0"/>
        <v>32143061.149999999</v>
      </c>
      <c r="G5" s="328">
        <f t="shared" si="0"/>
        <v>29658943.23</v>
      </c>
      <c r="H5" s="328">
        <f>G5/F5*100</f>
        <v>92.271682188552234</v>
      </c>
      <c r="I5" s="455">
        <f>F5-G5</f>
        <v>2484117.9199999981</v>
      </c>
      <c r="J5" s="446">
        <f>+I5*100/F5</f>
        <v>7.72831781144777</v>
      </c>
      <c r="K5" s="440"/>
    </row>
    <row r="6" spans="1:11" s="210" customFormat="1" ht="51" thickTop="1" thickBot="1" x14ac:dyDescent="0.35">
      <c r="A6" s="453" t="s">
        <v>171</v>
      </c>
      <c r="B6" s="324" t="s">
        <v>40</v>
      </c>
      <c r="C6" s="454" t="s">
        <v>172</v>
      </c>
      <c r="D6" s="454" t="s">
        <v>42</v>
      </c>
      <c r="E6" s="454" t="s">
        <v>43</v>
      </c>
      <c r="F6" s="324" t="s">
        <v>146</v>
      </c>
      <c r="G6" s="324" t="s">
        <v>20</v>
      </c>
      <c r="H6" s="324" t="s">
        <v>21</v>
      </c>
      <c r="I6" s="324" t="s">
        <v>22</v>
      </c>
      <c r="J6" s="454" t="s">
        <v>83</v>
      </c>
      <c r="K6" s="50"/>
    </row>
    <row r="7" spans="1:11" s="210" customFormat="1" ht="20.100000000000001" customHeight="1" x14ac:dyDescent="0.3">
      <c r="A7" s="381" t="s">
        <v>50</v>
      </c>
      <c r="B7" s="442">
        <v>405936.6100000001</v>
      </c>
      <c r="C7" s="197">
        <v>1873011.09</v>
      </c>
      <c r="D7" s="443">
        <v>0</v>
      </c>
      <c r="E7" s="197">
        <v>63642.46</v>
      </c>
      <c r="F7" s="372">
        <f>B7+C7-D7-E7</f>
        <v>2215305.2400000002</v>
      </c>
      <c r="G7" s="197">
        <v>2215305.2400000002</v>
      </c>
      <c r="H7" s="327">
        <f t="shared" ref="H7" si="1">G7/F7*100</f>
        <v>100</v>
      </c>
      <c r="I7" s="439">
        <f>F7-G7</f>
        <v>0</v>
      </c>
      <c r="J7" s="444">
        <f>I7*100/F7</f>
        <v>0</v>
      </c>
    </row>
    <row r="8" spans="1:11" s="441" customFormat="1" ht="20.100000000000001" customHeight="1" thickBot="1" x14ac:dyDescent="0.35">
      <c r="A8" s="185" t="s">
        <v>36</v>
      </c>
      <c r="B8" s="445">
        <f>+B7</f>
        <v>405936.6100000001</v>
      </c>
      <c r="C8" s="445">
        <f t="shared" ref="C8" si="2">SUM(C7:C7)</f>
        <v>1873011.09</v>
      </c>
      <c r="D8" s="445"/>
      <c r="E8" s="445"/>
      <c r="F8" s="445">
        <f t="shared" ref="F8:G8" si="3">SUM(F7:F7)</f>
        <v>2215305.2400000002</v>
      </c>
      <c r="G8" s="445">
        <f t="shared" si="3"/>
        <v>2215305.2400000002</v>
      </c>
      <c r="H8" s="446">
        <f>G8/F8*100</f>
        <v>100</v>
      </c>
      <c r="I8" s="447">
        <f>SUM(I7:I7)</f>
        <v>0</v>
      </c>
      <c r="J8" s="328">
        <f>I8*100/F8</f>
        <v>0</v>
      </c>
      <c r="K8" s="440"/>
    </row>
    <row r="9" spans="1:11" s="460" customFormat="1" ht="20.100000000000001" customHeight="1" thickTop="1" thickBot="1" x14ac:dyDescent="0.35">
      <c r="A9" s="435" t="s">
        <v>36</v>
      </c>
      <c r="B9" s="457">
        <f>B5+B8</f>
        <v>8969155.0299999975</v>
      </c>
      <c r="C9" s="457">
        <f t="shared" ref="C9:G9" si="4">C8+C5</f>
        <v>1873011.09</v>
      </c>
      <c r="D9" s="457">
        <f t="shared" si="4"/>
        <v>125891.58999999998</v>
      </c>
      <c r="E9" s="457">
        <f t="shared" si="4"/>
        <v>35004.769999999997</v>
      </c>
      <c r="F9" s="457">
        <f>F8+F5</f>
        <v>34358366.390000001</v>
      </c>
      <c r="G9" s="457">
        <f t="shared" si="4"/>
        <v>31874248.469999999</v>
      </c>
      <c r="H9" s="461">
        <f>G9/F9*100</f>
        <v>92.769976628682187</v>
      </c>
      <c r="I9" s="457">
        <f>I8+I5</f>
        <v>2484117.9199999981</v>
      </c>
      <c r="J9" s="458">
        <f>I9/F9*100</f>
        <v>7.2300233713177935</v>
      </c>
      <c r="K9" s="459"/>
    </row>
    <row r="10" spans="1:11" s="460" customFormat="1" ht="20.100000000000001" customHeight="1" thickTop="1" x14ac:dyDescent="0.3">
      <c r="A10" s="462"/>
      <c r="B10" s="463"/>
      <c r="C10" s="463"/>
      <c r="D10" s="463"/>
      <c r="E10" s="463"/>
      <c r="F10" s="463"/>
      <c r="G10" s="463"/>
      <c r="H10" s="464"/>
      <c r="I10" s="463"/>
      <c r="J10" s="463"/>
      <c r="K10" s="459"/>
    </row>
    <row r="11" spans="1:11" s="210" customFormat="1" ht="20.100000000000001" customHeight="1" x14ac:dyDescent="0.3">
      <c r="A11" s="363" t="s">
        <v>37</v>
      </c>
      <c r="B11" s="45"/>
      <c r="C11" s="329"/>
      <c r="D11" s="355"/>
      <c r="E11" s="355"/>
      <c r="F11" s="357"/>
    </row>
    <row r="12" spans="1:11" s="210" customFormat="1" ht="20.100000000000001" customHeight="1" x14ac:dyDescent="0.3">
      <c r="A12" s="134" t="s">
        <v>96</v>
      </c>
      <c r="B12" s="36" t="s">
        <v>52</v>
      </c>
      <c r="C12" s="25"/>
      <c r="D12" s="355"/>
      <c r="E12" s="355"/>
      <c r="F12" s="355"/>
    </row>
    <row r="13" spans="1:11" s="210" customFormat="1" ht="20.100000000000001" customHeight="1" x14ac:dyDescent="0.3">
      <c r="A13" s="367" t="s">
        <v>47</v>
      </c>
      <c r="B13" s="212">
        <v>180235.02999999747</v>
      </c>
      <c r="C13" s="357" t="s">
        <v>55</v>
      </c>
      <c r="D13" s="355" t="s">
        <v>250</v>
      </c>
      <c r="E13" s="355"/>
      <c r="F13" s="329"/>
      <c r="G13" s="212"/>
      <c r="I13" s="211"/>
    </row>
    <row r="14" spans="1:11" s="210" customFormat="1" ht="20.100000000000001" customHeight="1" x14ac:dyDescent="0.3">
      <c r="A14" s="367"/>
      <c r="B14" s="212">
        <v>2303882.89</v>
      </c>
      <c r="C14" s="357" t="s">
        <v>55</v>
      </c>
      <c r="D14" s="355" t="s">
        <v>579</v>
      </c>
      <c r="E14" s="355"/>
      <c r="F14" s="329"/>
      <c r="G14" s="212"/>
      <c r="I14" s="211"/>
    </row>
    <row r="15" spans="1:11" s="210" customFormat="1" ht="20.100000000000001" customHeight="1" thickBot="1" x14ac:dyDescent="0.35">
      <c r="B15" s="448">
        <f>SUM(B13:B14)</f>
        <v>2484117.9199999976</v>
      </c>
      <c r="C15" s="370" t="s">
        <v>55</v>
      </c>
      <c r="D15" s="355"/>
      <c r="E15" s="355"/>
      <c r="F15" s="212"/>
    </row>
    <row r="16" spans="1:11" ht="20.100000000000001" customHeight="1" thickTop="1" x14ac:dyDescent="0.25">
      <c r="A16" s="904" t="s">
        <v>320</v>
      </c>
      <c r="B16" s="904"/>
      <c r="C16" s="904"/>
      <c r="D16" s="904"/>
      <c r="E16" s="904"/>
      <c r="F16" s="904"/>
      <c r="G16" s="904"/>
      <c r="H16" s="904"/>
      <c r="I16" s="904"/>
      <c r="J16" s="904"/>
    </row>
    <row r="17" spans="1:11" s="210" customFormat="1" ht="20.100000000000001" customHeight="1" thickBot="1" x14ac:dyDescent="0.35">
      <c r="A17" s="903"/>
      <c r="B17" s="903"/>
      <c r="C17" s="903"/>
      <c r="D17" s="903"/>
      <c r="E17" s="903"/>
      <c r="F17" s="903"/>
      <c r="G17" s="903"/>
      <c r="H17" s="903"/>
      <c r="I17" s="903"/>
      <c r="J17" s="903"/>
      <c r="K17" s="33"/>
    </row>
    <row r="18" spans="1:11" s="210" customFormat="1" ht="50.25" thickBot="1" x14ac:dyDescent="0.35">
      <c r="A18" s="169" t="s">
        <v>321</v>
      </c>
      <c r="B18" s="170" t="s">
        <v>14</v>
      </c>
      <c r="C18" s="323" t="s">
        <v>253</v>
      </c>
      <c r="D18" s="214" t="s">
        <v>42</v>
      </c>
      <c r="E18" s="214" t="s">
        <v>43</v>
      </c>
      <c r="F18" s="170" t="s">
        <v>19</v>
      </c>
      <c r="G18" s="170" t="s">
        <v>59</v>
      </c>
      <c r="H18" s="170" t="s">
        <v>60</v>
      </c>
      <c r="I18" s="509" t="s">
        <v>61</v>
      </c>
      <c r="J18" s="323" t="s">
        <v>23</v>
      </c>
      <c r="K18" s="50"/>
    </row>
    <row r="19" spans="1:11" s="210" customFormat="1" ht="20.100000000000001" customHeight="1" x14ac:dyDescent="0.3">
      <c r="A19" s="334" t="s">
        <v>47</v>
      </c>
      <c r="B19" s="449">
        <v>2484117.92</v>
      </c>
      <c r="C19" s="181">
        <v>19405615.66</v>
      </c>
      <c r="D19" s="197">
        <f>77494+5871+25721.59+106191.5-218.59-899.59-2546.06</f>
        <v>211613.85</v>
      </c>
      <c r="E19" s="197">
        <v>32712.34</v>
      </c>
      <c r="F19" s="197">
        <f>B19+C19-D19-E19</f>
        <v>21645407.389999997</v>
      </c>
      <c r="G19" s="450">
        <v>21463776.07</v>
      </c>
      <c r="H19" s="451">
        <f>G19/F19*100</f>
        <v>99.160878255939366</v>
      </c>
      <c r="I19" s="386">
        <v>181631.32</v>
      </c>
      <c r="J19" s="452">
        <f>+I19*100/F19</f>
        <v>0.83912174406064632</v>
      </c>
    </row>
    <row r="20" spans="1:11" s="441" customFormat="1" ht="20.100000000000001" customHeight="1" thickBot="1" x14ac:dyDescent="0.35">
      <c r="A20" s="185" t="s">
        <v>36</v>
      </c>
      <c r="B20" s="455">
        <f>+B19</f>
        <v>2484117.92</v>
      </c>
      <c r="C20" s="181">
        <v>19405615.66</v>
      </c>
      <c r="D20" s="328">
        <f t="shared" ref="D20:G20" si="5">SUM(D19)</f>
        <v>211613.85</v>
      </c>
      <c r="E20" s="328">
        <f t="shared" si="5"/>
        <v>32712.34</v>
      </c>
      <c r="F20" s="376">
        <f t="shared" si="5"/>
        <v>21645407.389999997</v>
      </c>
      <c r="G20" s="328">
        <f t="shared" si="5"/>
        <v>21463776.07</v>
      </c>
      <c r="H20" s="328">
        <f>G20/F20*100</f>
        <v>99.160878255939366</v>
      </c>
      <c r="I20" s="386">
        <v>181631.32</v>
      </c>
      <c r="J20" s="446">
        <f>+I20*100/F20</f>
        <v>0.83912174406064632</v>
      </c>
      <c r="K20" s="440"/>
    </row>
    <row r="21" spans="1:11" s="210" customFormat="1" ht="51" thickTop="1" thickBot="1" x14ac:dyDescent="0.35">
      <c r="A21" s="453" t="s">
        <v>321</v>
      </c>
      <c r="B21" s="324" t="s">
        <v>40</v>
      </c>
      <c r="C21" s="454" t="s">
        <v>289</v>
      </c>
      <c r="D21" s="510" t="s">
        <v>42</v>
      </c>
      <c r="E21" s="510" t="s">
        <v>43</v>
      </c>
      <c r="F21" s="324" t="s">
        <v>146</v>
      </c>
      <c r="G21" s="324" t="s">
        <v>20</v>
      </c>
      <c r="H21" s="324" t="s">
        <v>21</v>
      </c>
      <c r="I21" s="324" t="s">
        <v>22</v>
      </c>
      <c r="J21" s="454" t="s">
        <v>83</v>
      </c>
      <c r="K21" s="50"/>
    </row>
    <row r="22" spans="1:11" s="210" customFormat="1" ht="20.100000000000001" customHeight="1" x14ac:dyDescent="0.3">
      <c r="A22" s="381" t="s">
        <v>50</v>
      </c>
      <c r="B22" s="443">
        <v>0</v>
      </c>
      <c r="C22" s="197">
        <v>2815003.28</v>
      </c>
      <c r="D22" s="511">
        <v>0</v>
      </c>
      <c r="E22" s="511">
        <v>0</v>
      </c>
      <c r="F22" s="372">
        <f>+B22+C22</f>
        <v>2815003.28</v>
      </c>
      <c r="G22" s="197">
        <v>2815003.28</v>
      </c>
      <c r="H22" s="327">
        <f t="shared" ref="H22" si="6">G22/F22*100</f>
        <v>100</v>
      </c>
      <c r="I22" s="439">
        <f>F22-G22</f>
        <v>0</v>
      </c>
      <c r="J22" s="444">
        <f>I22*100/F22</f>
        <v>0</v>
      </c>
    </row>
    <row r="23" spans="1:11" s="441" customFormat="1" ht="20.100000000000001" customHeight="1" thickBot="1" x14ac:dyDescent="0.35">
      <c r="A23" s="185" t="s">
        <v>36</v>
      </c>
      <c r="B23" s="445">
        <f>+B22</f>
        <v>0</v>
      </c>
      <c r="C23" s="445">
        <f t="shared" ref="C23" si="7">SUM(C22:C22)</f>
        <v>2815003.28</v>
      </c>
      <c r="D23" s="511">
        <v>0</v>
      </c>
      <c r="E23" s="511">
        <v>0</v>
      </c>
      <c r="F23" s="445">
        <f t="shared" ref="F23:G23" si="8">SUM(F22:F22)</f>
        <v>2815003.28</v>
      </c>
      <c r="G23" s="445">
        <f t="shared" si="8"/>
        <v>2815003.28</v>
      </c>
      <c r="H23" s="446">
        <f>G23/F23*100</f>
        <v>100</v>
      </c>
      <c r="I23" s="447">
        <f>SUM(I22:I22)</f>
        <v>0</v>
      </c>
      <c r="J23" s="328">
        <f>I23*100/F23</f>
        <v>0</v>
      </c>
      <c r="K23" s="440"/>
    </row>
    <row r="24" spans="1:11" s="460" customFormat="1" ht="20.100000000000001" customHeight="1" thickTop="1" thickBot="1" x14ac:dyDescent="0.35">
      <c r="A24" s="435" t="s">
        <v>36</v>
      </c>
      <c r="B24" s="457">
        <f>B20+B23</f>
        <v>2484117.92</v>
      </c>
      <c r="C24" s="457">
        <f t="shared" ref="C24:E24" si="9">C23+C20</f>
        <v>22220618.940000001</v>
      </c>
      <c r="D24" s="457">
        <f t="shared" si="9"/>
        <v>211613.85</v>
      </c>
      <c r="E24" s="457">
        <f t="shared" si="9"/>
        <v>32712.34</v>
      </c>
      <c r="F24" s="457">
        <f>F23+F20</f>
        <v>24460410.669999998</v>
      </c>
      <c r="G24" s="457">
        <f t="shared" ref="G24" si="10">G23+G20</f>
        <v>24278779.350000001</v>
      </c>
      <c r="H24" s="461">
        <f>G24/F24*100</f>
        <v>99.257447790021118</v>
      </c>
      <c r="I24" s="457">
        <f>I23+I20</f>
        <v>181631.32</v>
      </c>
      <c r="J24" s="458">
        <f>I24/F24*100</f>
        <v>0.74255220997890148</v>
      </c>
      <c r="K24" s="459"/>
    </row>
    <row r="25" spans="1:11" s="460" customFormat="1" ht="20.100000000000001" customHeight="1" thickTop="1" x14ac:dyDescent="0.3">
      <c r="A25" s="462"/>
      <c r="B25" s="463"/>
      <c r="C25" s="463"/>
      <c r="D25" s="463"/>
      <c r="E25" s="463"/>
      <c r="F25" s="463"/>
      <c r="G25" s="463"/>
      <c r="H25" s="464"/>
      <c r="I25" s="463"/>
      <c r="J25" s="463"/>
      <c r="K25" s="459"/>
    </row>
    <row r="26" spans="1:11" s="210" customFormat="1" ht="20.100000000000001" customHeight="1" x14ac:dyDescent="0.3">
      <c r="A26" s="363" t="s">
        <v>37</v>
      </c>
      <c r="B26" s="45"/>
      <c r="C26" s="329"/>
      <c r="D26" s="355"/>
      <c r="E26" s="355"/>
      <c r="F26" s="357"/>
    </row>
    <row r="27" spans="1:11" s="210" customFormat="1" ht="20.100000000000001" customHeight="1" x14ac:dyDescent="0.3">
      <c r="A27" s="134" t="s">
        <v>96</v>
      </c>
      <c r="B27" s="36" t="s">
        <v>52</v>
      </c>
      <c r="C27" s="25"/>
      <c r="D27" s="355"/>
      <c r="E27" s="355"/>
      <c r="F27" s="355"/>
    </row>
    <row r="28" spans="1:11" s="210" customFormat="1" ht="20.100000000000001" customHeight="1" x14ac:dyDescent="0.3">
      <c r="A28" s="367" t="s">
        <v>47</v>
      </c>
      <c r="B28" s="212">
        <f>62277.98+33975.32+8236.45</f>
        <v>104489.75</v>
      </c>
      <c r="C28" s="357" t="s">
        <v>55</v>
      </c>
      <c r="D28" s="355" t="s">
        <v>341</v>
      </c>
      <c r="E28" s="355"/>
      <c r="F28" s="329"/>
      <c r="G28" s="212"/>
      <c r="I28" s="211"/>
    </row>
    <row r="29" spans="1:11" s="210" customFormat="1" ht="20.100000000000001" customHeight="1" x14ac:dyDescent="0.3">
      <c r="A29" s="367"/>
      <c r="B29" s="212">
        <f>19405615.66-19328474.09</f>
        <v>77141.570000000298</v>
      </c>
      <c r="C29" s="357" t="s">
        <v>55</v>
      </c>
      <c r="D29" s="355" t="s">
        <v>342</v>
      </c>
      <c r="E29" s="355"/>
      <c r="F29" s="329"/>
      <c r="G29" s="212"/>
      <c r="I29" s="211"/>
    </row>
    <row r="30" spans="1:11" s="210" customFormat="1" ht="20.100000000000001" customHeight="1" thickBot="1" x14ac:dyDescent="0.35">
      <c r="B30" s="448">
        <f>SUM(B28:B29)</f>
        <v>181631.3200000003</v>
      </c>
      <c r="C30" s="370" t="s">
        <v>55</v>
      </c>
      <c r="D30" s="355"/>
      <c r="E30" s="355"/>
      <c r="F30" s="212"/>
    </row>
    <row r="31" spans="1:11" s="78" customFormat="1" ht="20.100000000000001" customHeight="1" thickTop="1" x14ac:dyDescent="0.3">
      <c r="A31" s="134"/>
      <c r="B31" s="36"/>
      <c r="C31" s="25"/>
      <c r="D31" s="355"/>
      <c r="E31" s="355"/>
      <c r="F31" s="355"/>
    </row>
    <row r="32" spans="1:11" ht="20.100000000000001" customHeight="1" x14ac:dyDescent="0.25">
      <c r="A32" s="904" t="s">
        <v>398</v>
      </c>
      <c r="B32" s="904"/>
      <c r="C32" s="904"/>
      <c r="D32" s="904"/>
      <c r="E32" s="904"/>
      <c r="F32" s="904"/>
      <c r="G32" s="904"/>
      <c r="H32" s="904"/>
      <c r="I32" s="904"/>
      <c r="J32" s="904"/>
    </row>
    <row r="33" spans="1:11" s="210" customFormat="1" ht="20.100000000000001" customHeight="1" thickBot="1" x14ac:dyDescent="0.35">
      <c r="A33" s="903"/>
      <c r="B33" s="903"/>
      <c r="C33" s="903"/>
      <c r="D33" s="903"/>
      <c r="E33" s="903"/>
      <c r="F33" s="903"/>
      <c r="G33" s="903"/>
      <c r="H33" s="903"/>
      <c r="I33" s="903"/>
      <c r="J33" s="903"/>
      <c r="K33" s="33"/>
    </row>
    <row r="34" spans="1:11" s="210" customFormat="1" ht="50.25" thickBot="1" x14ac:dyDescent="0.35">
      <c r="A34" s="169" t="s">
        <v>399</v>
      </c>
      <c r="B34" s="170" t="s">
        <v>14</v>
      </c>
      <c r="C34" s="171" t="s">
        <v>335</v>
      </c>
      <c r="D34" s="214" t="s">
        <v>42</v>
      </c>
      <c r="E34" s="214" t="s">
        <v>43</v>
      </c>
      <c r="F34" s="170" t="s">
        <v>19</v>
      </c>
      <c r="G34" s="170" t="s">
        <v>59</v>
      </c>
      <c r="H34" s="170" t="s">
        <v>60</v>
      </c>
      <c r="I34" s="509" t="s">
        <v>61</v>
      </c>
      <c r="J34" s="323" t="s">
        <v>23</v>
      </c>
      <c r="K34" s="50"/>
    </row>
    <row r="35" spans="1:11" s="210" customFormat="1" ht="20.100000000000001" customHeight="1" x14ac:dyDescent="0.3">
      <c r="A35" s="334" t="s">
        <v>47</v>
      </c>
      <c r="B35" s="449">
        <v>181631.32</v>
      </c>
      <c r="C35" s="372">
        <v>24642789.550000001</v>
      </c>
      <c r="D35" s="197">
        <f>4686.5+7525.2+39291.67+116270.6-139.05</f>
        <v>167634.92000000001</v>
      </c>
      <c r="E35" s="197">
        <f>9634.57+2235.57+40324.66</f>
        <v>52194.8</v>
      </c>
      <c r="F35" s="197">
        <f>B35+C35-D35-E35</f>
        <v>24604591.149999999</v>
      </c>
      <c r="G35" s="450">
        <v>20721207.199999999</v>
      </c>
      <c r="H35" s="451">
        <f>G35/F35*100</f>
        <v>84.216832028115206</v>
      </c>
      <c r="I35" s="386">
        <v>3883383.95</v>
      </c>
      <c r="J35" s="452">
        <f>I35*100/F35</f>
        <v>15.783167971884794</v>
      </c>
    </row>
    <row r="36" spans="1:11" s="441" customFormat="1" ht="20.100000000000001" customHeight="1" thickBot="1" x14ac:dyDescent="0.35">
      <c r="A36" s="185" t="s">
        <v>36</v>
      </c>
      <c r="B36" s="455">
        <f>+B35</f>
        <v>181631.32</v>
      </c>
      <c r="C36" s="456">
        <f>SUM(C35)</f>
        <v>24642789.550000001</v>
      </c>
      <c r="D36" s="328">
        <f t="shared" ref="D36:G36" si="11">SUM(D35)</f>
        <v>167634.92000000001</v>
      </c>
      <c r="E36" s="328">
        <f t="shared" si="11"/>
        <v>52194.8</v>
      </c>
      <c r="F36" s="376">
        <f t="shared" si="11"/>
        <v>24604591.149999999</v>
      </c>
      <c r="G36" s="328">
        <f t="shared" si="11"/>
        <v>20721207.199999999</v>
      </c>
      <c r="H36" s="328">
        <f>G36/F36*100</f>
        <v>84.216832028115206</v>
      </c>
      <c r="I36" s="565">
        <v>3883383.95</v>
      </c>
      <c r="J36" s="446">
        <f>+I36*100/F36</f>
        <v>15.783167971884794</v>
      </c>
      <c r="K36" s="440"/>
    </row>
    <row r="37" spans="1:11" s="210" customFormat="1" ht="51" thickTop="1" thickBot="1" x14ac:dyDescent="0.35">
      <c r="A37" s="453" t="s">
        <v>399</v>
      </c>
      <c r="B37" s="324" t="s">
        <v>40</v>
      </c>
      <c r="C37" s="454" t="s">
        <v>400</v>
      </c>
      <c r="D37" s="567" t="s">
        <v>42</v>
      </c>
      <c r="E37" s="567" t="s">
        <v>43</v>
      </c>
      <c r="F37" s="324" t="s">
        <v>146</v>
      </c>
      <c r="G37" s="324" t="s">
        <v>20</v>
      </c>
      <c r="H37" s="324" t="s">
        <v>21</v>
      </c>
      <c r="I37" s="324" t="s">
        <v>22</v>
      </c>
      <c r="J37" s="454" t="s">
        <v>83</v>
      </c>
      <c r="K37" s="50"/>
    </row>
    <row r="38" spans="1:11" s="210" customFormat="1" ht="20.100000000000001" customHeight="1" x14ac:dyDescent="0.3">
      <c r="A38" s="381" t="s">
        <v>50</v>
      </c>
      <c r="B38" s="443">
        <v>0</v>
      </c>
      <c r="C38" s="197">
        <v>2414701.5499999998</v>
      </c>
      <c r="D38" s="566">
        <v>0</v>
      </c>
      <c r="E38" s="566">
        <v>232106.22</v>
      </c>
      <c r="F38" s="372">
        <f>C38-E38</f>
        <v>2182595.3299999996</v>
      </c>
      <c r="G38" s="197">
        <v>1584324.4</v>
      </c>
      <c r="H38" s="327">
        <f t="shared" ref="H38" si="12">G38/F38*100</f>
        <v>72.589012641202714</v>
      </c>
      <c r="I38" s="439">
        <f>F38-G38</f>
        <v>598270.9299999997</v>
      </c>
      <c r="J38" s="444">
        <f>I38*100/F38</f>
        <v>27.410987358797282</v>
      </c>
    </row>
    <row r="39" spans="1:11" s="441" customFormat="1" ht="20.100000000000001" customHeight="1" thickBot="1" x14ac:dyDescent="0.35">
      <c r="A39" s="185" t="s">
        <v>36</v>
      </c>
      <c r="B39" s="445">
        <f>+B38</f>
        <v>0</v>
      </c>
      <c r="C39" s="445">
        <f t="shared" ref="C39" si="13">SUM(C38:C38)</f>
        <v>2414701.5499999998</v>
      </c>
      <c r="D39" s="569">
        <v>0</v>
      </c>
      <c r="E39" s="569">
        <v>0</v>
      </c>
      <c r="F39" s="445">
        <f t="shared" ref="F39:G39" si="14">SUM(F38:F38)</f>
        <v>2182595.3299999996</v>
      </c>
      <c r="G39" s="445">
        <f t="shared" si="14"/>
        <v>1584324.4</v>
      </c>
      <c r="H39" s="446">
        <f>G39/F39*100</f>
        <v>72.589012641202714</v>
      </c>
      <c r="I39" s="447">
        <f>SUM(I38:I38)</f>
        <v>598270.9299999997</v>
      </c>
      <c r="J39" s="328">
        <f>I39*100/F39</f>
        <v>27.410987358797282</v>
      </c>
      <c r="K39" s="440"/>
    </row>
    <row r="40" spans="1:11" s="460" customFormat="1" ht="20.100000000000001" customHeight="1" thickTop="1" thickBot="1" x14ac:dyDescent="0.35">
      <c r="A40" s="435" t="s">
        <v>36</v>
      </c>
      <c r="B40" s="457">
        <f>B36+B39</f>
        <v>181631.32</v>
      </c>
      <c r="C40" s="457">
        <f t="shared" ref="C40:E40" si="15">C39+C36</f>
        <v>27057491.100000001</v>
      </c>
      <c r="D40" s="568">
        <f t="shared" si="15"/>
        <v>167634.92000000001</v>
      </c>
      <c r="E40" s="568">
        <f t="shared" si="15"/>
        <v>52194.8</v>
      </c>
      <c r="F40" s="457">
        <f>F39+F36</f>
        <v>26787186.479999997</v>
      </c>
      <c r="G40" s="457">
        <f t="shared" ref="G40" si="16">G39+G36</f>
        <v>22305531.599999998</v>
      </c>
      <c r="H40" s="461">
        <f>G40/F40*100</f>
        <v>83.269407993459424</v>
      </c>
      <c r="I40" s="457">
        <f>I39+I36</f>
        <v>4481654.88</v>
      </c>
      <c r="J40" s="458">
        <f>I40/F40*100</f>
        <v>16.730592006540583</v>
      </c>
      <c r="K40" s="459"/>
    </row>
    <row r="41" spans="1:11" s="460" customFormat="1" ht="20.100000000000001" customHeight="1" thickTop="1" x14ac:dyDescent="0.3">
      <c r="A41" s="462"/>
      <c r="B41" s="463"/>
      <c r="C41" s="463"/>
      <c r="D41" s="463"/>
      <c r="E41" s="463"/>
      <c r="F41" s="463"/>
      <c r="G41" s="463"/>
      <c r="H41" s="464"/>
      <c r="I41" s="463"/>
      <c r="J41" s="463"/>
      <c r="K41" s="459"/>
    </row>
    <row r="42" spans="1:11" s="210" customFormat="1" ht="20.100000000000001" customHeight="1" x14ac:dyDescent="0.3">
      <c r="A42" s="363" t="s">
        <v>37</v>
      </c>
      <c r="B42" s="45"/>
      <c r="C42" s="329"/>
      <c r="D42" s="355"/>
      <c r="E42" s="355"/>
      <c r="F42" s="357"/>
    </row>
    <row r="43" spans="1:11" s="210" customFormat="1" ht="20.100000000000001" customHeight="1" x14ac:dyDescent="0.3">
      <c r="A43" s="134" t="s">
        <v>96</v>
      </c>
      <c r="B43" s="36" t="s">
        <v>52</v>
      </c>
      <c r="C43" s="25"/>
      <c r="D43" s="355"/>
      <c r="E43" s="355"/>
      <c r="F43" s="355"/>
    </row>
    <row r="44" spans="1:11" s="210" customFormat="1" ht="20.100000000000001" customHeight="1" x14ac:dyDescent="0.3">
      <c r="A44" s="367" t="s">
        <v>47</v>
      </c>
      <c r="B44" s="212">
        <v>77828.740000000005</v>
      </c>
      <c r="C44" s="357" t="s">
        <v>55</v>
      </c>
      <c r="D44" s="355" t="s">
        <v>402</v>
      </c>
      <c r="E44" s="355"/>
      <c r="F44" s="329"/>
      <c r="G44" s="212"/>
      <c r="I44" s="211"/>
    </row>
    <row r="45" spans="1:11" s="210" customFormat="1" ht="20.100000000000001" customHeight="1" x14ac:dyDescent="0.3">
      <c r="A45" s="367"/>
      <c r="B45" s="212">
        <v>3214524.08</v>
      </c>
      <c r="C45" s="357" t="s">
        <v>55</v>
      </c>
      <c r="D45" s="355" t="s">
        <v>578</v>
      </c>
      <c r="E45" s="355"/>
      <c r="F45" s="329"/>
      <c r="G45" s="212"/>
      <c r="I45" s="211"/>
    </row>
    <row r="46" spans="1:11" s="210" customFormat="1" ht="20.100000000000001" customHeight="1" x14ac:dyDescent="0.3">
      <c r="A46" s="367"/>
      <c r="B46" s="212">
        <v>591031.13</v>
      </c>
      <c r="C46" s="357" t="s">
        <v>55</v>
      </c>
      <c r="D46" s="355" t="s">
        <v>577</v>
      </c>
      <c r="E46" s="355"/>
      <c r="F46" s="329"/>
      <c r="G46" s="212"/>
      <c r="I46" s="211"/>
    </row>
    <row r="47" spans="1:11" s="210" customFormat="1" ht="20.100000000000001" customHeight="1" thickBot="1" x14ac:dyDescent="0.35">
      <c r="B47" s="448">
        <f>SUM(B44:B46)</f>
        <v>3883383.95</v>
      </c>
      <c r="C47" s="357" t="s">
        <v>55</v>
      </c>
      <c r="D47" s="355"/>
      <c r="E47" s="355"/>
      <c r="F47" s="212"/>
    </row>
    <row r="48" spans="1:11" s="155" customFormat="1" ht="20.100000000000001" customHeight="1" thickTop="1" x14ac:dyDescent="0.3">
      <c r="A48" s="369"/>
      <c r="B48" s="116"/>
      <c r="C48" s="535"/>
      <c r="D48" s="116"/>
      <c r="E48" s="116"/>
      <c r="F48" s="116"/>
      <c r="G48" s="116"/>
      <c r="H48" s="96"/>
      <c r="I48" s="362"/>
      <c r="J48" s="116"/>
      <c r="K48" s="154"/>
    </row>
    <row r="49" spans="1:11" s="155" customFormat="1" ht="20.100000000000001" customHeight="1" x14ac:dyDescent="0.3">
      <c r="A49" s="534" t="s">
        <v>50</v>
      </c>
      <c r="B49" s="116"/>
      <c r="C49" s="535"/>
      <c r="D49" s="116"/>
      <c r="E49" s="116"/>
      <c r="F49" s="116"/>
      <c r="G49" s="116"/>
      <c r="H49" s="116"/>
      <c r="I49" s="362"/>
      <c r="J49" s="116"/>
      <c r="K49" s="154"/>
    </row>
    <row r="50" spans="1:11" s="78" customFormat="1" ht="20.100000000000001" customHeight="1" x14ac:dyDescent="0.3">
      <c r="A50" s="363"/>
      <c r="B50" s="368">
        <v>598270.93000000005</v>
      </c>
      <c r="C50" s="357" t="s">
        <v>55</v>
      </c>
      <c r="D50" s="355" t="s">
        <v>401</v>
      </c>
      <c r="E50" s="355"/>
      <c r="F50" s="357"/>
    </row>
    <row r="51" spans="1:11" s="78" customFormat="1" ht="20.100000000000001" customHeight="1" x14ac:dyDescent="0.3">
      <c r="A51" s="134"/>
      <c r="B51" s="36"/>
      <c r="C51" s="25"/>
      <c r="D51" s="355"/>
      <c r="E51" s="355"/>
      <c r="F51" s="355"/>
    </row>
    <row r="52" spans="1:11" ht="20.100000000000001" customHeight="1" x14ac:dyDescent="0.25">
      <c r="A52" s="904" t="s">
        <v>517</v>
      </c>
      <c r="B52" s="904"/>
      <c r="C52" s="904"/>
      <c r="D52" s="904"/>
      <c r="E52" s="904"/>
      <c r="F52" s="904"/>
      <c r="G52" s="904"/>
      <c r="H52" s="904"/>
      <c r="I52" s="904"/>
      <c r="J52" s="904"/>
    </row>
    <row r="53" spans="1:11" s="210" customFormat="1" ht="20.100000000000001" customHeight="1" thickBot="1" x14ac:dyDescent="0.35">
      <c r="A53" s="903"/>
      <c r="B53" s="903"/>
      <c r="C53" s="903"/>
      <c r="D53" s="903"/>
      <c r="E53" s="903"/>
      <c r="F53" s="903"/>
      <c r="G53" s="903"/>
      <c r="H53" s="903"/>
      <c r="I53" s="903"/>
      <c r="J53" s="903"/>
      <c r="K53" s="33"/>
    </row>
    <row r="54" spans="1:11" s="210" customFormat="1" ht="50.25" thickBot="1" x14ac:dyDescent="0.35">
      <c r="A54" s="169" t="s">
        <v>518</v>
      </c>
      <c r="B54" s="170" t="s">
        <v>14</v>
      </c>
      <c r="C54" s="171" t="s">
        <v>405</v>
      </c>
      <c r="D54" s="214" t="s">
        <v>42</v>
      </c>
      <c r="E54" s="214" t="s">
        <v>43</v>
      </c>
      <c r="F54" s="170" t="s">
        <v>19</v>
      </c>
      <c r="G54" s="170" t="s">
        <v>59</v>
      </c>
      <c r="H54" s="170" t="s">
        <v>60</v>
      </c>
      <c r="I54" s="509" t="s">
        <v>61</v>
      </c>
      <c r="J54" s="323" t="s">
        <v>23</v>
      </c>
      <c r="K54" s="50"/>
    </row>
    <row r="55" spans="1:11" s="210" customFormat="1" ht="20.100000000000001" customHeight="1" x14ac:dyDescent="0.3">
      <c r="A55" s="334" t="s">
        <v>47</v>
      </c>
      <c r="B55" s="386">
        <v>3883383.95</v>
      </c>
      <c r="C55" s="372">
        <v>17240816.350000001</v>
      </c>
      <c r="D55" s="197">
        <f>51510.06+105152.35+4572+8600.5-1178.76-3488.12-225.76-140.6</f>
        <v>164801.66999999998</v>
      </c>
      <c r="E55" s="197">
        <f>16949.57+64512.98+117188.68</f>
        <v>198651.22999999998</v>
      </c>
      <c r="F55" s="197">
        <f>B55+C55-D55-E55</f>
        <v>20760747.399999999</v>
      </c>
      <c r="G55" s="450">
        <f>1330389.65+11182585.66+5248322.51+175590.8</f>
        <v>17936888.620000001</v>
      </c>
      <c r="H55" s="451">
        <f>G55/F55*100</f>
        <v>86.398087093916487</v>
      </c>
      <c r="I55" s="386">
        <v>2823858.78</v>
      </c>
      <c r="J55" s="452">
        <f>I55*100/F55</f>
        <v>13.601912906083527</v>
      </c>
    </row>
    <row r="56" spans="1:11" s="441" customFormat="1" ht="20.100000000000001" customHeight="1" thickBot="1" x14ac:dyDescent="0.35">
      <c r="A56" s="185" t="s">
        <v>36</v>
      </c>
      <c r="B56" s="455">
        <f>+B55</f>
        <v>3883383.95</v>
      </c>
      <c r="C56" s="372">
        <v>17240816.350000001</v>
      </c>
      <c r="D56" s="328">
        <f t="shared" ref="D56:G56" si="17">SUM(D55)</f>
        <v>164801.66999999998</v>
      </c>
      <c r="E56" s="328">
        <f t="shared" si="17"/>
        <v>198651.22999999998</v>
      </c>
      <c r="F56" s="376">
        <f t="shared" si="17"/>
        <v>20760747.399999999</v>
      </c>
      <c r="G56" s="328">
        <f t="shared" si="17"/>
        <v>17936888.620000001</v>
      </c>
      <c r="H56" s="328">
        <f>G56/F56*100</f>
        <v>86.398087093916487</v>
      </c>
      <c r="I56" s="386">
        <v>2823858.78</v>
      </c>
      <c r="J56" s="446">
        <f>+I56*100/F56</f>
        <v>13.601912906083527</v>
      </c>
      <c r="K56" s="440"/>
    </row>
    <row r="57" spans="1:11" s="210" customFormat="1" ht="51" thickTop="1" thickBot="1" x14ac:dyDescent="0.35">
      <c r="A57" s="453" t="s">
        <v>519</v>
      </c>
      <c r="B57" s="324" t="s">
        <v>40</v>
      </c>
      <c r="C57" s="454" t="s">
        <v>515</v>
      </c>
      <c r="D57" s="567" t="s">
        <v>42</v>
      </c>
      <c r="E57" s="567" t="s">
        <v>43</v>
      </c>
      <c r="F57" s="324" t="s">
        <v>146</v>
      </c>
      <c r="G57" s="324" t="s">
        <v>20</v>
      </c>
      <c r="H57" s="324" t="s">
        <v>21</v>
      </c>
      <c r="I57" s="324" t="s">
        <v>22</v>
      </c>
      <c r="J57" s="454" t="s">
        <v>83</v>
      </c>
      <c r="K57" s="50"/>
    </row>
    <row r="58" spans="1:11" s="210" customFormat="1" ht="20.100000000000001" customHeight="1" x14ac:dyDescent="0.3">
      <c r="A58" s="381" t="s">
        <v>50</v>
      </c>
      <c r="B58" s="439">
        <v>598270.9299999997</v>
      </c>
      <c r="C58" s="197">
        <v>1327932.5900000001</v>
      </c>
      <c r="D58" s="566">
        <v>0</v>
      </c>
      <c r="E58" s="566">
        <v>42747.59</v>
      </c>
      <c r="F58" s="372">
        <f>B58+C58-D58-E58</f>
        <v>1883455.9299999997</v>
      </c>
      <c r="G58" s="197">
        <v>1641415.29</v>
      </c>
      <c r="H58" s="327">
        <f t="shared" ref="H58" si="18">G58/F58*100</f>
        <v>87.149121137121611</v>
      </c>
      <c r="I58" s="439">
        <f>F58-G58</f>
        <v>242040.63999999966</v>
      </c>
      <c r="J58" s="444">
        <f>I58*100/F58</f>
        <v>12.850878862878394</v>
      </c>
    </row>
    <row r="59" spans="1:11" s="441" customFormat="1" ht="20.100000000000001" customHeight="1" thickBot="1" x14ac:dyDescent="0.35">
      <c r="A59" s="185" t="s">
        <v>36</v>
      </c>
      <c r="B59" s="445">
        <f>+B58</f>
        <v>598270.9299999997</v>
      </c>
      <c r="C59" s="445">
        <f t="shared" ref="C59" si="19">SUM(C58:C58)</f>
        <v>1327932.5900000001</v>
      </c>
      <c r="D59" s="569">
        <v>0</v>
      </c>
      <c r="E59" s="569">
        <v>0</v>
      </c>
      <c r="F59" s="445">
        <f t="shared" ref="F59:G59" si="20">SUM(F58:F58)</f>
        <v>1883455.9299999997</v>
      </c>
      <c r="G59" s="445">
        <f t="shared" si="20"/>
        <v>1641415.29</v>
      </c>
      <c r="H59" s="446">
        <f>G59/F59*100</f>
        <v>87.149121137121611</v>
      </c>
      <c r="I59" s="447">
        <f>SUM(I58:I58)</f>
        <v>242040.63999999966</v>
      </c>
      <c r="J59" s="328">
        <f>I59*100/F59</f>
        <v>12.850878862878394</v>
      </c>
      <c r="K59" s="440"/>
    </row>
    <row r="60" spans="1:11" s="460" customFormat="1" ht="20.100000000000001" customHeight="1" thickTop="1" thickBot="1" x14ac:dyDescent="0.35">
      <c r="A60" s="435" t="s">
        <v>36</v>
      </c>
      <c r="B60" s="457">
        <f>B56+B59</f>
        <v>4481654.88</v>
      </c>
      <c r="C60" s="457">
        <f t="shared" ref="C60:E60" si="21">C59+C56</f>
        <v>18568748.940000001</v>
      </c>
      <c r="D60" s="568">
        <f t="shared" si="21"/>
        <v>164801.66999999998</v>
      </c>
      <c r="E60" s="568">
        <f t="shared" si="21"/>
        <v>198651.22999999998</v>
      </c>
      <c r="F60" s="457">
        <f>F59+F56</f>
        <v>22644203.329999998</v>
      </c>
      <c r="G60" s="457">
        <f t="shared" ref="G60" si="22">G59+G56</f>
        <v>19578303.91</v>
      </c>
      <c r="H60" s="461">
        <f>G60/F60*100</f>
        <v>86.460555157009367</v>
      </c>
      <c r="I60" s="457">
        <f>I59+I56</f>
        <v>3065899.4199999995</v>
      </c>
      <c r="J60" s="458">
        <f>I60/F60*100</f>
        <v>13.539444842990639</v>
      </c>
      <c r="K60" s="459"/>
    </row>
    <row r="61" spans="1:11" s="460" customFormat="1" ht="20.100000000000001" customHeight="1" thickTop="1" x14ac:dyDescent="0.3">
      <c r="A61" s="462"/>
      <c r="B61" s="463"/>
      <c r="C61" s="463"/>
      <c r="D61" s="463"/>
      <c r="E61" s="463"/>
      <c r="F61" s="463"/>
      <c r="G61" s="463"/>
      <c r="H61" s="464"/>
      <c r="I61" s="463"/>
      <c r="J61" s="463"/>
      <c r="K61" s="459"/>
    </row>
    <row r="62" spans="1:11" s="210" customFormat="1" ht="20.100000000000001" customHeight="1" x14ac:dyDescent="0.3">
      <c r="A62" s="363" t="s">
        <v>37</v>
      </c>
      <c r="B62" s="45"/>
      <c r="C62" s="329"/>
      <c r="D62" s="355"/>
      <c r="E62" s="355"/>
      <c r="F62" s="357"/>
      <c r="H62" s="329"/>
      <c r="I62" s="329"/>
    </row>
    <row r="63" spans="1:11" s="210" customFormat="1" ht="20.100000000000001" customHeight="1" x14ac:dyDescent="0.3">
      <c r="A63" s="134" t="s">
        <v>96</v>
      </c>
      <c r="B63" s="36" t="s">
        <v>52</v>
      </c>
      <c r="C63" s="25"/>
      <c r="D63" s="355"/>
      <c r="E63" s="355"/>
      <c r="F63" s="355"/>
    </row>
    <row r="64" spans="1:11" s="210" customFormat="1" ht="20.100000000000001" customHeight="1" x14ac:dyDescent="0.3">
      <c r="A64" s="367" t="s">
        <v>47</v>
      </c>
      <c r="B64" s="212">
        <v>104129.46</v>
      </c>
      <c r="C64" s="357" t="s">
        <v>55</v>
      </c>
      <c r="D64" s="355" t="s">
        <v>580</v>
      </c>
      <c r="E64" s="355"/>
      <c r="F64" s="329"/>
      <c r="G64" s="212"/>
      <c r="I64" s="211"/>
    </row>
    <row r="65" spans="1:11" s="210" customFormat="1" ht="20.100000000000001" customHeight="1" x14ac:dyDescent="0.3">
      <c r="A65" s="367"/>
      <c r="B65" s="212">
        <v>2165573.2599999998</v>
      </c>
      <c r="C65" s="357" t="s">
        <v>55</v>
      </c>
      <c r="D65" s="355" t="s">
        <v>575</v>
      </c>
      <c r="E65" s="355"/>
      <c r="F65" s="329"/>
      <c r="G65" s="212"/>
      <c r="I65" s="211"/>
    </row>
    <row r="66" spans="1:11" s="210" customFormat="1" ht="20.100000000000001" customHeight="1" x14ac:dyDescent="0.3">
      <c r="A66" s="367"/>
      <c r="B66" s="212">
        <v>554156.06000000006</v>
      </c>
      <c r="C66" s="357" t="s">
        <v>55</v>
      </c>
      <c r="D66" s="355" t="s">
        <v>576</v>
      </c>
      <c r="E66" s="355"/>
      <c r="F66" s="329"/>
      <c r="G66" s="212"/>
      <c r="I66" s="211"/>
    </row>
    <row r="67" spans="1:11" s="210" customFormat="1" ht="20.100000000000001" customHeight="1" thickBot="1" x14ac:dyDescent="0.35">
      <c r="B67" s="448">
        <f>SUM(B64:B66)</f>
        <v>2823858.78</v>
      </c>
      <c r="C67" s="357" t="s">
        <v>55</v>
      </c>
      <c r="D67" s="355"/>
      <c r="E67" s="355"/>
      <c r="F67" s="212"/>
    </row>
    <row r="68" spans="1:11" s="155" customFormat="1" ht="20.100000000000001" customHeight="1" thickTop="1" x14ac:dyDescent="0.3">
      <c r="A68" s="369"/>
      <c r="B68" s="116"/>
      <c r="C68" s="535"/>
      <c r="D68" s="116"/>
      <c r="E68" s="116"/>
      <c r="F68" s="116"/>
      <c r="G68" s="116"/>
      <c r="H68" s="96"/>
      <c r="I68" s="362"/>
      <c r="J68" s="116"/>
      <c r="K68" s="154"/>
    </row>
    <row r="69" spans="1:11" s="155" customFormat="1" ht="20.100000000000001" customHeight="1" x14ac:dyDescent="0.3">
      <c r="A69" s="534" t="s">
        <v>50</v>
      </c>
      <c r="B69" s="116"/>
      <c r="C69" s="535"/>
      <c r="D69" s="116"/>
      <c r="E69" s="116"/>
      <c r="F69" s="116"/>
      <c r="G69" s="116"/>
      <c r="H69" s="116"/>
      <c r="I69" s="362"/>
      <c r="J69" s="116"/>
      <c r="K69" s="154"/>
    </row>
    <row r="70" spans="1:11" s="78" customFormat="1" ht="20.100000000000001" customHeight="1" x14ac:dyDescent="0.3">
      <c r="A70" s="363"/>
      <c r="B70" s="368">
        <v>242040.64</v>
      </c>
      <c r="C70" s="357" t="s">
        <v>55</v>
      </c>
      <c r="D70" s="355" t="s">
        <v>520</v>
      </c>
      <c r="E70" s="355"/>
      <c r="F70" s="357"/>
    </row>
    <row r="71" spans="1:11" s="78" customFormat="1" ht="20.100000000000001" customHeight="1" x14ac:dyDescent="0.3">
      <c r="A71" s="367"/>
      <c r="B71" s="130"/>
      <c r="C71" s="357"/>
      <c r="D71" s="355"/>
      <c r="E71" s="355"/>
      <c r="F71" s="145"/>
      <c r="G71" s="151"/>
      <c r="I71" s="79"/>
    </row>
    <row r="72" spans="1:11" ht="19.5" customHeight="1" x14ac:dyDescent="0.25">
      <c r="A72" s="904" t="s">
        <v>633</v>
      </c>
      <c r="B72" s="904"/>
      <c r="C72" s="904"/>
      <c r="D72" s="904"/>
      <c r="E72" s="904"/>
      <c r="F72" s="904"/>
      <c r="G72" s="904"/>
      <c r="H72" s="904"/>
      <c r="I72" s="904"/>
      <c r="J72" s="904"/>
    </row>
    <row r="73" spans="1:11" s="210" customFormat="1" ht="20.100000000000001" customHeight="1" thickBot="1" x14ac:dyDescent="0.35">
      <c r="A73" s="903"/>
      <c r="B73" s="903"/>
      <c r="C73" s="903"/>
      <c r="D73" s="903"/>
      <c r="E73" s="903"/>
      <c r="F73" s="903"/>
      <c r="G73" s="903"/>
      <c r="H73" s="903"/>
      <c r="I73" s="903"/>
      <c r="J73" s="903"/>
      <c r="K73" s="33"/>
    </row>
    <row r="74" spans="1:11" s="210" customFormat="1" ht="50.25" thickBot="1" x14ac:dyDescent="0.35">
      <c r="A74" s="169" t="s">
        <v>634</v>
      </c>
      <c r="B74" s="170" t="s">
        <v>14</v>
      </c>
      <c r="C74" s="171" t="s">
        <v>532</v>
      </c>
      <c r="D74" s="478" t="s">
        <v>42</v>
      </c>
      <c r="E74" s="214" t="s">
        <v>43</v>
      </c>
      <c r="F74" s="170" t="s">
        <v>19</v>
      </c>
      <c r="G74" s="170" t="s">
        <v>59</v>
      </c>
      <c r="H74" s="170" t="s">
        <v>60</v>
      </c>
      <c r="I74" s="509" t="s">
        <v>61</v>
      </c>
      <c r="J74" s="323" t="s">
        <v>23</v>
      </c>
      <c r="K74" s="50"/>
    </row>
    <row r="75" spans="1:11" s="210" customFormat="1" ht="20.100000000000001" customHeight="1" x14ac:dyDescent="0.3">
      <c r="A75" s="334" t="s">
        <v>47</v>
      </c>
      <c r="B75" s="386">
        <v>2823858.78</v>
      </c>
      <c r="C75" s="372">
        <v>14376927.33</v>
      </c>
      <c r="D75" s="181">
        <f>35428.6+106259.19+2243.9+13875.47-2316.95-6340.31-2461.98-434.15</f>
        <v>146253.76999999999</v>
      </c>
      <c r="E75" s="197">
        <v>291873.03999999998</v>
      </c>
      <c r="F75" s="197">
        <f>B75+C75-D75-E75</f>
        <v>16762659.300000001</v>
      </c>
      <c r="G75" s="450">
        <f>924742.06+11186338.56+283493.69+4093832.38</f>
        <v>16488406.690000001</v>
      </c>
      <c r="H75" s="451">
        <f>G75/F75*100</f>
        <v>98.363907509591868</v>
      </c>
      <c r="I75" s="386">
        <f>F75-G75</f>
        <v>274252.6099999994</v>
      </c>
      <c r="J75" s="452">
        <f>I75*100/F75</f>
        <v>1.6360924904081262</v>
      </c>
    </row>
    <row r="76" spans="1:11" s="441" customFormat="1" ht="20.100000000000001" customHeight="1" thickBot="1" x14ac:dyDescent="0.35">
      <c r="A76" s="185" t="s">
        <v>36</v>
      </c>
      <c r="B76" s="455">
        <f>+B75</f>
        <v>2823858.78</v>
      </c>
      <c r="C76" s="372">
        <v>14376927.33</v>
      </c>
      <c r="D76" s="197">
        <f>35428.6+106259.19+2243.9+13875.47-2316.95-6340.31-2461.98-434.15</f>
        <v>146253.76999999999</v>
      </c>
      <c r="E76" s="328">
        <f>SUM(E75)</f>
        <v>291873.03999999998</v>
      </c>
      <c r="F76" s="376">
        <f t="shared" ref="F76:G76" si="23">SUM(F75)</f>
        <v>16762659.300000001</v>
      </c>
      <c r="G76" s="328">
        <f t="shared" si="23"/>
        <v>16488406.690000001</v>
      </c>
      <c r="H76" s="328">
        <f>G76/F76*100</f>
        <v>98.363907509591868</v>
      </c>
      <c r="I76" s="386">
        <f>SUM(I75)</f>
        <v>274252.6099999994</v>
      </c>
      <c r="J76" s="446">
        <f>+I76*100/F76</f>
        <v>1.6360924904081262</v>
      </c>
      <c r="K76" s="440"/>
    </row>
    <row r="77" spans="1:11" s="210" customFormat="1" ht="51" thickTop="1" thickBot="1" x14ac:dyDescent="0.35">
      <c r="A77" s="453" t="s">
        <v>589</v>
      </c>
      <c r="B77" s="324" t="s">
        <v>40</v>
      </c>
      <c r="C77" s="454" t="s">
        <v>625</v>
      </c>
      <c r="D77" s="567" t="s">
        <v>42</v>
      </c>
      <c r="E77" s="567" t="s">
        <v>43</v>
      </c>
      <c r="F77" s="324" t="s">
        <v>146</v>
      </c>
      <c r="G77" s="324" t="s">
        <v>20</v>
      </c>
      <c r="H77" s="324" t="s">
        <v>21</v>
      </c>
      <c r="I77" s="324" t="s">
        <v>22</v>
      </c>
      <c r="J77" s="454" t="s">
        <v>83</v>
      </c>
      <c r="K77" s="50"/>
    </row>
    <row r="78" spans="1:11" s="210" customFormat="1" ht="20.100000000000001" customHeight="1" thickBot="1" x14ac:dyDescent="0.35">
      <c r="A78" s="381" t="s">
        <v>50</v>
      </c>
      <c r="B78" s="439">
        <v>242040.63999999966</v>
      </c>
      <c r="C78" s="197">
        <v>731779.25</v>
      </c>
      <c r="D78" s="569">
        <f t="shared" ref="D78:E78" si="24">SUM(D77)</f>
        <v>0</v>
      </c>
      <c r="E78" s="569">
        <f t="shared" si="24"/>
        <v>0</v>
      </c>
      <c r="F78" s="372">
        <f>B78+C78</f>
        <v>973819.88999999966</v>
      </c>
      <c r="G78" s="197">
        <v>973819.89</v>
      </c>
      <c r="H78" s="327">
        <f t="shared" ref="H78" si="25">G78/F78*100</f>
        <v>100.00000000000004</v>
      </c>
      <c r="I78" s="439">
        <f>F78-G78</f>
        <v>0</v>
      </c>
      <c r="J78" s="444">
        <f>I78*100/F78</f>
        <v>0</v>
      </c>
    </row>
    <row r="79" spans="1:11" s="441" customFormat="1" ht="20.100000000000001" customHeight="1" thickTop="1" thickBot="1" x14ac:dyDescent="0.35">
      <c r="A79" s="185" t="s">
        <v>36</v>
      </c>
      <c r="B79" s="445">
        <f>+B78</f>
        <v>242040.63999999966</v>
      </c>
      <c r="C79" s="445">
        <f t="shared" ref="C79:G79" si="26">SUM(C78)</f>
        <v>731779.25</v>
      </c>
      <c r="D79" s="569">
        <f t="shared" si="26"/>
        <v>0</v>
      </c>
      <c r="E79" s="569">
        <f t="shared" si="26"/>
        <v>0</v>
      </c>
      <c r="F79" s="445">
        <f t="shared" si="26"/>
        <v>973819.88999999966</v>
      </c>
      <c r="G79" s="445">
        <f t="shared" si="26"/>
        <v>973819.89</v>
      </c>
      <c r="H79" s="446">
        <f>G79/F79*100</f>
        <v>100.00000000000004</v>
      </c>
      <c r="I79" s="447">
        <f>SUM(I78:I78)</f>
        <v>0</v>
      </c>
      <c r="J79" s="328">
        <f>I79*100/F79</f>
        <v>0</v>
      </c>
      <c r="K79" s="440"/>
    </row>
    <row r="80" spans="1:11" s="460" customFormat="1" ht="20.100000000000001" customHeight="1" thickTop="1" thickBot="1" x14ac:dyDescent="0.35">
      <c r="A80" s="435" t="s">
        <v>36</v>
      </c>
      <c r="B80" s="457">
        <f>B76+B79</f>
        <v>3065899.4199999995</v>
      </c>
      <c r="C80" s="457">
        <f t="shared" ref="C80:E80" si="27">C79+C76</f>
        <v>15108706.58</v>
      </c>
      <c r="D80" s="568">
        <f t="shared" si="27"/>
        <v>146253.76999999999</v>
      </c>
      <c r="E80" s="568">
        <f t="shared" si="27"/>
        <v>291873.03999999998</v>
      </c>
      <c r="F80" s="457">
        <f>F79+F76</f>
        <v>17736479.190000001</v>
      </c>
      <c r="G80" s="457">
        <f t="shared" ref="G80" si="28">G79+G76</f>
        <v>17462226.580000002</v>
      </c>
      <c r="H80" s="602">
        <f>G80/F80*100</f>
        <v>98.453737029417738</v>
      </c>
      <c r="I80" s="603">
        <f>I79+I76</f>
        <v>274252.6099999994</v>
      </c>
      <c r="J80" s="604">
        <f>I80*100/F80</f>
        <v>1.5462629705822657</v>
      </c>
      <c r="K80" s="459"/>
    </row>
    <row r="81" spans="1:11" s="460" customFormat="1" ht="20.100000000000001" customHeight="1" thickTop="1" x14ac:dyDescent="0.3">
      <c r="A81" s="462"/>
      <c r="B81" s="463"/>
      <c r="C81" s="463"/>
      <c r="D81" s="463"/>
      <c r="E81" s="463"/>
      <c r="F81" s="463"/>
      <c r="G81" s="463"/>
      <c r="H81" s="464"/>
      <c r="I81" s="463"/>
      <c r="J81" s="463"/>
      <c r="K81" s="459"/>
    </row>
    <row r="82" spans="1:11" s="210" customFormat="1" ht="20.100000000000001" customHeight="1" x14ac:dyDescent="0.3">
      <c r="A82" s="363" t="s">
        <v>37</v>
      </c>
      <c r="B82" s="45"/>
      <c r="C82" s="329"/>
      <c r="D82" s="355"/>
      <c r="E82" s="355"/>
      <c r="F82" s="357"/>
      <c r="H82" s="329"/>
      <c r="I82" s="329"/>
    </row>
    <row r="83" spans="1:11" s="210" customFormat="1" ht="20.100000000000001" customHeight="1" x14ac:dyDescent="0.3">
      <c r="A83" s="134" t="s">
        <v>96</v>
      </c>
      <c r="B83" s="36" t="s">
        <v>52</v>
      </c>
      <c r="C83" s="25"/>
      <c r="D83" s="355"/>
      <c r="E83" s="355"/>
      <c r="F83" s="355"/>
    </row>
    <row r="84" spans="1:11" s="210" customFormat="1" ht="20.100000000000001" customHeight="1" x14ac:dyDescent="0.3">
      <c r="A84" s="367" t="s">
        <v>47</v>
      </c>
      <c r="B84" s="212">
        <v>274252.61</v>
      </c>
      <c r="C84" s="357" t="s">
        <v>55</v>
      </c>
      <c r="D84" s="355" t="s">
        <v>635</v>
      </c>
      <c r="E84" s="355"/>
      <c r="F84" s="329"/>
      <c r="G84" s="212"/>
      <c r="I84" s="211"/>
    </row>
    <row r="85" spans="1:11" s="210" customFormat="1" ht="20.100000000000001" customHeight="1" thickBot="1" x14ac:dyDescent="0.35">
      <c r="B85" s="601">
        <f>SUM(B84:B84)</f>
        <v>274252.61</v>
      </c>
      <c r="C85" s="357" t="s">
        <v>55</v>
      </c>
      <c r="D85" s="355"/>
      <c r="E85" s="355"/>
      <c r="F85" s="212"/>
    </row>
    <row r="86" spans="1:11" s="155" customFormat="1" ht="20.100000000000001" customHeight="1" thickTop="1" x14ac:dyDescent="0.3">
      <c r="A86" s="369"/>
      <c r="B86" s="116"/>
      <c r="C86" s="535"/>
      <c r="D86" s="116"/>
      <c r="E86" s="116"/>
      <c r="F86" s="116"/>
      <c r="G86" s="116"/>
      <c r="H86" s="96"/>
      <c r="I86" s="362"/>
      <c r="J86" s="116"/>
      <c r="K86" s="154"/>
    </row>
    <row r="87" spans="1:11" ht="19.5" customHeight="1" x14ac:dyDescent="0.25">
      <c r="A87" s="904" t="s">
        <v>742</v>
      </c>
      <c r="B87" s="904"/>
      <c r="C87" s="904"/>
      <c r="D87" s="904"/>
      <c r="E87" s="904"/>
      <c r="F87" s="904"/>
      <c r="G87" s="904"/>
      <c r="H87" s="904"/>
      <c r="I87" s="904"/>
      <c r="J87" s="904"/>
    </row>
    <row r="88" spans="1:11" s="210" customFormat="1" ht="20.100000000000001" customHeight="1" thickBot="1" x14ac:dyDescent="0.35">
      <c r="A88" s="903"/>
      <c r="B88" s="903"/>
      <c r="C88" s="903"/>
      <c r="D88" s="903"/>
      <c r="E88" s="903"/>
      <c r="F88" s="903"/>
      <c r="G88" s="903"/>
      <c r="H88" s="903"/>
      <c r="I88" s="903"/>
      <c r="J88" s="903"/>
      <c r="K88" s="33"/>
    </row>
    <row r="89" spans="1:11" s="210" customFormat="1" ht="50.25" thickBot="1" x14ac:dyDescent="0.35">
      <c r="A89" s="169" t="s">
        <v>688</v>
      </c>
      <c r="B89" s="170" t="s">
        <v>14</v>
      </c>
      <c r="C89" s="171" t="s">
        <v>690</v>
      </c>
      <c r="D89" s="478" t="s">
        <v>42</v>
      </c>
      <c r="E89" s="214" t="s">
        <v>43</v>
      </c>
      <c r="F89" s="170" t="s">
        <v>19</v>
      </c>
      <c r="G89" s="170" t="s">
        <v>59</v>
      </c>
      <c r="H89" s="170" t="s">
        <v>60</v>
      </c>
      <c r="I89" s="509" t="s">
        <v>61</v>
      </c>
      <c r="J89" s="323" t="s">
        <v>23</v>
      </c>
      <c r="K89" s="50"/>
    </row>
    <row r="90" spans="1:11" s="210" customFormat="1" ht="20.100000000000001" customHeight="1" x14ac:dyDescent="0.3">
      <c r="A90" s="334" t="s">
        <v>47</v>
      </c>
      <c r="B90" s="386">
        <v>274252.6099999994</v>
      </c>
      <c r="C90" s="372">
        <v>18520342.039999999</v>
      </c>
      <c r="D90" s="181">
        <f>27563.85+92734.72+17716.43-1062.86-3187.78-416.26</f>
        <v>133348.1</v>
      </c>
      <c r="E90" s="197">
        <f>3922.5+1272515.61</f>
        <v>1276438.1100000001</v>
      </c>
      <c r="F90" s="197">
        <f>B90+C90-D90-E90</f>
        <v>17384808.439999998</v>
      </c>
      <c r="G90" s="450">
        <f>712996.15+9613978.2+361831.38+2557588.61</f>
        <v>13246394.34</v>
      </c>
      <c r="H90" s="451">
        <f>G90/F90*100</f>
        <v>76.195227492538322</v>
      </c>
      <c r="I90" s="386">
        <f>F90-G90</f>
        <v>4138414.0999999978</v>
      </c>
      <c r="J90" s="452">
        <f>I90*100/F90</f>
        <v>23.804772507461681</v>
      </c>
    </row>
    <row r="91" spans="1:11" s="441" customFormat="1" ht="20.100000000000001" customHeight="1" thickBot="1" x14ac:dyDescent="0.35">
      <c r="A91" s="185" t="s">
        <v>36</v>
      </c>
      <c r="B91" s="455">
        <f>+B90</f>
        <v>274252.6099999994</v>
      </c>
      <c r="C91" s="372">
        <f t="shared" ref="C91:D91" si="29">SUM(C90)</f>
        <v>18520342.039999999</v>
      </c>
      <c r="D91" s="197">
        <f t="shared" si="29"/>
        <v>133348.1</v>
      </c>
      <c r="E91" s="328">
        <f>SUM(E90)</f>
        <v>1276438.1100000001</v>
      </c>
      <c r="F91" s="376">
        <f t="shared" ref="F91:G91" si="30">SUM(F90)</f>
        <v>17384808.439999998</v>
      </c>
      <c r="G91" s="328">
        <f t="shared" si="30"/>
        <v>13246394.34</v>
      </c>
      <c r="H91" s="328">
        <f>G91/F91*100</f>
        <v>76.195227492538322</v>
      </c>
      <c r="I91" s="386">
        <f>SUM(I90)</f>
        <v>4138414.0999999978</v>
      </c>
      <c r="J91" s="446">
        <f>+I91*100/F91</f>
        <v>23.804772507461681</v>
      </c>
      <c r="K91" s="440"/>
    </row>
    <row r="92" spans="1:11" s="210" customFormat="1" ht="51" thickTop="1" thickBot="1" x14ac:dyDescent="0.35">
      <c r="A92" s="453" t="s">
        <v>689</v>
      </c>
      <c r="B92" s="324" t="s">
        <v>40</v>
      </c>
      <c r="C92" s="454" t="s">
        <v>691</v>
      </c>
      <c r="D92" s="567" t="s">
        <v>42</v>
      </c>
      <c r="E92" s="567" t="s">
        <v>43</v>
      </c>
      <c r="F92" s="324" t="s">
        <v>146</v>
      </c>
      <c r="G92" s="324" t="s">
        <v>20</v>
      </c>
      <c r="H92" s="324" t="s">
        <v>21</v>
      </c>
      <c r="I92" s="324" t="s">
        <v>22</v>
      </c>
      <c r="J92" s="454" t="s">
        <v>83</v>
      </c>
      <c r="K92" s="50"/>
    </row>
    <row r="93" spans="1:11" s="210" customFormat="1" ht="20.100000000000001" customHeight="1" thickBot="1" x14ac:dyDescent="0.35">
      <c r="A93" s="381" t="s">
        <v>50</v>
      </c>
      <c r="B93" s="439"/>
      <c r="C93" s="197">
        <v>1505011.37</v>
      </c>
      <c r="D93" s="569"/>
      <c r="E93" s="569"/>
      <c r="F93" s="372">
        <f>B93+C93</f>
        <v>1505011.37</v>
      </c>
      <c r="G93" s="197">
        <v>1315054.19</v>
      </c>
      <c r="H93" s="327">
        <f t="shared" ref="H93" si="31">G93/F93*100</f>
        <v>87.378355819331773</v>
      </c>
      <c r="I93" s="439">
        <f>F93-G93</f>
        <v>189957.18000000017</v>
      </c>
      <c r="J93" s="444">
        <f>I93*100/F93</f>
        <v>12.621644180668225</v>
      </c>
    </row>
    <row r="94" spans="1:11" s="441" customFormat="1" ht="20.100000000000001" customHeight="1" thickTop="1" thickBot="1" x14ac:dyDescent="0.35">
      <c r="A94" s="185" t="s">
        <v>36</v>
      </c>
      <c r="B94" s="445">
        <f>+B93</f>
        <v>0</v>
      </c>
      <c r="C94" s="445">
        <f>SUM(C93)</f>
        <v>1505011.37</v>
      </c>
      <c r="D94" s="569"/>
      <c r="E94" s="569"/>
      <c r="F94" s="445">
        <f t="shared" ref="F94:G94" si="32">SUM(F93)</f>
        <v>1505011.37</v>
      </c>
      <c r="G94" s="445">
        <f t="shared" si="32"/>
        <v>1315054.19</v>
      </c>
      <c r="H94" s="446">
        <f>G94/F94*100</f>
        <v>87.378355819331773</v>
      </c>
      <c r="I94" s="447">
        <f>SUM(I93:I93)</f>
        <v>189957.18000000017</v>
      </c>
      <c r="J94" s="328">
        <f>I94*100/F94</f>
        <v>12.621644180668225</v>
      </c>
      <c r="K94" s="440"/>
    </row>
    <row r="95" spans="1:11" s="460" customFormat="1" ht="20.100000000000001" customHeight="1" thickTop="1" thickBot="1" x14ac:dyDescent="0.35">
      <c r="A95" s="435" t="s">
        <v>36</v>
      </c>
      <c r="B95" s="457">
        <f>B91+B94</f>
        <v>274252.6099999994</v>
      </c>
      <c r="C95" s="457">
        <f t="shared" ref="C95:E95" si="33">C94+C91</f>
        <v>20025353.41</v>
      </c>
      <c r="D95" s="568">
        <f t="shared" si="33"/>
        <v>133348.1</v>
      </c>
      <c r="E95" s="568">
        <f t="shared" si="33"/>
        <v>1276438.1100000001</v>
      </c>
      <c r="F95" s="457">
        <f>F94+F91</f>
        <v>18889819.809999999</v>
      </c>
      <c r="G95" s="457">
        <f t="shared" ref="G95" si="34">G94+G91</f>
        <v>14561448.529999999</v>
      </c>
      <c r="H95" s="602">
        <f>G95/F95*100</f>
        <v>77.086222507487221</v>
      </c>
      <c r="I95" s="603">
        <f>I94+I91</f>
        <v>4328371.2799999975</v>
      </c>
      <c r="J95" s="604">
        <f>I95*100/F95</f>
        <v>22.913777492512768</v>
      </c>
      <c r="K95" s="459"/>
    </row>
    <row r="96" spans="1:11" s="460" customFormat="1" ht="20.100000000000001" customHeight="1" thickTop="1" x14ac:dyDescent="0.3">
      <c r="A96" s="462"/>
      <c r="B96" s="463"/>
      <c r="C96" s="463"/>
      <c r="D96" s="463"/>
      <c r="E96" s="463"/>
      <c r="F96" s="463"/>
      <c r="G96" s="463"/>
      <c r="H96" s="464"/>
      <c r="I96" s="463"/>
      <c r="J96" s="463"/>
      <c r="K96" s="459"/>
    </row>
    <row r="97" spans="1:11" s="210" customFormat="1" ht="20.100000000000001" customHeight="1" x14ac:dyDescent="0.3">
      <c r="A97" s="363" t="s">
        <v>37</v>
      </c>
      <c r="B97" s="45"/>
      <c r="C97" s="329"/>
      <c r="D97" s="355"/>
      <c r="E97" s="355"/>
      <c r="F97" s="357"/>
      <c r="H97" s="329"/>
      <c r="I97" s="329"/>
    </row>
    <row r="98" spans="1:11" s="210" customFormat="1" ht="20.100000000000001" customHeight="1" x14ac:dyDescent="0.3">
      <c r="A98" s="134" t="s">
        <v>96</v>
      </c>
      <c r="B98" s="36" t="s">
        <v>52</v>
      </c>
      <c r="C98" s="25"/>
      <c r="D98" s="355"/>
      <c r="E98" s="355"/>
      <c r="F98" s="355"/>
    </row>
    <row r="99" spans="1:11" s="210" customFormat="1" ht="20.100000000000001" customHeight="1" x14ac:dyDescent="0.3">
      <c r="A99" s="367" t="s">
        <v>47</v>
      </c>
      <c r="B99" s="608">
        <f>21090.38+30766.07</f>
        <v>51856.45</v>
      </c>
      <c r="C99" s="357" t="s">
        <v>55</v>
      </c>
      <c r="D99" s="355" t="s">
        <v>694</v>
      </c>
      <c r="E99" s="355"/>
      <c r="F99" s="329"/>
      <c r="G99" s="212"/>
      <c r="I99" s="211"/>
    </row>
    <row r="100" spans="1:11" s="210" customFormat="1" ht="20.100000000000001" customHeight="1" x14ac:dyDescent="0.3">
      <c r="B100" s="609">
        <v>4086557.65</v>
      </c>
      <c r="C100" s="357" t="s">
        <v>55</v>
      </c>
      <c r="D100" s="355" t="s">
        <v>693</v>
      </c>
      <c r="E100" s="355"/>
      <c r="F100" s="212"/>
    </row>
    <row r="101" spans="1:11" s="78" customFormat="1" ht="20.100000000000001" customHeight="1" thickBot="1" x14ac:dyDescent="0.35">
      <c r="A101" s="72"/>
      <c r="B101" s="610">
        <f>SUM(B99:B100)</f>
        <v>4138414.1</v>
      </c>
      <c r="C101" s="73"/>
      <c r="D101" s="73"/>
      <c r="E101" s="73"/>
      <c r="F101" s="72"/>
      <c r="G101" s="72"/>
      <c r="H101" s="72"/>
      <c r="I101" s="607"/>
      <c r="J101" s="73"/>
      <c r="K101" s="50"/>
    </row>
    <row r="102" spans="1:11" s="155" customFormat="1" ht="20.100000000000001" customHeight="1" thickTop="1" x14ac:dyDescent="0.3">
      <c r="A102" s="534" t="s">
        <v>50</v>
      </c>
      <c r="B102" s="116"/>
      <c r="C102" s="535"/>
      <c r="D102" s="116"/>
      <c r="E102" s="116"/>
      <c r="F102" s="116"/>
      <c r="G102" s="116"/>
      <c r="H102" s="116"/>
      <c r="I102" s="362"/>
      <c r="J102" s="116"/>
      <c r="K102" s="154"/>
    </row>
    <row r="103" spans="1:11" s="78" customFormat="1" ht="20.100000000000001" customHeight="1" x14ac:dyDescent="0.3">
      <c r="A103" s="363"/>
      <c r="B103" s="368">
        <v>189957.18</v>
      </c>
      <c r="C103" s="357" t="s">
        <v>55</v>
      </c>
      <c r="D103" s="355" t="s">
        <v>692</v>
      </c>
      <c r="E103" s="355"/>
      <c r="F103" s="357"/>
    </row>
    <row r="104" spans="1:11" s="78" customFormat="1" ht="20.100000000000001" customHeight="1" thickBot="1" x14ac:dyDescent="0.35">
      <c r="A104" s="367"/>
      <c r="B104" s="611">
        <f>SUM(B103)</f>
        <v>189957.18</v>
      </c>
      <c r="C104" s="357"/>
      <c r="D104" s="355"/>
      <c r="E104" s="355"/>
      <c r="F104" s="145"/>
      <c r="G104" s="151"/>
      <c r="I104" s="79"/>
    </row>
    <row r="105" spans="1:11" s="78" customFormat="1" ht="20.100000000000001" customHeight="1" thickTop="1" x14ac:dyDescent="0.3">
      <c r="A105" s="363"/>
      <c r="B105" s="45"/>
      <c r="C105" s="145"/>
      <c r="D105" s="355"/>
      <c r="E105" s="355"/>
      <c r="F105" s="357"/>
    </row>
    <row r="106" spans="1:11" s="621" customFormat="1" ht="16.5" x14ac:dyDescent="0.25">
      <c r="A106" s="904" t="s">
        <v>846</v>
      </c>
      <c r="B106" s="904"/>
      <c r="C106" s="904"/>
      <c r="D106" s="904"/>
      <c r="E106" s="904"/>
      <c r="F106" s="904"/>
      <c r="G106" s="904"/>
      <c r="H106" s="904"/>
      <c r="I106" s="904"/>
      <c r="J106" s="904"/>
    </row>
    <row r="107" spans="1:11" s="210" customFormat="1" ht="35.25" customHeight="1" thickBot="1" x14ac:dyDescent="0.35">
      <c r="A107" s="903"/>
      <c r="B107" s="903"/>
      <c r="C107" s="903"/>
      <c r="D107" s="903"/>
      <c r="E107" s="903"/>
      <c r="F107" s="903"/>
      <c r="G107" s="903"/>
      <c r="H107" s="903"/>
      <c r="I107" s="903"/>
      <c r="J107" s="903"/>
      <c r="K107" s="33"/>
    </row>
    <row r="108" spans="1:11" s="210" customFormat="1" ht="50.25" thickBot="1" x14ac:dyDescent="0.35">
      <c r="A108" s="619" t="s">
        <v>847</v>
      </c>
      <c r="B108" s="620" t="s">
        <v>14</v>
      </c>
      <c r="C108" s="618" t="s">
        <v>848</v>
      </c>
      <c r="D108" s="214" t="s">
        <v>42</v>
      </c>
      <c r="E108" s="214" t="s">
        <v>43</v>
      </c>
      <c r="F108" s="620" t="s">
        <v>19</v>
      </c>
      <c r="G108" s="620" t="s">
        <v>59</v>
      </c>
      <c r="H108" s="620" t="s">
        <v>60</v>
      </c>
      <c r="I108" s="620" t="s">
        <v>61</v>
      </c>
      <c r="J108" s="618" t="s">
        <v>23</v>
      </c>
      <c r="K108" s="50"/>
    </row>
    <row r="109" spans="1:11" s="210" customFormat="1" ht="20.100000000000001" customHeight="1" thickBot="1" x14ac:dyDescent="0.35">
      <c r="A109" s="334" t="s">
        <v>47</v>
      </c>
      <c r="B109" s="636">
        <f>I90</f>
        <v>4138414.0999999978</v>
      </c>
      <c r="C109" s="635">
        <v>19747341.149999999</v>
      </c>
      <c r="D109" s="635">
        <v>216684.72</v>
      </c>
      <c r="E109" s="635">
        <v>7457.19</v>
      </c>
      <c r="F109" s="635">
        <f>B109+C109-D109-E109</f>
        <v>23661613.339999996</v>
      </c>
      <c r="G109" s="450">
        <v>22537106.199999999</v>
      </c>
      <c r="H109" s="451">
        <f>G109/F109*100</f>
        <v>95.247546632422498</v>
      </c>
      <c r="I109" s="636">
        <f>F109-G109</f>
        <v>1124507.1399999969</v>
      </c>
      <c r="J109" s="451">
        <f>I109*100/F109</f>
        <v>4.7524533675775</v>
      </c>
    </row>
    <row r="110" spans="1:11" s="441" customFormat="1" ht="20.100000000000001" customHeight="1" thickTop="1" thickBot="1" x14ac:dyDescent="0.35">
      <c r="A110" s="660" t="s">
        <v>849</v>
      </c>
      <c r="B110" s="661">
        <f>SUM(B109)</f>
        <v>4138414.0999999978</v>
      </c>
      <c r="C110" s="662">
        <f t="shared" ref="C110:D110" si="35">SUM(C109)</f>
        <v>19747341.149999999</v>
      </c>
      <c r="D110" s="662">
        <f t="shared" si="35"/>
        <v>216684.72</v>
      </c>
      <c r="E110" s="663">
        <f>SUM(E109)</f>
        <v>7457.19</v>
      </c>
      <c r="F110" s="664">
        <f t="shared" ref="F110:G112" si="36">SUM(F109)</f>
        <v>23661613.339999996</v>
      </c>
      <c r="G110" s="663">
        <f t="shared" si="36"/>
        <v>22537106.199999999</v>
      </c>
      <c r="H110" s="663">
        <f>G110/F110*100</f>
        <v>95.247546632422498</v>
      </c>
      <c r="I110" s="665">
        <f>SUM(I109)</f>
        <v>1124507.1399999969</v>
      </c>
      <c r="J110" s="666">
        <f>+I110*100/F110</f>
        <v>4.7524533675775</v>
      </c>
      <c r="K110" s="440"/>
    </row>
    <row r="111" spans="1:11" s="210" customFormat="1" ht="20.100000000000001" customHeight="1" thickTop="1" thickBot="1" x14ac:dyDescent="0.35">
      <c r="A111" s="334" t="s">
        <v>50</v>
      </c>
      <c r="B111" s="449"/>
      <c r="C111" s="635">
        <v>714129.35</v>
      </c>
      <c r="D111" s="443"/>
      <c r="E111" s="443"/>
      <c r="F111" s="635">
        <f>B111+C111-D111-E111</f>
        <v>714129.35</v>
      </c>
      <c r="G111" s="635">
        <v>714129.35</v>
      </c>
      <c r="H111" s="451">
        <f t="shared" ref="H111" si="37">G111/F111*100</f>
        <v>100</v>
      </c>
      <c r="I111" s="449">
        <f>F111-G111</f>
        <v>0</v>
      </c>
      <c r="J111" s="451">
        <f>I111*100/F111</f>
        <v>0</v>
      </c>
    </row>
    <row r="112" spans="1:11" s="441" customFormat="1" ht="20.100000000000001" customHeight="1" thickTop="1" thickBot="1" x14ac:dyDescent="0.35">
      <c r="A112" s="660" t="s">
        <v>849</v>
      </c>
      <c r="B112" s="672">
        <f>SUM(B111)</f>
        <v>0</v>
      </c>
      <c r="C112" s="672">
        <f>SUM(C111)</f>
        <v>714129.35</v>
      </c>
      <c r="D112" s="672">
        <f>SUM(D111)</f>
        <v>0</v>
      </c>
      <c r="E112" s="672">
        <f>SUM(E111)</f>
        <v>0</v>
      </c>
      <c r="F112" s="664">
        <f t="shared" si="36"/>
        <v>714129.35</v>
      </c>
      <c r="G112" s="672">
        <f t="shared" ref="G112" si="38">SUM(G111)</f>
        <v>714129.35</v>
      </c>
      <c r="H112" s="666">
        <f>G112/F112*100</f>
        <v>100</v>
      </c>
      <c r="I112" s="673">
        <f>SUM(I111:I111)</f>
        <v>0</v>
      </c>
      <c r="J112" s="663">
        <f>I112*100/F112</f>
        <v>0</v>
      </c>
      <c r="K112" s="440"/>
    </row>
    <row r="113" spans="1:11" s="460" customFormat="1" ht="20.100000000000001" customHeight="1" thickTop="1" thickBot="1" x14ac:dyDescent="0.35">
      <c r="A113" s="667" t="s">
        <v>36</v>
      </c>
      <c r="B113" s="668">
        <f>SUM(B110)</f>
        <v>4138414.0999999978</v>
      </c>
      <c r="C113" s="668">
        <f>SUM(C112,C110)</f>
        <v>20461470.5</v>
      </c>
      <c r="D113" s="668">
        <f t="shared" ref="D113:I113" si="39">SUM(D112,D110)</f>
        <v>216684.72</v>
      </c>
      <c r="E113" s="668">
        <f t="shared" si="39"/>
        <v>7457.19</v>
      </c>
      <c r="F113" s="668">
        <f t="shared" si="39"/>
        <v>24375742.689999998</v>
      </c>
      <c r="G113" s="668">
        <f t="shared" si="39"/>
        <v>23251235.550000001</v>
      </c>
      <c r="H113" s="669">
        <f>G113/F113*100</f>
        <v>95.386777936159788</v>
      </c>
      <c r="I113" s="668">
        <f t="shared" si="39"/>
        <v>1124507.1399999969</v>
      </c>
      <c r="J113" s="669">
        <f>I113/F113*100</f>
        <v>4.6132220638402099</v>
      </c>
      <c r="K113" s="459"/>
    </row>
    <row r="114" spans="1:11" s="460" customFormat="1" ht="20.100000000000001" customHeight="1" thickTop="1" x14ac:dyDescent="0.3">
      <c r="A114" s="462"/>
      <c r="B114" s="463"/>
      <c r="C114" s="463"/>
      <c r="D114" s="463"/>
      <c r="E114" s="463"/>
      <c r="F114" s="463"/>
      <c r="G114" s="463"/>
      <c r="H114" s="464"/>
      <c r="I114" s="463"/>
      <c r="J114" s="463"/>
      <c r="K114" s="459"/>
    </row>
    <row r="115" spans="1:11" s="460" customFormat="1" ht="20.100000000000001" customHeight="1" x14ac:dyDescent="0.3">
      <c r="A115" s="641" t="s">
        <v>37</v>
      </c>
      <c r="B115" s="463"/>
      <c r="C115" s="463"/>
      <c r="D115" s="463"/>
      <c r="E115" s="463"/>
      <c r="F115" s="463"/>
      <c r="G115" s="463"/>
      <c r="H115" s="464"/>
      <c r="I115" s="463"/>
      <c r="J115" s="463"/>
      <c r="K115" s="459"/>
    </row>
    <row r="116" spans="1:11" s="460" customFormat="1" ht="20.100000000000001" customHeight="1" x14ac:dyDescent="0.3">
      <c r="A116" s="671" t="s">
        <v>855</v>
      </c>
      <c r="B116" s="365" t="s">
        <v>856</v>
      </c>
      <c r="C116" s="57">
        <f>SUM(C117:C122)</f>
        <v>1124507.1400000001</v>
      </c>
      <c r="D116" s="57" t="s">
        <v>155</v>
      </c>
      <c r="E116" s="464"/>
      <c r="F116" s="463"/>
      <c r="G116" s="463"/>
      <c r="H116" s="464"/>
      <c r="I116" s="463"/>
      <c r="J116" s="463"/>
      <c r="K116" s="459"/>
    </row>
    <row r="117" spans="1:11" s="460" customFormat="1" ht="20.100000000000001" customHeight="1" x14ac:dyDescent="0.3">
      <c r="A117" s="462"/>
      <c r="B117" s="57" t="s">
        <v>850</v>
      </c>
      <c r="C117" s="57">
        <v>10148.94</v>
      </c>
      <c r="D117" s="57" t="s">
        <v>857</v>
      </c>
      <c r="E117" s="57"/>
      <c r="F117" s="670"/>
      <c r="G117" s="670"/>
      <c r="H117" s="77"/>
      <c r="I117" s="463"/>
      <c r="J117" s="463"/>
      <c r="K117" s="459"/>
    </row>
    <row r="118" spans="1:11" s="460" customFormat="1" ht="20.100000000000001" customHeight="1" x14ac:dyDescent="0.3">
      <c r="A118" s="462"/>
      <c r="B118" s="57" t="s">
        <v>854</v>
      </c>
      <c r="C118" s="57">
        <v>1529.84</v>
      </c>
      <c r="D118" s="57" t="s">
        <v>860</v>
      </c>
      <c r="E118" s="57"/>
      <c r="F118" s="670"/>
      <c r="G118" s="670"/>
      <c r="H118" s="77"/>
      <c r="I118" s="463"/>
      <c r="J118" s="463"/>
      <c r="K118" s="459"/>
    </row>
    <row r="119" spans="1:11" s="460" customFormat="1" ht="20.100000000000001" customHeight="1" x14ac:dyDescent="0.3">
      <c r="A119" s="462"/>
      <c r="B119" s="57" t="s">
        <v>852</v>
      </c>
      <c r="C119" s="57">
        <v>10104.969999999999</v>
      </c>
      <c r="D119" s="57" t="s">
        <v>857</v>
      </c>
      <c r="E119" s="57"/>
      <c r="F119" s="670"/>
      <c r="G119" s="670"/>
      <c r="H119" s="77"/>
      <c r="I119" s="463"/>
      <c r="J119" s="463"/>
      <c r="K119" s="459"/>
    </row>
    <row r="120" spans="1:11" s="460" customFormat="1" ht="20.100000000000001" customHeight="1" x14ac:dyDescent="0.3">
      <c r="A120" s="462"/>
      <c r="B120" s="57" t="s">
        <v>851</v>
      </c>
      <c r="C120" s="57">
        <v>15458.18</v>
      </c>
      <c r="D120" s="57" t="s">
        <v>857</v>
      </c>
      <c r="E120" s="57"/>
      <c r="F120" s="670"/>
      <c r="G120" s="670"/>
      <c r="H120" s="77"/>
      <c r="I120" s="463"/>
      <c r="J120" s="463"/>
      <c r="K120" s="459"/>
    </row>
    <row r="121" spans="1:11" s="460" customFormat="1" ht="20.100000000000001" customHeight="1" x14ac:dyDescent="0.3">
      <c r="A121" s="462"/>
      <c r="B121" s="57" t="s">
        <v>853</v>
      </c>
      <c r="C121" s="57">
        <v>87884.7</v>
      </c>
      <c r="D121" s="57" t="s">
        <v>857</v>
      </c>
      <c r="E121" s="57"/>
      <c r="F121" s="670"/>
      <c r="G121" s="670"/>
      <c r="H121" s="77"/>
      <c r="I121" s="463"/>
      <c r="J121" s="463"/>
      <c r="K121" s="459"/>
    </row>
    <row r="122" spans="1:11" s="78" customFormat="1" ht="20.100000000000001" customHeight="1" x14ac:dyDescent="0.3">
      <c r="A122" s="72"/>
      <c r="B122" s="57" t="s">
        <v>858</v>
      </c>
      <c r="C122" s="109">
        <v>999380.51</v>
      </c>
      <c r="D122" s="57" t="s">
        <v>859</v>
      </c>
      <c r="E122" s="76"/>
      <c r="F122" s="72"/>
      <c r="G122" s="72"/>
      <c r="H122" s="72"/>
      <c r="I122" s="72"/>
      <c r="J122" s="73"/>
      <c r="K122" s="50"/>
    </row>
    <row r="123" spans="1:11" s="78" customFormat="1" ht="20.100000000000001" customHeight="1" x14ac:dyDescent="0.3">
      <c r="A123" s="72"/>
      <c r="B123" s="57"/>
      <c r="C123" s="109"/>
      <c r="D123" s="57"/>
      <c r="E123" s="76"/>
      <c r="F123" s="72"/>
      <c r="G123" s="72"/>
      <c r="H123" s="72"/>
      <c r="I123" s="72"/>
      <c r="J123" s="73"/>
      <c r="K123" s="50"/>
    </row>
    <row r="124" spans="1:11" s="825" customFormat="1" ht="17.25" thickBot="1" x14ac:dyDescent="0.35">
      <c r="A124" s="903" t="s">
        <v>961</v>
      </c>
      <c r="B124" s="903"/>
      <c r="C124" s="903"/>
      <c r="D124" s="903"/>
      <c r="E124" s="903"/>
      <c r="F124" s="903"/>
      <c r="G124" s="903"/>
      <c r="H124" s="903"/>
      <c r="I124" s="903"/>
      <c r="J124" s="903"/>
    </row>
    <row r="125" spans="1:11" s="210" customFormat="1" ht="50.25" thickBot="1" x14ac:dyDescent="0.35">
      <c r="A125" s="722" t="s">
        <v>963</v>
      </c>
      <c r="B125" s="723" t="s">
        <v>14</v>
      </c>
      <c r="C125" s="724" t="s">
        <v>965</v>
      </c>
      <c r="D125" s="725" t="s">
        <v>42</v>
      </c>
      <c r="E125" s="725" t="s">
        <v>43</v>
      </c>
      <c r="F125" s="723" t="s">
        <v>19</v>
      </c>
      <c r="G125" s="723" t="s">
        <v>59</v>
      </c>
      <c r="H125" s="723" t="s">
        <v>60</v>
      </c>
      <c r="I125" s="723" t="s">
        <v>61</v>
      </c>
      <c r="J125" s="724" t="s">
        <v>23</v>
      </c>
      <c r="K125" s="50"/>
    </row>
    <row r="126" spans="1:11" s="210" customFormat="1" ht="33.75" customHeight="1" thickBot="1" x14ac:dyDescent="0.35">
      <c r="A126" s="334" t="s">
        <v>964</v>
      </c>
      <c r="B126" s="449">
        <v>0</v>
      </c>
      <c r="C126" s="635">
        <v>30858.799999999999</v>
      </c>
      <c r="D126" s="635">
        <v>2935.5</v>
      </c>
      <c r="E126" s="635"/>
      <c r="F126" s="635">
        <f>B126+C126-D126-E126</f>
        <v>27923.3</v>
      </c>
      <c r="G126" s="450">
        <v>27923.3</v>
      </c>
      <c r="H126" s="451">
        <f>G126/F126*100</f>
        <v>100</v>
      </c>
      <c r="I126" s="636">
        <f>F126-G126</f>
        <v>0</v>
      </c>
      <c r="J126" s="451">
        <f>I126/F126*100</f>
        <v>0</v>
      </c>
    </row>
    <row r="127" spans="1:11" s="210" customFormat="1" ht="50.25" thickBot="1" x14ac:dyDescent="0.35">
      <c r="A127" s="726" t="s">
        <v>963</v>
      </c>
      <c r="B127" s="727" t="s">
        <v>14</v>
      </c>
      <c r="C127" s="728" t="s">
        <v>962</v>
      </c>
      <c r="D127" s="729" t="s">
        <v>42</v>
      </c>
      <c r="E127" s="729" t="s">
        <v>43</v>
      </c>
      <c r="F127" s="727" t="s">
        <v>19</v>
      </c>
      <c r="G127" s="727" t="s">
        <v>59</v>
      </c>
      <c r="H127" s="727" t="s">
        <v>60</v>
      </c>
      <c r="I127" s="727" t="s">
        <v>61</v>
      </c>
      <c r="J127" s="728" t="s">
        <v>23</v>
      </c>
      <c r="K127" s="50"/>
    </row>
    <row r="128" spans="1:11" s="210" customFormat="1" ht="30" customHeight="1" thickBot="1" x14ac:dyDescent="0.35">
      <c r="A128" s="717" t="s">
        <v>47</v>
      </c>
      <c r="B128" s="718">
        <v>1124507.1399999999</v>
      </c>
      <c r="C128" s="719">
        <v>12933966.360000001</v>
      </c>
      <c r="D128" s="719">
        <v>155215.39000000001</v>
      </c>
      <c r="E128" s="719">
        <v>0</v>
      </c>
      <c r="F128" s="719">
        <f>B128+C128-D128-E128</f>
        <v>13903258.110000001</v>
      </c>
      <c r="G128" s="720">
        <f>242503.43+813784.37+12389944.49</f>
        <v>13446232.290000001</v>
      </c>
      <c r="H128" s="721">
        <f>G128/F128*100</f>
        <v>96.712814964779497</v>
      </c>
      <c r="I128" s="718">
        <f>F128-G128</f>
        <v>457025.8200000003</v>
      </c>
      <c r="J128" s="721">
        <f>I128*100/F128</f>
        <v>3.2871850352204981</v>
      </c>
    </row>
    <row r="129" spans="1:11" s="441" customFormat="1" ht="20.100000000000001" customHeight="1" thickTop="1" thickBot="1" x14ac:dyDescent="0.35">
      <c r="A129" s="660" t="s">
        <v>849</v>
      </c>
      <c r="B129" s="661">
        <f>SUM(B128)</f>
        <v>1124507.1399999999</v>
      </c>
      <c r="C129" s="662">
        <f>C126+C128</f>
        <v>12964825.160000002</v>
      </c>
      <c r="D129" s="662">
        <f t="shared" ref="D129:E129" si="40">D126+D128</f>
        <v>158150.89000000001</v>
      </c>
      <c r="E129" s="662">
        <f t="shared" si="40"/>
        <v>0</v>
      </c>
      <c r="F129" s="662">
        <f>F126+F128</f>
        <v>13931181.410000002</v>
      </c>
      <c r="G129" s="662">
        <f>G126+G128</f>
        <v>13474155.590000002</v>
      </c>
      <c r="H129" s="663">
        <f>G129/F129*100</f>
        <v>96.719403713514623</v>
      </c>
      <c r="I129" s="665">
        <f>SUM(I128)</f>
        <v>457025.8200000003</v>
      </c>
      <c r="J129" s="666">
        <f>I129/F129*100</f>
        <v>3.2805962864853702</v>
      </c>
      <c r="K129" s="440"/>
    </row>
    <row r="130" spans="1:11" s="210" customFormat="1" ht="30" customHeight="1" thickTop="1" thickBot="1" x14ac:dyDescent="0.35">
      <c r="A130" s="334" t="s">
        <v>50</v>
      </c>
      <c r="B130" s="449">
        <v>0</v>
      </c>
      <c r="C130" s="635">
        <v>1012162.45</v>
      </c>
      <c r="D130" s="443">
        <v>0</v>
      </c>
      <c r="E130" s="443">
        <v>0</v>
      </c>
      <c r="F130" s="635">
        <f>B130+C130-D130-E130</f>
        <v>1012162.45</v>
      </c>
      <c r="G130" s="450">
        <v>1012162.45</v>
      </c>
      <c r="H130" s="451">
        <f t="shared" ref="H130" si="41">G130/F130*100</f>
        <v>100</v>
      </c>
      <c r="I130" s="449">
        <f>F130-G130</f>
        <v>0</v>
      </c>
      <c r="J130" s="451">
        <f>I130*100/F130</f>
        <v>0</v>
      </c>
    </row>
    <row r="131" spans="1:11" s="441" customFormat="1" ht="20.100000000000001" customHeight="1" thickTop="1" thickBot="1" x14ac:dyDescent="0.35">
      <c r="A131" s="660" t="s">
        <v>849</v>
      </c>
      <c r="B131" s="672">
        <f>SUM(B130)</f>
        <v>0</v>
      </c>
      <c r="C131" s="672">
        <f>SUM(C130)</f>
        <v>1012162.45</v>
      </c>
      <c r="D131" s="672">
        <f>SUM(D130)</f>
        <v>0</v>
      </c>
      <c r="E131" s="672">
        <f>SUM(E130)</f>
        <v>0</v>
      </c>
      <c r="F131" s="664">
        <f t="shared" ref="F131:G131" si="42">SUM(F130)</f>
        <v>1012162.45</v>
      </c>
      <c r="G131" s="672">
        <f t="shared" si="42"/>
        <v>1012162.45</v>
      </c>
      <c r="H131" s="666">
        <f>G131/F131*100</f>
        <v>100</v>
      </c>
      <c r="I131" s="673">
        <f>SUM(I130:I130)</f>
        <v>0</v>
      </c>
      <c r="J131" s="663">
        <f>I131*100/F131</f>
        <v>0</v>
      </c>
      <c r="K131" s="440"/>
    </row>
    <row r="132" spans="1:11" s="460" customFormat="1" ht="20.100000000000001" customHeight="1" thickTop="1" thickBot="1" x14ac:dyDescent="0.35">
      <c r="A132" s="667" t="s">
        <v>36</v>
      </c>
      <c r="B132" s="668">
        <f>SUM(B129)</f>
        <v>1124507.1399999999</v>
      </c>
      <c r="C132" s="668">
        <f>SUM(C131,C129)</f>
        <v>13976987.610000001</v>
      </c>
      <c r="D132" s="668">
        <f t="shared" ref="D132:G132" si="43">SUM(D131,D129)</f>
        <v>158150.89000000001</v>
      </c>
      <c r="E132" s="668">
        <f t="shared" si="43"/>
        <v>0</v>
      </c>
      <c r="F132" s="668">
        <f t="shared" si="43"/>
        <v>14943343.860000001</v>
      </c>
      <c r="G132" s="668">
        <f t="shared" si="43"/>
        <v>14486318.040000001</v>
      </c>
      <c r="H132" s="669">
        <f>G132/F132*100</f>
        <v>96.941609426365687</v>
      </c>
      <c r="I132" s="668">
        <f t="shared" ref="I132" si="44">SUM(I131,I129)</f>
        <v>457025.8200000003</v>
      </c>
      <c r="J132" s="669">
        <f>I132/F132*100</f>
        <v>3.058390573634302</v>
      </c>
      <c r="K132" s="459"/>
    </row>
    <row r="133" spans="1:11" s="460" customFormat="1" ht="20.100000000000001" customHeight="1" thickTop="1" x14ac:dyDescent="0.3">
      <c r="A133" s="462"/>
      <c r="B133" s="463"/>
      <c r="C133" s="463"/>
      <c r="D133" s="463"/>
      <c r="E133" s="463"/>
      <c r="F133" s="463"/>
      <c r="G133" s="463"/>
      <c r="H133" s="464"/>
      <c r="I133" s="463"/>
      <c r="J133" s="463"/>
      <c r="K133" s="459"/>
    </row>
    <row r="134" spans="1:11" s="58" customFormat="1" ht="20.100000000000001" customHeight="1" x14ac:dyDescent="0.3">
      <c r="A134" s="730" t="s">
        <v>964</v>
      </c>
      <c r="B134" s="82" t="s">
        <v>971</v>
      </c>
      <c r="C134" s="132"/>
      <c r="D134" s="731"/>
      <c r="E134" s="731"/>
      <c r="F134" s="732"/>
      <c r="G134" s="731"/>
      <c r="H134" s="731"/>
      <c r="I134" s="82"/>
      <c r="J134" s="733"/>
      <c r="K134" s="734"/>
    </row>
    <row r="135" spans="1:11" s="58" customFormat="1" ht="20.100000000000001" customHeight="1" x14ac:dyDescent="0.3">
      <c r="A135" s="730"/>
      <c r="B135" s="82"/>
      <c r="C135" s="132"/>
      <c r="D135" s="731"/>
      <c r="E135" s="731"/>
      <c r="F135" s="732"/>
      <c r="G135" s="731"/>
      <c r="H135" s="731"/>
      <c r="I135" s="82"/>
      <c r="J135" s="733"/>
      <c r="K135" s="734"/>
    </row>
    <row r="136" spans="1:11" s="460" customFormat="1" ht="20.100000000000001" customHeight="1" x14ac:dyDescent="0.3">
      <c r="A136" s="641" t="s">
        <v>37</v>
      </c>
      <c r="B136" s="463"/>
      <c r="C136" s="463"/>
      <c r="D136" s="463"/>
      <c r="E136" s="463"/>
      <c r="F136" s="463"/>
      <c r="G136" s="463"/>
      <c r="H136" s="464"/>
      <c r="I136" s="463"/>
      <c r="J136" s="463"/>
      <c r="K136" s="459"/>
    </row>
    <row r="137" spans="1:11" s="460" customFormat="1" ht="20.100000000000001" customHeight="1" x14ac:dyDescent="0.3">
      <c r="A137" s="671" t="s">
        <v>855</v>
      </c>
      <c r="B137" s="365" t="s">
        <v>856</v>
      </c>
      <c r="C137" s="57">
        <f>SUM(C138:C143)</f>
        <v>457025.81999999995</v>
      </c>
      <c r="D137" s="57" t="s">
        <v>155</v>
      </c>
      <c r="E137" s="464"/>
      <c r="F137" s="463"/>
      <c r="G137" s="463"/>
      <c r="H137" s="464"/>
      <c r="I137" s="463"/>
      <c r="J137" s="463"/>
      <c r="K137" s="459"/>
    </row>
    <row r="138" spans="1:11" s="460" customFormat="1" ht="20.100000000000001" customHeight="1" x14ac:dyDescent="0.3">
      <c r="A138" s="462"/>
      <c r="B138" s="57" t="s">
        <v>850</v>
      </c>
      <c r="C138" s="57">
        <v>10148.94</v>
      </c>
      <c r="D138" s="57" t="s">
        <v>857</v>
      </c>
      <c r="E138" s="57"/>
      <c r="F138" s="670"/>
      <c r="G138" s="670"/>
      <c r="H138" s="77"/>
      <c r="I138" s="463"/>
      <c r="J138" s="463"/>
      <c r="K138" s="459"/>
    </row>
    <row r="139" spans="1:11" s="460" customFormat="1" ht="20.100000000000001" customHeight="1" x14ac:dyDescent="0.3">
      <c r="A139" s="462"/>
      <c r="B139" s="57" t="s">
        <v>966</v>
      </c>
      <c r="C139" s="57">
        <v>10104.969999999999</v>
      </c>
      <c r="D139" s="57" t="s">
        <v>857</v>
      </c>
      <c r="E139" s="57"/>
      <c r="F139" s="670"/>
      <c r="G139" s="670"/>
      <c r="H139" s="77"/>
      <c r="I139" s="463"/>
      <c r="J139" s="463"/>
      <c r="K139" s="459"/>
    </row>
    <row r="140" spans="1:11" s="460" customFormat="1" ht="20.100000000000001" customHeight="1" x14ac:dyDescent="0.3">
      <c r="A140" s="462"/>
      <c r="B140" s="57" t="s">
        <v>967</v>
      </c>
      <c r="C140" s="57">
        <v>15458.18</v>
      </c>
      <c r="D140" s="57" t="s">
        <v>857</v>
      </c>
      <c r="E140" s="57"/>
      <c r="F140" s="670"/>
      <c r="G140" s="670"/>
      <c r="H140" s="77"/>
      <c r="I140" s="463"/>
      <c r="J140" s="463"/>
      <c r="K140" s="459"/>
    </row>
    <row r="141" spans="1:11" s="460" customFormat="1" ht="20.100000000000001" customHeight="1" x14ac:dyDescent="0.3">
      <c r="A141" s="462"/>
      <c r="B141" s="57" t="s">
        <v>968</v>
      </c>
      <c r="C141" s="57">
        <v>87884.7</v>
      </c>
      <c r="D141" s="57" t="s">
        <v>857</v>
      </c>
      <c r="E141" s="57"/>
      <c r="F141" s="670"/>
      <c r="G141" s="670"/>
      <c r="H141" s="77"/>
      <c r="I141" s="463"/>
      <c r="J141" s="463"/>
      <c r="K141" s="459"/>
    </row>
    <row r="142" spans="1:11" s="460" customFormat="1" ht="20.100000000000001" customHeight="1" x14ac:dyDescent="0.3">
      <c r="A142" s="462"/>
      <c r="B142" s="57" t="s">
        <v>969</v>
      </c>
      <c r="C142" s="57">
        <v>59804.6</v>
      </c>
      <c r="D142" s="57" t="s">
        <v>857</v>
      </c>
      <c r="E142" s="57"/>
      <c r="F142" s="670"/>
      <c r="G142" s="670"/>
      <c r="H142" s="77"/>
      <c r="I142" s="463"/>
      <c r="J142" s="463"/>
      <c r="K142" s="459"/>
    </row>
    <row r="143" spans="1:11" s="78" customFormat="1" ht="20.100000000000001" customHeight="1" x14ac:dyDescent="0.3">
      <c r="A143" s="72"/>
      <c r="B143" s="57" t="s">
        <v>1062</v>
      </c>
      <c r="C143" s="109">
        <v>273624.43</v>
      </c>
      <c r="D143" s="57" t="s">
        <v>970</v>
      </c>
      <c r="E143" s="76"/>
      <c r="F143" s="72"/>
      <c r="G143" s="72"/>
      <c r="H143" s="72"/>
      <c r="I143" s="72"/>
      <c r="J143" s="73"/>
      <c r="K143" s="50"/>
    </row>
    <row r="144" spans="1:11" s="78" customFormat="1" ht="20.100000000000001" customHeight="1" x14ac:dyDescent="0.3">
      <c r="A144" s="72"/>
      <c r="B144" s="57"/>
      <c r="C144" s="109"/>
      <c r="D144" s="57"/>
      <c r="E144" s="76"/>
      <c r="F144" s="72"/>
      <c r="G144" s="72"/>
      <c r="H144" s="72"/>
      <c r="I144" s="72"/>
      <c r="J144" s="73"/>
      <c r="K144" s="50"/>
    </row>
    <row r="145" spans="1:11" s="825" customFormat="1" ht="17.25" thickBot="1" x14ac:dyDescent="0.35">
      <c r="A145" s="903" t="s">
        <v>1055</v>
      </c>
      <c r="B145" s="903"/>
      <c r="C145" s="903"/>
      <c r="D145" s="903"/>
      <c r="E145" s="903"/>
      <c r="F145" s="903"/>
      <c r="G145" s="903"/>
      <c r="H145" s="903"/>
      <c r="I145" s="903"/>
      <c r="J145" s="903"/>
    </row>
    <row r="146" spans="1:11" s="801" customFormat="1" ht="50.25" thickBot="1" x14ac:dyDescent="0.35">
      <c r="A146" s="722" t="s">
        <v>1056</v>
      </c>
      <c r="B146" s="723" t="s">
        <v>14</v>
      </c>
      <c r="C146" s="724" t="s">
        <v>1057</v>
      </c>
      <c r="D146" s="725" t="s">
        <v>42</v>
      </c>
      <c r="E146" s="725" t="s">
        <v>43</v>
      </c>
      <c r="F146" s="723" t="s">
        <v>19</v>
      </c>
      <c r="G146" s="723" t="s">
        <v>59</v>
      </c>
      <c r="H146" s="723" t="s">
        <v>60</v>
      </c>
      <c r="I146" s="723" t="s">
        <v>61</v>
      </c>
      <c r="J146" s="724" t="s">
        <v>23</v>
      </c>
      <c r="K146" s="50"/>
    </row>
    <row r="147" spans="1:11" s="801" customFormat="1" ht="33.75" customHeight="1" thickBot="1" x14ac:dyDescent="0.35">
      <c r="A147" s="334" t="s">
        <v>964</v>
      </c>
      <c r="B147" s="449">
        <v>0</v>
      </c>
      <c r="C147" s="791">
        <v>135558.29999999999</v>
      </c>
      <c r="D147" s="791">
        <v>6437.5</v>
      </c>
      <c r="E147" s="791"/>
      <c r="F147" s="719">
        <f>B147+C147-D147-E147</f>
        <v>129120.79999999999</v>
      </c>
      <c r="G147" s="450">
        <v>129120.8</v>
      </c>
      <c r="H147" s="451">
        <f>F147/G147*100</f>
        <v>99.999999999999986</v>
      </c>
      <c r="I147" s="811">
        <f>F147-G147</f>
        <v>0</v>
      </c>
      <c r="J147" s="451">
        <f>I147/F147*100</f>
        <v>0</v>
      </c>
    </row>
    <row r="148" spans="1:11" s="801" customFormat="1" ht="50.25" thickBot="1" x14ac:dyDescent="0.35">
      <c r="A148" s="726" t="s">
        <v>1056</v>
      </c>
      <c r="B148" s="727" t="s">
        <v>14</v>
      </c>
      <c r="C148" s="728" t="s">
        <v>1058</v>
      </c>
      <c r="D148" s="729" t="s">
        <v>42</v>
      </c>
      <c r="E148" s="729" t="s">
        <v>43</v>
      </c>
      <c r="F148" s="727" t="s">
        <v>19</v>
      </c>
      <c r="G148" s="727" t="s">
        <v>59</v>
      </c>
      <c r="H148" s="727" t="s">
        <v>60</v>
      </c>
      <c r="I148" s="727" t="s">
        <v>61</v>
      </c>
      <c r="J148" s="728" t="s">
        <v>23</v>
      </c>
      <c r="K148" s="50"/>
    </row>
    <row r="149" spans="1:11" s="801" customFormat="1" ht="30" customHeight="1" thickBot="1" x14ac:dyDescent="0.35">
      <c r="A149" s="717" t="s">
        <v>47</v>
      </c>
      <c r="B149" s="718">
        <v>457025.8200000003</v>
      </c>
      <c r="C149" s="719">
        <v>16149625.380000001</v>
      </c>
      <c r="D149" s="719">
        <v>150913.43</v>
      </c>
      <c r="E149" s="719">
        <v>0</v>
      </c>
      <c r="F149" s="719">
        <f>B149+C149-D149-E149</f>
        <v>16455737.770000001</v>
      </c>
      <c r="G149" s="720">
        <f>242503.43+813784.37+12389944.49</f>
        <v>13446232.290000001</v>
      </c>
      <c r="H149" s="721">
        <f>G149/F149*100</f>
        <v>81.711512895601999</v>
      </c>
      <c r="I149" s="718">
        <f>F149-G149</f>
        <v>3009505.4800000004</v>
      </c>
      <c r="J149" s="721">
        <f>I149*100/F149</f>
        <v>18.288487104397994</v>
      </c>
    </row>
    <row r="150" spans="1:11" s="441" customFormat="1" ht="20.100000000000001" customHeight="1" thickTop="1" thickBot="1" x14ac:dyDescent="0.35">
      <c r="A150" s="660" t="s">
        <v>849</v>
      </c>
      <c r="B150" s="661">
        <f>SUM(B149)</f>
        <v>457025.8200000003</v>
      </c>
      <c r="C150" s="662">
        <f>C147+C149</f>
        <v>16285183.680000002</v>
      </c>
      <c r="D150" s="662">
        <f t="shared" ref="D150:E150" si="45">D147+D149</f>
        <v>157350.93</v>
      </c>
      <c r="E150" s="662">
        <f t="shared" si="45"/>
        <v>0</v>
      </c>
      <c r="F150" s="662">
        <f>F147+F149</f>
        <v>16584858.570000002</v>
      </c>
      <c r="G150" s="662">
        <f>G147+G149</f>
        <v>13575353.090000002</v>
      </c>
      <c r="H150" s="663">
        <f>G150/F150*100</f>
        <v>81.853897232239106</v>
      </c>
      <c r="I150" s="665">
        <f>SUM(I149)</f>
        <v>3009505.4800000004</v>
      </c>
      <c r="J150" s="666">
        <f>I150/F150*100</f>
        <v>18.146102767760897</v>
      </c>
      <c r="K150" s="440"/>
    </row>
    <row r="151" spans="1:11" s="801" customFormat="1" ht="30" customHeight="1" thickTop="1" thickBot="1" x14ac:dyDescent="0.35">
      <c r="A151" s="334" t="s">
        <v>50</v>
      </c>
      <c r="B151" s="449">
        <v>0</v>
      </c>
      <c r="C151" s="791">
        <v>1057030.1000000001</v>
      </c>
      <c r="D151" s="443">
        <v>0</v>
      </c>
      <c r="E151" s="443">
        <v>2137.38</v>
      </c>
      <c r="F151" s="791">
        <f>B151+C151-D151-E151</f>
        <v>1054892.7200000002</v>
      </c>
      <c r="G151" s="450">
        <v>1054892.72</v>
      </c>
      <c r="H151" s="451">
        <f t="shared" ref="H151" si="46">G151/F151*100</f>
        <v>99.999999999999972</v>
      </c>
      <c r="I151" s="449">
        <f>F151-G151</f>
        <v>0</v>
      </c>
      <c r="J151" s="451">
        <f>I151*100/F151</f>
        <v>0</v>
      </c>
    </row>
    <row r="152" spans="1:11" s="441" customFormat="1" ht="20.100000000000001" customHeight="1" thickTop="1" thickBot="1" x14ac:dyDescent="0.35">
      <c r="A152" s="660" t="s">
        <v>849</v>
      </c>
      <c r="B152" s="672">
        <f>SUM(B151)</f>
        <v>0</v>
      </c>
      <c r="C152" s="672">
        <f>SUM(C151)</f>
        <v>1057030.1000000001</v>
      </c>
      <c r="D152" s="672">
        <f>SUM(D151)</f>
        <v>0</v>
      </c>
      <c r="E152" s="672">
        <f>SUM(E151)</f>
        <v>2137.38</v>
      </c>
      <c r="F152" s="664">
        <f t="shared" ref="F152:G152" si="47">SUM(F151)</f>
        <v>1054892.7200000002</v>
      </c>
      <c r="G152" s="672">
        <f t="shared" si="47"/>
        <v>1054892.72</v>
      </c>
      <c r="H152" s="666">
        <f>G152/F152*100</f>
        <v>99.999999999999972</v>
      </c>
      <c r="I152" s="673">
        <f>SUM(I151:I151)</f>
        <v>0</v>
      </c>
      <c r="J152" s="663">
        <f>I152*100/F152</f>
        <v>0</v>
      </c>
      <c r="K152" s="440"/>
    </row>
    <row r="153" spans="1:11" s="460" customFormat="1" ht="20.100000000000001" customHeight="1" thickTop="1" thickBot="1" x14ac:dyDescent="0.35">
      <c r="A153" s="667" t="s">
        <v>36</v>
      </c>
      <c r="B153" s="668">
        <f>SUM(B150)</f>
        <v>457025.8200000003</v>
      </c>
      <c r="C153" s="668">
        <f>SUM(C152,C150)</f>
        <v>17342213.780000001</v>
      </c>
      <c r="D153" s="668">
        <f t="shared" ref="D153:G153" si="48">SUM(D152,D150)</f>
        <v>157350.93</v>
      </c>
      <c r="E153" s="668">
        <f t="shared" si="48"/>
        <v>2137.38</v>
      </c>
      <c r="F153" s="668">
        <f t="shared" si="48"/>
        <v>17639751.290000003</v>
      </c>
      <c r="G153" s="668">
        <f t="shared" si="48"/>
        <v>14630245.810000002</v>
      </c>
      <c r="H153" s="669">
        <f>G153/F153*100</f>
        <v>82.939070792307064</v>
      </c>
      <c r="I153" s="668">
        <f t="shared" ref="I153" si="49">SUM(I152,I150)</f>
        <v>3009505.4800000004</v>
      </c>
      <c r="J153" s="669">
        <f>I153/F153*100</f>
        <v>17.060929207692926</v>
      </c>
      <c r="K153" s="459"/>
    </row>
    <row r="154" spans="1:11" s="460" customFormat="1" ht="20.100000000000001" customHeight="1" thickTop="1" x14ac:dyDescent="0.3">
      <c r="A154" s="462"/>
      <c r="B154" s="463"/>
      <c r="C154" s="463"/>
      <c r="D154" s="463"/>
      <c r="E154" s="463"/>
      <c r="F154" s="463"/>
      <c r="G154" s="463"/>
      <c r="H154" s="464"/>
      <c r="I154" s="463"/>
      <c r="J154" s="463"/>
      <c r="K154" s="459"/>
    </row>
    <row r="155" spans="1:11" s="460" customFormat="1" ht="20.100000000000001" customHeight="1" x14ac:dyDescent="0.3">
      <c r="A155" s="767" t="s">
        <v>37</v>
      </c>
      <c r="B155" s="463"/>
      <c r="C155" s="463"/>
      <c r="D155" s="463"/>
      <c r="E155" s="463"/>
      <c r="F155" s="463"/>
      <c r="G155" s="463"/>
      <c r="H155" s="464"/>
      <c r="I155" s="463"/>
      <c r="J155" s="463"/>
      <c r="K155" s="459"/>
    </row>
    <row r="156" spans="1:11" s="460" customFormat="1" ht="20.100000000000001" customHeight="1" x14ac:dyDescent="0.3">
      <c r="A156" s="671" t="s">
        <v>855</v>
      </c>
      <c r="B156" s="365" t="s">
        <v>856</v>
      </c>
      <c r="C156" s="808">
        <f>SUM(C157:C162)</f>
        <v>3009505.4800000004</v>
      </c>
      <c r="D156" s="808" t="s">
        <v>155</v>
      </c>
      <c r="E156" s="464"/>
      <c r="F156" s="463"/>
      <c r="G156" s="463"/>
      <c r="H156" s="464"/>
      <c r="I156" s="463"/>
      <c r="J156" s="463"/>
      <c r="K156" s="459"/>
    </row>
    <row r="157" spans="1:11" s="460" customFormat="1" ht="20.100000000000001" customHeight="1" x14ac:dyDescent="0.3">
      <c r="A157" s="462"/>
      <c r="B157" s="808" t="s">
        <v>850</v>
      </c>
      <c r="C157" s="808">
        <v>10148.94</v>
      </c>
      <c r="D157" s="808" t="s">
        <v>857</v>
      </c>
      <c r="E157" s="808"/>
      <c r="F157" s="670"/>
      <c r="G157" s="670"/>
      <c r="H157" s="77"/>
      <c r="I157" s="463"/>
      <c r="J157" s="463"/>
      <c r="K157" s="459"/>
    </row>
    <row r="158" spans="1:11" s="460" customFormat="1" ht="20.100000000000001" customHeight="1" x14ac:dyDescent="0.3">
      <c r="A158" s="462"/>
      <c r="B158" s="808" t="s">
        <v>966</v>
      </c>
      <c r="C158" s="808">
        <v>10104.969999999999</v>
      </c>
      <c r="D158" s="808" t="s">
        <v>857</v>
      </c>
      <c r="E158" s="808"/>
      <c r="F158" s="670"/>
      <c r="G158" s="670"/>
      <c r="H158" s="77"/>
      <c r="I158" s="463"/>
      <c r="J158" s="463"/>
      <c r="K158" s="459"/>
    </row>
    <row r="159" spans="1:11" s="460" customFormat="1" ht="20.100000000000001" customHeight="1" x14ac:dyDescent="0.3">
      <c r="A159" s="462"/>
      <c r="B159" s="808" t="s">
        <v>1061</v>
      </c>
      <c r="C159" s="808">
        <v>79757.429999999993</v>
      </c>
      <c r="D159" s="808" t="s">
        <v>857</v>
      </c>
      <c r="E159" s="808"/>
      <c r="F159" s="670"/>
      <c r="G159" s="670"/>
      <c r="H159" s="77"/>
      <c r="I159" s="463"/>
      <c r="J159" s="463"/>
      <c r="K159" s="459"/>
    </row>
    <row r="160" spans="1:11" s="460" customFormat="1" ht="20.100000000000001" customHeight="1" x14ac:dyDescent="0.3">
      <c r="A160" s="462"/>
      <c r="B160" s="808" t="s">
        <v>1063</v>
      </c>
      <c r="C160" s="808">
        <v>69361.59</v>
      </c>
      <c r="D160" s="808" t="s">
        <v>857</v>
      </c>
      <c r="E160" s="808"/>
      <c r="F160" s="670"/>
      <c r="G160" s="670"/>
      <c r="H160" s="77"/>
      <c r="I160" s="463"/>
      <c r="J160" s="463"/>
      <c r="K160" s="459"/>
    </row>
    <row r="161" spans="1:11" s="460" customFormat="1" ht="20.100000000000001" customHeight="1" x14ac:dyDescent="0.3">
      <c r="A161" s="462"/>
      <c r="B161" s="808" t="s">
        <v>1064</v>
      </c>
      <c r="C161" s="808">
        <v>124948.69</v>
      </c>
      <c r="D161" s="808" t="s">
        <v>857</v>
      </c>
      <c r="E161" s="808"/>
      <c r="F161" s="670"/>
      <c r="G161" s="670"/>
      <c r="H161" s="77"/>
      <c r="I161" s="463"/>
      <c r="J161" s="463"/>
      <c r="K161" s="459"/>
    </row>
    <row r="162" spans="1:11" s="78" customFormat="1" ht="20.100000000000001" customHeight="1" x14ac:dyDescent="0.3">
      <c r="A162" s="72"/>
      <c r="B162" s="808" t="s">
        <v>1059</v>
      </c>
      <c r="C162" s="109">
        <v>2715183.8600000003</v>
      </c>
      <c r="D162" s="808" t="s">
        <v>1060</v>
      </c>
      <c r="E162" s="76"/>
      <c r="F162" s="72"/>
      <c r="G162" s="72"/>
      <c r="H162" s="72"/>
      <c r="I162" s="72"/>
      <c r="J162" s="73"/>
      <c r="K162" s="50"/>
    </row>
    <row r="163" spans="1:11" s="78" customFormat="1" ht="20.100000000000001" customHeight="1" x14ac:dyDescent="0.3">
      <c r="A163" s="134"/>
      <c r="B163" s="36"/>
      <c r="C163" s="25"/>
      <c r="D163" s="355"/>
      <c r="E163" s="355"/>
      <c r="F163" s="355"/>
    </row>
    <row r="164" spans="1:11" s="78" customFormat="1" ht="20.100000000000001" customHeight="1" x14ac:dyDescent="0.3">
      <c r="A164" s="134"/>
      <c r="B164" s="36"/>
      <c r="C164" s="755"/>
      <c r="D164" s="797"/>
      <c r="E164" s="797"/>
      <c r="F164" s="797"/>
    </row>
    <row r="165" spans="1:11" s="825" customFormat="1" ht="17.25" thickBot="1" x14ac:dyDescent="0.35">
      <c r="A165" s="903" t="s">
        <v>1230</v>
      </c>
      <c r="B165" s="903"/>
      <c r="C165" s="903"/>
      <c r="D165" s="903"/>
      <c r="E165" s="903"/>
      <c r="F165" s="903"/>
      <c r="G165" s="903"/>
      <c r="H165" s="903"/>
      <c r="I165" s="903"/>
      <c r="J165" s="903"/>
    </row>
    <row r="166" spans="1:11" s="801" customFormat="1" ht="50.25" thickBot="1" x14ac:dyDescent="0.35">
      <c r="A166" s="722" t="s">
        <v>1231</v>
      </c>
      <c r="B166" s="723" t="s">
        <v>14</v>
      </c>
      <c r="C166" s="724" t="s">
        <v>1232</v>
      </c>
      <c r="D166" s="725" t="s">
        <v>42</v>
      </c>
      <c r="E166" s="725" t="s">
        <v>43</v>
      </c>
      <c r="F166" s="723" t="s">
        <v>19</v>
      </c>
      <c r="G166" s="723" t="s">
        <v>59</v>
      </c>
      <c r="H166" s="723" t="s">
        <v>60</v>
      </c>
      <c r="I166" s="723" t="s">
        <v>61</v>
      </c>
      <c r="J166" s="724" t="s">
        <v>23</v>
      </c>
      <c r="K166" s="50"/>
    </row>
    <row r="167" spans="1:11" s="801" customFormat="1" ht="33.75" customHeight="1" thickBot="1" x14ac:dyDescent="0.35">
      <c r="A167" s="334" t="s">
        <v>964</v>
      </c>
      <c r="B167" s="449">
        <v>0</v>
      </c>
      <c r="C167" s="791">
        <v>90372.2</v>
      </c>
      <c r="D167" s="791">
        <f>4120-193.13</f>
        <v>3926.87</v>
      </c>
      <c r="E167" s="791"/>
      <c r="F167" s="719">
        <f>B167+C167-D167-E167</f>
        <v>86445.33</v>
      </c>
      <c r="G167" s="450">
        <v>86445.33</v>
      </c>
      <c r="H167" s="451">
        <f>F167/G167*100</f>
        <v>100</v>
      </c>
      <c r="I167" s="811">
        <f>F167-G167</f>
        <v>0</v>
      </c>
      <c r="J167" s="451">
        <f>I167/F167*100</f>
        <v>0</v>
      </c>
    </row>
    <row r="168" spans="1:11" s="801" customFormat="1" ht="50.25" thickBot="1" x14ac:dyDescent="0.35">
      <c r="A168" s="726" t="s">
        <v>1231</v>
      </c>
      <c r="B168" s="727" t="s">
        <v>14</v>
      </c>
      <c r="C168" s="728" t="s">
        <v>1202</v>
      </c>
      <c r="D168" s="729" t="s">
        <v>42</v>
      </c>
      <c r="E168" s="729" t="s">
        <v>43</v>
      </c>
      <c r="F168" s="727" t="s">
        <v>19</v>
      </c>
      <c r="G168" s="727" t="s">
        <v>59</v>
      </c>
      <c r="H168" s="727" t="s">
        <v>60</v>
      </c>
      <c r="I168" s="727" t="s">
        <v>61</v>
      </c>
      <c r="J168" s="728" t="s">
        <v>23</v>
      </c>
      <c r="K168" s="50"/>
    </row>
    <row r="169" spans="1:11" s="801" customFormat="1" ht="30" customHeight="1" thickBot="1" x14ac:dyDescent="0.35">
      <c r="A169" s="717" t="s">
        <v>47</v>
      </c>
      <c r="B169" s="718">
        <v>3009505.4800000004</v>
      </c>
      <c r="C169" s="719">
        <v>20174763.510000002</v>
      </c>
      <c r="D169" s="719">
        <f>71194.9+144744.58+2376-1305.63-3221.77</f>
        <v>213788.08</v>
      </c>
      <c r="E169" s="719">
        <v>1709.6</v>
      </c>
      <c r="F169" s="719">
        <f>B169+C169-D169-E169</f>
        <v>22968771.310000002</v>
      </c>
      <c r="G169" s="720">
        <f>1838084.14+15213527.25+5299961.4</f>
        <v>22351572.789999999</v>
      </c>
      <c r="H169" s="721">
        <f>G169/F169*100</f>
        <v>97.312879684899428</v>
      </c>
      <c r="I169" s="718">
        <f>F169-G169</f>
        <v>617198.52000000328</v>
      </c>
      <c r="J169" s="721">
        <f>I169*100/F169</f>
        <v>2.6871203151005782</v>
      </c>
    </row>
    <row r="170" spans="1:11" s="441" customFormat="1" ht="20.100000000000001" customHeight="1" thickTop="1" thickBot="1" x14ac:dyDescent="0.35">
      <c r="A170" s="660" t="s">
        <v>849</v>
      </c>
      <c r="B170" s="661">
        <f>SUM(B169)</f>
        <v>3009505.4800000004</v>
      </c>
      <c r="C170" s="662">
        <f>C167+C169</f>
        <v>20265135.710000001</v>
      </c>
      <c r="D170" s="662">
        <f t="shared" ref="D170:E170" si="50">D167+D169</f>
        <v>217714.94999999998</v>
      </c>
      <c r="E170" s="662">
        <f t="shared" si="50"/>
        <v>1709.6</v>
      </c>
      <c r="F170" s="662">
        <f>F167+F169</f>
        <v>23055216.640000001</v>
      </c>
      <c r="G170" s="662">
        <f>G167+G169</f>
        <v>22438018.119999997</v>
      </c>
      <c r="H170" s="663">
        <f>G170/F170*100</f>
        <v>97.32295501865211</v>
      </c>
      <c r="I170" s="665">
        <f>SUM(I169)</f>
        <v>617198.52000000328</v>
      </c>
      <c r="J170" s="666">
        <f>I170/F170*100</f>
        <v>2.6770449813478883</v>
      </c>
      <c r="K170" s="440"/>
    </row>
    <row r="171" spans="1:11" s="801" customFormat="1" ht="30" customHeight="1" thickTop="1" thickBot="1" x14ac:dyDescent="0.35">
      <c r="A171" s="334" t="s">
        <v>50</v>
      </c>
      <c r="B171" s="449">
        <v>0</v>
      </c>
      <c r="C171" s="791">
        <v>1297142.01</v>
      </c>
      <c r="D171" s="443">
        <v>0</v>
      </c>
      <c r="E171" s="443"/>
      <c r="F171" s="791">
        <f>B171+C171-D171-E171</f>
        <v>1297142.01</v>
      </c>
      <c r="G171" s="450">
        <v>1297142.01</v>
      </c>
      <c r="H171" s="451">
        <f t="shared" ref="H171" si="51">G171/F171*100</f>
        <v>100</v>
      </c>
      <c r="I171" s="449">
        <f>F171-G171</f>
        <v>0</v>
      </c>
      <c r="J171" s="451">
        <f>I171*100/F171</f>
        <v>0</v>
      </c>
    </row>
    <row r="172" spans="1:11" s="441" customFormat="1" ht="20.100000000000001" customHeight="1" thickTop="1" thickBot="1" x14ac:dyDescent="0.35">
      <c r="A172" s="660" t="s">
        <v>849</v>
      </c>
      <c r="B172" s="672">
        <f>SUM(B171)</f>
        <v>0</v>
      </c>
      <c r="C172" s="672">
        <f>SUM(C171)</f>
        <v>1297142.01</v>
      </c>
      <c r="D172" s="672">
        <f>SUM(D171)</f>
        <v>0</v>
      </c>
      <c r="E172" s="672">
        <f>SUM(E171)</f>
        <v>0</v>
      </c>
      <c r="F172" s="664">
        <f t="shared" ref="F172:G172" si="52">SUM(F171)</f>
        <v>1297142.01</v>
      </c>
      <c r="G172" s="672">
        <f t="shared" si="52"/>
        <v>1297142.01</v>
      </c>
      <c r="H172" s="666">
        <f>G172/F172*100</f>
        <v>100</v>
      </c>
      <c r="I172" s="673">
        <f>SUM(I171:I171)</f>
        <v>0</v>
      </c>
      <c r="J172" s="663">
        <f>I172*100/F172</f>
        <v>0</v>
      </c>
      <c r="K172" s="440"/>
    </row>
    <row r="173" spans="1:11" s="460" customFormat="1" ht="20.100000000000001" customHeight="1" thickTop="1" thickBot="1" x14ac:dyDescent="0.35">
      <c r="A173" s="667" t="s">
        <v>36</v>
      </c>
      <c r="B173" s="668">
        <f>SUM(B172,B170)</f>
        <v>3009505.4800000004</v>
      </c>
      <c r="C173" s="668">
        <f>SUM(C172,C170)</f>
        <v>21562277.720000003</v>
      </c>
      <c r="D173" s="668">
        <f t="shared" ref="D173:G173" si="53">SUM(D172,D170)</f>
        <v>217714.94999999998</v>
      </c>
      <c r="E173" s="668">
        <f t="shared" si="53"/>
        <v>1709.6</v>
      </c>
      <c r="F173" s="668">
        <f t="shared" si="53"/>
        <v>24352358.650000002</v>
      </c>
      <c r="G173" s="668">
        <f t="shared" si="53"/>
        <v>23735160.129999999</v>
      </c>
      <c r="H173" s="669">
        <f>G173/F173*100</f>
        <v>97.465549317540109</v>
      </c>
      <c r="I173" s="668">
        <f t="shared" ref="I173" si="54">SUM(I172,I170)</f>
        <v>617198.52000000328</v>
      </c>
      <c r="J173" s="669">
        <f>I173/F173*100</f>
        <v>2.5344506824598825</v>
      </c>
      <c r="K173" s="459"/>
    </row>
    <row r="174" spans="1:11" s="460" customFormat="1" ht="20.100000000000001" customHeight="1" thickTop="1" x14ac:dyDescent="0.3">
      <c r="A174" s="462"/>
      <c r="B174" s="463"/>
      <c r="C174" s="463"/>
      <c r="D174" s="463"/>
      <c r="E174" s="463"/>
      <c r="F174" s="463"/>
      <c r="G174" s="463"/>
      <c r="H174" s="464"/>
      <c r="I174" s="463"/>
      <c r="J174" s="463"/>
      <c r="K174" s="459"/>
    </row>
    <row r="175" spans="1:11" s="460" customFormat="1" ht="20.100000000000001" customHeight="1" x14ac:dyDescent="0.3">
      <c r="A175" s="767" t="s">
        <v>37</v>
      </c>
      <c r="B175" s="463"/>
      <c r="C175" s="463"/>
      <c r="D175" s="463"/>
      <c r="E175" s="463"/>
      <c r="F175" s="463"/>
      <c r="G175" s="463"/>
      <c r="H175" s="464"/>
      <c r="I175" s="463"/>
      <c r="J175" s="463"/>
      <c r="K175" s="459"/>
    </row>
    <row r="176" spans="1:11" s="460" customFormat="1" ht="20.100000000000001" customHeight="1" x14ac:dyDescent="0.3">
      <c r="A176" s="671" t="s">
        <v>855</v>
      </c>
      <c r="B176" s="365" t="s">
        <v>856</v>
      </c>
      <c r="C176" s="808">
        <v>617198.52</v>
      </c>
      <c r="D176" s="808" t="s">
        <v>155</v>
      </c>
      <c r="E176" s="464"/>
      <c r="F176" s="463"/>
      <c r="G176" s="463"/>
      <c r="H176" s="464"/>
      <c r="I176" s="463"/>
      <c r="J176" s="463"/>
      <c r="K176" s="459"/>
    </row>
    <row r="177" spans="1:11" s="460" customFormat="1" ht="20.100000000000001" customHeight="1" x14ac:dyDescent="0.3">
      <c r="A177" s="462"/>
      <c r="B177" s="808" t="s">
        <v>850</v>
      </c>
      <c r="C177" s="808">
        <v>10148.94</v>
      </c>
      <c r="D177" s="808" t="s">
        <v>1233</v>
      </c>
      <c r="E177" s="808"/>
      <c r="F177" s="670"/>
      <c r="G177" s="670"/>
      <c r="H177" s="77"/>
      <c r="I177" s="463"/>
      <c r="J177" s="463"/>
      <c r="K177" s="459"/>
    </row>
    <row r="178" spans="1:11" s="460" customFormat="1" ht="20.100000000000001" customHeight="1" x14ac:dyDescent="0.3">
      <c r="A178" s="462"/>
      <c r="B178" s="808" t="s">
        <v>966</v>
      </c>
      <c r="C178" s="808">
        <v>12348.87</v>
      </c>
      <c r="D178" s="808" t="s">
        <v>1233</v>
      </c>
      <c r="E178" s="808"/>
      <c r="F178" s="670"/>
      <c r="G178" s="670"/>
      <c r="H178" s="77"/>
      <c r="I178" s="463"/>
      <c r="J178" s="463"/>
      <c r="K178" s="459"/>
    </row>
    <row r="179" spans="1:11" s="460" customFormat="1" ht="20.100000000000001" customHeight="1" x14ac:dyDescent="0.3">
      <c r="A179" s="462"/>
      <c r="B179" s="808" t="s">
        <v>1061</v>
      </c>
      <c r="C179" s="808">
        <v>36984.82</v>
      </c>
      <c r="D179" s="808" t="s">
        <v>857</v>
      </c>
      <c r="E179" s="808"/>
      <c r="F179" s="670"/>
      <c r="G179" s="670"/>
      <c r="H179" s="77"/>
      <c r="I179" s="463"/>
      <c r="J179" s="463"/>
      <c r="K179" s="459"/>
    </row>
    <row r="180" spans="1:11" s="460" customFormat="1" ht="20.100000000000001" customHeight="1" x14ac:dyDescent="0.3">
      <c r="A180" s="462"/>
      <c r="B180" s="808" t="s">
        <v>1063</v>
      </c>
      <c r="C180" s="808">
        <v>21705.48</v>
      </c>
      <c r="D180" s="808" t="s">
        <v>857</v>
      </c>
      <c r="E180" s="808"/>
      <c r="F180" s="670"/>
      <c r="G180" s="670"/>
      <c r="H180" s="77"/>
      <c r="I180" s="463"/>
      <c r="J180" s="463"/>
      <c r="K180" s="459"/>
    </row>
    <row r="181" spans="1:11" s="460" customFormat="1" ht="20.100000000000001" customHeight="1" x14ac:dyDescent="0.3">
      <c r="A181" s="462"/>
      <c r="B181" s="808" t="s">
        <v>1064</v>
      </c>
      <c r="C181" s="808">
        <v>12798.77</v>
      </c>
      <c r="D181" s="808" t="s">
        <v>857</v>
      </c>
      <c r="E181" s="808"/>
      <c r="F181" s="670"/>
      <c r="G181" s="670"/>
      <c r="H181" s="77"/>
      <c r="I181" s="463"/>
      <c r="J181" s="463"/>
      <c r="K181" s="459"/>
    </row>
    <row r="182" spans="1:11" s="460" customFormat="1" ht="20.100000000000001" customHeight="1" x14ac:dyDescent="0.3">
      <c r="A182" s="462"/>
      <c r="B182" s="808" t="s">
        <v>1234</v>
      </c>
      <c r="C182" s="808">
        <v>100488.41</v>
      </c>
      <c r="D182" s="808" t="s">
        <v>857</v>
      </c>
      <c r="E182" s="808"/>
      <c r="F182" s="670"/>
      <c r="G182" s="670"/>
      <c r="H182" s="77"/>
      <c r="I182" s="463"/>
      <c r="J182" s="463"/>
      <c r="K182" s="459"/>
    </row>
    <row r="183" spans="1:11" s="78" customFormat="1" ht="20.100000000000001" customHeight="1" x14ac:dyDescent="0.3">
      <c r="A183" s="72"/>
      <c r="B183" s="808" t="s">
        <v>1235</v>
      </c>
      <c r="C183" s="109">
        <f>617198.52-194475.29</f>
        <v>422723.23</v>
      </c>
      <c r="D183" s="808" t="s">
        <v>1236</v>
      </c>
      <c r="E183" s="76"/>
      <c r="F183" s="72"/>
      <c r="G183" s="72"/>
      <c r="H183" s="72"/>
      <c r="I183" s="72"/>
      <c r="J183" s="73"/>
      <c r="K183" s="50"/>
    </row>
    <row r="185" spans="1:11" s="781" customFormat="1" ht="20.100000000000001" customHeight="1" x14ac:dyDescent="0.25">
      <c r="B185" s="755"/>
      <c r="C185" s="780"/>
      <c r="D185" s="780"/>
      <c r="E185" s="780"/>
      <c r="F185" s="780"/>
      <c r="G185" s="780"/>
      <c r="H185" s="782"/>
    </row>
    <row r="186" spans="1:11" s="825" customFormat="1" ht="17.25" thickBot="1" x14ac:dyDescent="0.35">
      <c r="A186" s="903" t="s">
        <v>1385</v>
      </c>
      <c r="B186" s="903"/>
      <c r="C186" s="903"/>
      <c r="D186" s="903"/>
      <c r="E186" s="903"/>
      <c r="F186" s="903"/>
      <c r="G186" s="903"/>
      <c r="H186" s="903"/>
      <c r="I186" s="903"/>
      <c r="J186" s="903"/>
    </row>
    <row r="187" spans="1:11" s="801" customFormat="1" ht="50.25" thickBot="1" x14ac:dyDescent="0.35">
      <c r="A187" s="722" t="s">
        <v>1231</v>
      </c>
      <c r="B187" s="723" t="s">
        <v>14</v>
      </c>
      <c r="C187" s="724" t="s">
        <v>1386</v>
      </c>
      <c r="D187" s="725" t="s">
        <v>42</v>
      </c>
      <c r="E187" s="725" t="s">
        <v>43</v>
      </c>
      <c r="F187" s="723" t="s">
        <v>19</v>
      </c>
      <c r="G187" s="723" t="s">
        <v>59</v>
      </c>
      <c r="H187" s="723" t="s">
        <v>60</v>
      </c>
      <c r="I187" s="723" t="s">
        <v>61</v>
      </c>
      <c r="J187" s="724" t="s">
        <v>23</v>
      </c>
      <c r="K187" s="50"/>
    </row>
    <row r="188" spans="1:11" s="801" customFormat="1" ht="33.75" customHeight="1" thickBot="1" x14ac:dyDescent="0.35">
      <c r="A188" s="334" t="s">
        <v>964</v>
      </c>
      <c r="B188" s="449">
        <v>0</v>
      </c>
      <c r="C188" s="791">
        <v>31960.9</v>
      </c>
      <c r="D188" s="791">
        <v>4616.95</v>
      </c>
      <c r="E188" s="791"/>
      <c r="F188" s="719">
        <f>C188-D188</f>
        <v>27343.95</v>
      </c>
      <c r="G188" s="450">
        <v>27343.95</v>
      </c>
      <c r="H188" s="451">
        <f>F188/G188*100</f>
        <v>100</v>
      </c>
      <c r="I188" s="811">
        <f>F188-G188</f>
        <v>0</v>
      </c>
      <c r="J188" s="451">
        <f>I188/F188*100</f>
        <v>0</v>
      </c>
    </row>
    <row r="189" spans="1:11" s="801" customFormat="1" ht="50.25" thickBot="1" x14ac:dyDescent="0.35">
      <c r="A189" s="726" t="s">
        <v>1231</v>
      </c>
      <c r="B189" s="727" t="s">
        <v>14</v>
      </c>
      <c r="C189" s="728" t="s">
        <v>1327</v>
      </c>
      <c r="D189" s="729" t="s">
        <v>42</v>
      </c>
      <c r="E189" s="729" t="s">
        <v>43</v>
      </c>
      <c r="F189" s="727" t="s">
        <v>19</v>
      </c>
      <c r="G189" s="727" t="s">
        <v>59</v>
      </c>
      <c r="H189" s="727" t="s">
        <v>60</v>
      </c>
      <c r="I189" s="727" t="s">
        <v>61</v>
      </c>
      <c r="J189" s="728" t="s">
        <v>23</v>
      </c>
      <c r="K189" s="50"/>
    </row>
    <row r="190" spans="1:11" s="801" customFormat="1" ht="30" customHeight="1" thickBot="1" x14ac:dyDescent="0.35">
      <c r="A190" s="717" t="s">
        <v>47</v>
      </c>
      <c r="B190" s="718">
        <v>617198.52000000328</v>
      </c>
      <c r="C190" s="719">
        <v>16512524.84</v>
      </c>
      <c r="D190" s="719">
        <f>40341.5+100520.87+4183.2-2135.84-4343.24-82.08</f>
        <v>138484.41000000003</v>
      </c>
      <c r="E190" s="719">
        <f>3856.02+17185.82</f>
        <v>21041.84</v>
      </c>
      <c r="F190" s="719">
        <f>B190+C190-D190-E190</f>
        <v>16970197.110000003</v>
      </c>
      <c r="G190" s="720">
        <f>1080622.73+10981073.17+4380290</f>
        <v>16441985.9</v>
      </c>
      <c r="H190" s="721">
        <f>G190/F190*100</f>
        <v>96.887418533938273</v>
      </c>
      <c r="I190" s="718">
        <f>F190-G190</f>
        <v>528211.21000000276</v>
      </c>
      <c r="J190" s="721">
        <f>I190*100/F190</f>
        <v>3.1125814660617261</v>
      </c>
    </row>
    <row r="191" spans="1:11" s="441" customFormat="1" ht="20.100000000000001" customHeight="1" thickTop="1" thickBot="1" x14ac:dyDescent="0.35">
      <c r="A191" s="660" t="s">
        <v>849</v>
      </c>
      <c r="B191" s="661">
        <f>SUM(B190)</f>
        <v>617198.52000000328</v>
      </c>
      <c r="C191" s="662">
        <f>C188+C190</f>
        <v>16544485.74</v>
      </c>
      <c r="D191" s="662">
        <f t="shared" ref="D191:E191" si="55">D188+D190</f>
        <v>143101.36000000004</v>
      </c>
      <c r="E191" s="662">
        <f t="shared" si="55"/>
        <v>21041.84</v>
      </c>
      <c r="F191" s="662">
        <f>F188+F190</f>
        <v>16997541.060000002</v>
      </c>
      <c r="G191" s="662">
        <f>G188+G190</f>
        <v>16469329.85</v>
      </c>
      <c r="H191" s="663">
        <f>G191/F191*100</f>
        <v>96.892425744785911</v>
      </c>
      <c r="I191" s="665">
        <f>SUM(I190)</f>
        <v>528211.21000000276</v>
      </c>
      <c r="J191" s="666">
        <f>I191/F191*100</f>
        <v>3.1075742552140815</v>
      </c>
      <c r="K191" s="440"/>
    </row>
    <row r="192" spans="1:11" s="801" customFormat="1" ht="30" customHeight="1" thickTop="1" thickBot="1" x14ac:dyDescent="0.35">
      <c r="A192" s="334" t="s">
        <v>50</v>
      </c>
      <c r="B192" s="449">
        <v>0</v>
      </c>
      <c r="C192" s="791">
        <v>917693.54</v>
      </c>
      <c r="D192" s="443">
        <v>0</v>
      </c>
      <c r="E192" s="443"/>
      <c r="F192" s="791">
        <f>B192+C192-D192-E192</f>
        <v>917693.54</v>
      </c>
      <c r="G192" s="450">
        <v>917693.54</v>
      </c>
      <c r="H192" s="451">
        <f t="shared" ref="H192" si="56">G192/F192*100</f>
        <v>100</v>
      </c>
      <c r="I192" s="449">
        <f>F192-G192</f>
        <v>0</v>
      </c>
      <c r="J192" s="451">
        <f>I192*100/F192</f>
        <v>0</v>
      </c>
    </row>
    <row r="193" spans="1:11" s="441" customFormat="1" ht="20.100000000000001" customHeight="1" thickTop="1" thickBot="1" x14ac:dyDescent="0.35">
      <c r="A193" s="660" t="s">
        <v>849</v>
      </c>
      <c r="B193" s="672">
        <f>SUM(B192)</f>
        <v>0</v>
      </c>
      <c r="C193" s="672">
        <f>SUM(C192)</f>
        <v>917693.54</v>
      </c>
      <c r="D193" s="672">
        <f>SUM(D192)</f>
        <v>0</v>
      </c>
      <c r="E193" s="672">
        <f>SUM(E192)</f>
        <v>0</v>
      </c>
      <c r="F193" s="664">
        <f t="shared" ref="F193:G193" si="57">SUM(F192)</f>
        <v>917693.54</v>
      </c>
      <c r="G193" s="672">
        <f t="shared" si="57"/>
        <v>917693.54</v>
      </c>
      <c r="H193" s="666">
        <f>G193/F193*100</f>
        <v>100</v>
      </c>
      <c r="I193" s="673">
        <f>SUM(I192:I192)</f>
        <v>0</v>
      </c>
      <c r="J193" s="663">
        <f>I193*100/F193</f>
        <v>0</v>
      </c>
      <c r="K193" s="440"/>
    </row>
    <row r="194" spans="1:11" s="460" customFormat="1" ht="20.100000000000001" customHeight="1" thickTop="1" thickBot="1" x14ac:dyDescent="0.35">
      <c r="A194" s="667" t="s">
        <v>36</v>
      </c>
      <c r="B194" s="668">
        <f>SUM(B193,B191)</f>
        <v>617198.52000000328</v>
      </c>
      <c r="C194" s="668">
        <f>SUM(C193,C191)</f>
        <v>17462179.280000001</v>
      </c>
      <c r="D194" s="668">
        <f t="shared" ref="D194:G194" si="58">SUM(D193,D191)</f>
        <v>143101.36000000004</v>
      </c>
      <c r="E194" s="668">
        <f t="shared" si="58"/>
        <v>21041.84</v>
      </c>
      <c r="F194" s="668">
        <f t="shared" si="58"/>
        <v>17915234.600000001</v>
      </c>
      <c r="G194" s="668">
        <f t="shared" si="58"/>
        <v>17387023.390000001</v>
      </c>
      <c r="H194" s="669">
        <f>G194/F194*100</f>
        <v>97.051608746446433</v>
      </c>
      <c r="I194" s="668">
        <f t="shared" ref="I194" si="59">SUM(I193,I191)</f>
        <v>528211.21000000276</v>
      </c>
      <c r="J194" s="669">
        <f>I194/F194*100</f>
        <v>2.9483912535535688</v>
      </c>
      <c r="K194" s="459"/>
    </row>
    <row r="195" spans="1:11" s="460" customFormat="1" ht="20.100000000000001" customHeight="1" thickTop="1" x14ac:dyDescent="0.3">
      <c r="A195" s="462"/>
      <c r="B195" s="463"/>
      <c r="C195" s="463"/>
      <c r="D195" s="463"/>
      <c r="E195" s="463"/>
      <c r="F195" s="463"/>
      <c r="G195" s="463"/>
      <c r="H195" s="464"/>
      <c r="I195" s="463"/>
      <c r="J195" s="463"/>
      <c r="K195" s="459"/>
    </row>
    <row r="196" spans="1:11" s="460" customFormat="1" ht="20.100000000000001" customHeight="1" x14ac:dyDescent="0.3">
      <c r="A196" s="767" t="s">
        <v>37</v>
      </c>
      <c r="B196" s="463"/>
      <c r="C196" s="463"/>
      <c r="D196" s="463"/>
      <c r="E196" s="463"/>
      <c r="F196" s="463"/>
      <c r="G196" s="463"/>
      <c r="H196" s="464"/>
      <c r="I196" s="463"/>
      <c r="J196" s="463"/>
      <c r="K196" s="459"/>
    </row>
    <row r="197" spans="1:11" s="460" customFormat="1" ht="20.100000000000001" customHeight="1" x14ac:dyDescent="0.3">
      <c r="A197" s="671" t="s">
        <v>855</v>
      </c>
      <c r="B197" s="365" t="s">
        <v>856</v>
      </c>
      <c r="C197" s="808">
        <v>528211.21</v>
      </c>
      <c r="D197" s="808" t="s">
        <v>155</v>
      </c>
      <c r="E197" s="464"/>
      <c r="F197" s="463"/>
      <c r="G197" s="463"/>
      <c r="H197" s="464"/>
      <c r="I197" s="463"/>
      <c r="J197" s="463"/>
      <c r="K197" s="459"/>
    </row>
    <row r="198" spans="1:11" s="460" customFormat="1" ht="20.100000000000001" customHeight="1" x14ac:dyDescent="0.3">
      <c r="A198" s="462"/>
      <c r="B198" s="808" t="s">
        <v>1387</v>
      </c>
      <c r="C198" s="808">
        <v>36984.82</v>
      </c>
      <c r="D198" s="808" t="s">
        <v>857</v>
      </c>
      <c r="E198" s="808"/>
      <c r="F198" s="670"/>
      <c r="G198" s="670"/>
      <c r="H198" s="77"/>
      <c r="I198" s="463"/>
      <c r="J198" s="463"/>
      <c r="K198" s="459"/>
    </row>
    <row r="199" spans="1:11" s="460" customFormat="1" ht="20.100000000000001" customHeight="1" x14ac:dyDescent="0.3">
      <c r="A199" s="462"/>
      <c r="B199" s="808" t="s">
        <v>1388</v>
      </c>
      <c r="C199" s="808">
        <v>21705.48</v>
      </c>
      <c r="D199" s="808" t="s">
        <v>857</v>
      </c>
      <c r="E199" s="808"/>
      <c r="F199" s="670"/>
      <c r="G199" s="670"/>
      <c r="H199" s="77"/>
      <c r="I199" s="463"/>
      <c r="J199" s="463"/>
      <c r="K199" s="459"/>
    </row>
    <row r="200" spans="1:11" s="460" customFormat="1" ht="20.100000000000001" customHeight="1" x14ac:dyDescent="0.3">
      <c r="A200" s="462"/>
      <c r="B200" s="808" t="s">
        <v>1389</v>
      </c>
      <c r="C200" s="808">
        <v>12798.77</v>
      </c>
      <c r="D200" s="808" t="s">
        <v>857</v>
      </c>
      <c r="E200" s="808"/>
      <c r="F200" s="670"/>
      <c r="G200" s="670"/>
      <c r="H200" s="77"/>
      <c r="I200" s="463"/>
      <c r="J200" s="463"/>
      <c r="K200" s="459"/>
    </row>
    <row r="201" spans="1:11" s="460" customFormat="1" ht="20.100000000000001" customHeight="1" x14ac:dyDescent="0.3">
      <c r="A201" s="462"/>
      <c r="B201" s="808" t="s">
        <v>1390</v>
      </c>
      <c r="C201" s="808">
        <v>100488.41</v>
      </c>
      <c r="D201" s="808" t="s">
        <v>857</v>
      </c>
      <c r="E201" s="808"/>
      <c r="F201" s="670"/>
      <c r="G201" s="670"/>
      <c r="H201" s="77"/>
      <c r="I201" s="463"/>
      <c r="J201" s="463"/>
      <c r="K201" s="459"/>
    </row>
    <row r="202" spans="1:11" s="781" customFormat="1" ht="20.100000000000001" customHeight="1" x14ac:dyDescent="0.25">
      <c r="B202" s="755" t="s">
        <v>1391</v>
      </c>
      <c r="C202" s="780">
        <v>356233.73</v>
      </c>
      <c r="D202" s="808" t="s">
        <v>857</v>
      </c>
      <c r="E202" s="780"/>
      <c r="F202" s="780"/>
      <c r="G202" s="780"/>
      <c r="H202" s="782"/>
    </row>
    <row r="205" spans="1:11" s="825" customFormat="1" ht="17.25" thickBot="1" x14ac:dyDescent="0.35">
      <c r="A205" s="903" t="s">
        <v>1437</v>
      </c>
      <c r="B205" s="903"/>
      <c r="C205" s="903"/>
      <c r="D205" s="903"/>
      <c r="E205" s="903"/>
      <c r="F205" s="903"/>
      <c r="G205" s="903"/>
      <c r="H205" s="903"/>
      <c r="I205" s="903"/>
      <c r="J205" s="903"/>
    </row>
    <row r="206" spans="1:11" s="801" customFormat="1" ht="50.25" thickBot="1" x14ac:dyDescent="0.35">
      <c r="A206" s="722" t="s">
        <v>1440</v>
      </c>
      <c r="B206" s="723" t="s">
        <v>14</v>
      </c>
      <c r="C206" s="724" t="s">
        <v>1438</v>
      </c>
      <c r="D206" s="725" t="s">
        <v>42</v>
      </c>
      <c r="E206" s="725" t="s">
        <v>43</v>
      </c>
      <c r="F206" s="723" t="s">
        <v>19</v>
      </c>
      <c r="G206" s="723" t="s">
        <v>59</v>
      </c>
      <c r="H206" s="723" t="s">
        <v>60</v>
      </c>
      <c r="I206" s="723" t="s">
        <v>61</v>
      </c>
      <c r="J206" s="724" t="s">
        <v>23</v>
      </c>
      <c r="K206" s="50"/>
    </row>
    <row r="207" spans="1:11" s="801" customFormat="1" ht="33.75" customHeight="1" thickBot="1" x14ac:dyDescent="0.35">
      <c r="A207" s="334" t="s">
        <v>964</v>
      </c>
      <c r="B207" s="449">
        <v>0</v>
      </c>
      <c r="C207" s="791">
        <v>98802.69</v>
      </c>
      <c r="D207" s="791">
        <v>123.69</v>
      </c>
      <c r="E207" s="791"/>
      <c r="F207" s="719">
        <f>C207+D207</f>
        <v>98926.38</v>
      </c>
      <c r="G207" s="450">
        <v>98926.38</v>
      </c>
      <c r="H207" s="451">
        <f>F207/G207*100</f>
        <v>100</v>
      </c>
      <c r="I207" s="811">
        <f>F207-G207</f>
        <v>0</v>
      </c>
      <c r="J207" s="451">
        <f>I207/F207*100</f>
        <v>0</v>
      </c>
    </row>
    <row r="208" spans="1:11" s="801" customFormat="1" ht="50.25" thickBot="1" x14ac:dyDescent="0.35">
      <c r="A208" s="726" t="s">
        <v>1441</v>
      </c>
      <c r="B208" s="727" t="s">
        <v>14</v>
      </c>
      <c r="C208" s="728" t="s">
        <v>1439</v>
      </c>
      <c r="D208" s="729" t="s">
        <v>42</v>
      </c>
      <c r="E208" s="729" t="s">
        <v>43</v>
      </c>
      <c r="F208" s="727" t="s">
        <v>19</v>
      </c>
      <c r="G208" s="727" t="s">
        <v>59</v>
      </c>
      <c r="H208" s="727" t="s">
        <v>60</v>
      </c>
      <c r="I208" s="727" t="s">
        <v>61</v>
      </c>
      <c r="J208" s="728" t="s">
        <v>23</v>
      </c>
      <c r="K208" s="50"/>
    </row>
    <row r="209" spans="1:11" s="801" customFormat="1" ht="30" customHeight="1" thickBot="1" x14ac:dyDescent="0.35">
      <c r="A209" s="717" t="s">
        <v>47</v>
      </c>
      <c r="B209" s="718">
        <v>528211.21000000276</v>
      </c>
      <c r="C209" s="719">
        <v>23329925.370000001</v>
      </c>
      <c r="D209" s="719">
        <f>1905.6+85108.73+33145.01-125.5-3015.63-1210.25</f>
        <v>115807.95999999999</v>
      </c>
      <c r="E209" s="719">
        <f>1815.58+5274.67</f>
        <v>7090.25</v>
      </c>
      <c r="F209" s="719">
        <f>B209+C209-D209-E209</f>
        <v>23735238.370000005</v>
      </c>
      <c r="G209" s="720">
        <f>6938953.71+9155761.33+850068.7</f>
        <v>16944783.739999998</v>
      </c>
      <c r="H209" s="721">
        <f>G209/F209*100</f>
        <v>71.390830274606571</v>
      </c>
      <c r="I209" s="718">
        <f>F209-G209</f>
        <v>6790454.6300000064</v>
      </c>
      <c r="J209" s="721">
        <f>I209*100/F209</f>
        <v>28.609169725393429</v>
      </c>
    </row>
    <row r="210" spans="1:11" s="441" customFormat="1" ht="20.100000000000001" customHeight="1" thickTop="1" thickBot="1" x14ac:dyDescent="0.35">
      <c r="A210" s="660" t="s">
        <v>849</v>
      </c>
      <c r="B210" s="661">
        <f>SUM(B209)</f>
        <v>528211.21000000276</v>
      </c>
      <c r="C210" s="662">
        <f>C207+C209</f>
        <v>23428728.060000002</v>
      </c>
      <c r="D210" s="662">
        <f t="shared" ref="D210:E210" si="60">D207+D209</f>
        <v>115931.65</v>
      </c>
      <c r="E210" s="662">
        <f t="shared" si="60"/>
        <v>7090.25</v>
      </c>
      <c r="F210" s="662">
        <f>F207+F209</f>
        <v>23834164.750000004</v>
      </c>
      <c r="G210" s="662">
        <f>G207+G209</f>
        <v>17043710.119999997</v>
      </c>
      <c r="H210" s="663">
        <f>G210/F210*100</f>
        <v>71.50957584951658</v>
      </c>
      <c r="I210" s="665">
        <f>SUM(I209)</f>
        <v>6790454.6300000064</v>
      </c>
      <c r="J210" s="666">
        <f>I210/F210*100</f>
        <v>28.490424150483417</v>
      </c>
      <c r="K210" s="440"/>
    </row>
    <row r="211" spans="1:11" s="801" customFormat="1" ht="30" customHeight="1" thickTop="1" thickBot="1" x14ac:dyDescent="0.35">
      <c r="A211" s="334" t="s">
        <v>50</v>
      </c>
      <c r="B211" s="449">
        <v>0</v>
      </c>
      <c r="C211" s="791">
        <v>1108287.03</v>
      </c>
      <c r="D211" s="443">
        <v>0</v>
      </c>
      <c r="E211" s="443"/>
      <c r="F211" s="791">
        <f>B211+C211-D211-E211</f>
        <v>1108287.03</v>
      </c>
      <c r="G211" s="450">
        <v>1108287.03</v>
      </c>
      <c r="H211" s="451">
        <f t="shared" ref="H211" si="61">G211/F211*100</f>
        <v>100</v>
      </c>
      <c r="I211" s="449">
        <f>F211-G211</f>
        <v>0</v>
      </c>
      <c r="J211" s="451">
        <f>I211*100/F211</f>
        <v>0</v>
      </c>
    </row>
    <row r="212" spans="1:11" s="441" customFormat="1" ht="20.100000000000001" customHeight="1" thickTop="1" thickBot="1" x14ac:dyDescent="0.35">
      <c r="A212" s="660" t="s">
        <v>849</v>
      </c>
      <c r="B212" s="672">
        <f>SUM(B211)</f>
        <v>0</v>
      </c>
      <c r="C212" s="672">
        <f>SUM(C211)</f>
        <v>1108287.03</v>
      </c>
      <c r="D212" s="672">
        <f>SUM(D211)</f>
        <v>0</v>
      </c>
      <c r="E212" s="672">
        <f>SUM(E211)</f>
        <v>0</v>
      </c>
      <c r="F212" s="664">
        <f t="shared" ref="F212:G212" si="62">SUM(F211)</f>
        <v>1108287.03</v>
      </c>
      <c r="G212" s="672">
        <f t="shared" si="62"/>
        <v>1108287.03</v>
      </c>
      <c r="H212" s="666">
        <f>G212/F212*100</f>
        <v>100</v>
      </c>
      <c r="I212" s="673">
        <f>SUM(I211:I211)</f>
        <v>0</v>
      </c>
      <c r="J212" s="663">
        <f>I212*100/F212</f>
        <v>0</v>
      </c>
      <c r="K212" s="440"/>
    </row>
    <row r="213" spans="1:11" s="460" customFormat="1" ht="20.100000000000001" customHeight="1" thickTop="1" thickBot="1" x14ac:dyDescent="0.35">
      <c r="A213" s="667" t="s">
        <v>36</v>
      </c>
      <c r="B213" s="668">
        <f>SUM(B212,B210)</f>
        <v>528211.21000000276</v>
      </c>
      <c r="C213" s="668">
        <f>SUM(C212,C210)</f>
        <v>24537015.090000004</v>
      </c>
      <c r="D213" s="668">
        <f t="shared" ref="D213:G213" si="63">SUM(D212,D210)</f>
        <v>115931.65</v>
      </c>
      <c r="E213" s="668">
        <f t="shared" si="63"/>
        <v>7090.25</v>
      </c>
      <c r="F213" s="668">
        <f t="shared" si="63"/>
        <v>24942451.780000005</v>
      </c>
      <c r="G213" s="668">
        <f t="shared" si="63"/>
        <v>18151997.149999999</v>
      </c>
      <c r="H213" s="669">
        <f>G213/F213*100</f>
        <v>72.775512648500325</v>
      </c>
      <c r="I213" s="668">
        <f t="shared" ref="I213" si="64">SUM(I212,I210)</f>
        <v>6790454.6300000064</v>
      </c>
      <c r="J213" s="669">
        <f>I213/F213*100</f>
        <v>27.224487351499672</v>
      </c>
      <c r="K213" s="459"/>
    </row>
    <row r="214" spans="1:11" s="460" customFormat="1" ht="20.100000000000001" customHeight="1" thickTop="1" x14ac:dyDescent="0.3">
      <c r="A214" s="462"/>
      <c r="B214" s="463"/>
      <c r="C214" s="463"/>
      <c r="D214" s="463"/>
      <c r="E214" s="463"/>
      <c r="F214" s="463"/>
      <c r="G214" s="463"/>
      <c r="H214" s="464"/>
      <c r="I214" s="463"/>
      <c r="J214" s="463"/>
      <c r="K214" s="459"/>
    </row>
    <row r="215" spans="1:11" s="460" customFormat="1" ht="20.100000000000001" customHeight="1" x14ac:dyDescent="0.3">
      <c r="A215" s="767" t="s">
        <v>37</v>
      </c>
      <c r="B215" s="463"/>
      <c r="C215" s="463"/>
      <c r="D215" s="463"/>
      <c r="E215" s="463"/>
      <c r="F215" s="463"/>
      <c r="G215" s="463"/>
      <c r="H215" s="464"/>
      <c r="I215" s="463"/>
      <c r="J215" s="463"/>
      <c r="K215" s="459"/>
    </row>
    <row r="216" spans="1:11" s="460" customFormat="1" ht="20.100000000000001" customHeight="1" x14ac:dyDescent="0.3">
      <c r="A216" s="671" t="s">
        <v>855</v>
      </c>
      <c r="B216" s="365" t="s">
        <v>856</v>
      </c>
      <c r="C216" s="808">
        <v>6790454.6300000064</v>
      </c>
      <c r="D216" s="808" t="s">
        <v>155</v>
      </c>
      <c r="E216" s="464"/>
      <c r="F216" s="463"/>
      <c r="G216" s="463"/>
      <c r="H216" s="464"/>
      <c r="I216" s="463"/>
      <c r="J216" s="463"/>
      <c r="K216" s="459"/>
    </row>
    <row r="217" spans="1:11" s="460" customFormat="1" ht="20.100000000000001" customHeight="1" x14ac:dyDescent="0.3">
      <c r="A217" s="462"/>
      <c r="B217" s="808" t="s">
        <v>1387</v>
      </c>
      <c r="C217" s="808">
        <v>36984.82</v>
      </c>
      <c r="D217" s="808" t="s">
        <v>1444</v>
      </c>
      <c r="E217" s="808"/>
      <c r="F217" s="670"/>
      <c r="G217" s="670"/>
      <c r="H217" s="77"/>
      <c r="I217" s="463"/>
      <c r="J217" s="463"/>
      <c r="K217" s="459"/>
    </row>
    <row r="218" spans="1:11" s="460" customFormat="1" ht="20.100000000000001" customHeight="1" x14ac:dyDescent="0.3">
      <c r="A218" s="462"/>
      <c r="B218" s="808" t="s">
        <v>1445</v>
      </c>
      <c r="C218" s="808">
        <v>23832.06</v>
      </c>
      <c r="D218" s="808" t="s">
        <v>857</v>
      </c>
      <c r="E218" s="808"/>
      <c r="F218" s="670"/>
      <c r="G218" s="670"/>
      <c r="H218" s="77"/>
      <c r="I218" s="463"/>
      <c r="J218" s="463"/>
      <c r="K218" s="459"/>
    </row>
    <row r="219" spans="1:11" s="781" customFormat="1" ht="20.100000000000001" customHeight="1" x14ac:dyDescent="0.25">
      <c r="B219" s="755" t="s">
        <v>1446</v>
      </c>
      <c r="C219" s="780">
        <v>32862.71</v>
      </c>
      <c r="D219" s="808" t="s">
        <v>857</v>
      </c>
      <c r="E219" s="780"/>
      <c r="F219" s="780"/>
      <c r="G219" s="780"/>
      <c r="H219" s="782"/>
    </row>
    <row r="220" spans="1:11" s="781" customFormat="1" ht="20.100000000000001" customHeight="1" x14ac:dyDescent="0.25">
      <c r="B220" s="755" t="s">
        <v>1447</v>
      </c>
      <c r="C220" s="780">
        <f>6790454.63-3936069.05</f>
        <v>2854385.58</v>
      </c>
      <c r="D220" s="780" t="s">
        <v>1443</v>
      </c>
      <c r="E220" s="780"/>
      <c r="F220" s="780"/>
      <c r="G220" s="780"/>
      <c r="H220" s="782"/>
    </row>
    <row r="221" spans="1:11" ht="20.100000000000001" customHeight="1" x14ac:dyDescent="0.25">
      <c r="B221" s="25" t="s">
        <v>1519</v>
      </c>
      <c r="C221" s="357">
        <v>3842389.46</v>
      </c>
      <c r="D221" s="357" t="s">
        <v>1442</v>
      </c>
    </row>
  </sheetData>
  <mergeCells count="12">
    <mergeCell ref="A205:J205"/>
    <mergeCell ref="A186:J186"/>
    <mergeCell ref="A1:J2"/>
    <mergeCell ref="A16:J17"/>
    <mergeCell ref="A32:J33"/>
    <mergeCell ref="A52:J53"/>
    <mergeCell ref="A72:J73"/>
    <mergeCell ref="A165:J165"/>
    <mergeCell ref="A124:J124"/>
    <mergeCell ref="A145:J145"/>
    <mergeCell ref="A87:J88"/>
    <mergeCell ref="A106:J107"/>
  </mergeCells>
  <printOptions horizontalCentered="1"/>
  <pageMargins left="0.3" right="0.3" top="0.7" bottom="0.7" header="0.3" footer="0.3"/>
  <pageSetup scale="54" fitToHeight="0" orientation="landscape" r:id="rId1"/>
  <headerFooter>
    <oddHeader>&amp;F</oddHeader>
    <oddFooter>&amp;A&amp;RPage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7"/>
  <sheetViews>
    <sheetView topLeftCell="A227" zoomScaleNormal="100" workbookViewId="0">
      <selection activeCell="J242" sqref="J242"/>
    </sheetView>
  </sheetViews>
  <sheetFormatPr defaultRowHeight="20.100000000000001" customHeight="1" x14ac:dyDescent="0.25"/>
  <cols>
    <col min="1" max="1" width="44.28515625" style="354" customWidth="1"/>
    <col min="2" max="2" width="14.42578125" style="354" customWidth="1"/>
    <col min="3" max="3" width="17.42578125" style="354" customWidth="1"/>
    <col min="4" max="4" width="16.42578125" style="354" customWidth="1"/>
    <col min="5" max="5" width="15.140625" style="354" customWidth="1"/>
    <col min="6" max="6" width="16" style="354" customWidth="1"/>
    <col min="7" max="7" width="19.42578125" style="354" customWidth="1"/>
    <col min="8" max="11" width="19.28515625" style="354" customWidth="1"/>
    <col min="12" max="12" width="9.140625" style="354"/>
    <col min="13" max="13" width="23.5703125" style="803" customWidth="1"/>
    <col min="14" max="14" width="9.42578125" style="354" bestFit="1" customWidth="1"/>
    <col min="15" max="16384" width="9.140625" style="354"/>
  </cols>
  <sheetData>
    <row r="1" spans="1:15" ht="20.100000000000001" customHeight="1" x14ac:dyDescent="0.25">
      <c r="A1" s="226"/>
      <c r="B1" s="226"/>
      <c r="C1" s="226"/>
      <c r="D1" s="226"/>
      <c r="E1" s="226"/>
      <c r="F1" s="226"/>
      <c r="G1" s="226"/>
      <c r="H1" s="226"/>
      <c r="I1" s="368"/>
      <c r="J1" s="368"/>
      <c r="K1" s="368"/>
      <c r="L1" s="226"/>
      <c r="M1" s="878"/>
      <c r="N1" s="385"/>
      <c r="O1" s="368"/>
    </row>
    <row r="2" spans="1:15" ht="20.100000000000001" customHeight="1" x14ac:dyDescent="0.25">
      <c r="A2" s="226"/>
      <c r="B2" s="366"/>
      <c r="C2" s="366" t="s">
        <v>229</v>
      </c>
      <c r="D2" s="357"/>
      <c r="E2" s="357"/>
      <c r="F2" s="357"/>
      <c r="G2" s="357"/>
      <c r="H2" s="355"/>
      <c r="I2" s="403"/>
      <c r="J2" s="388"/>
      <c r="K2" s="368"/>
      <c r="L2" s="357"/>
      <c r="M2" s="878"/>
      <c r="N2" s="389"/>
      <c r="O2" s="368"/>
    </row>
    <row r="3" spans="1:15" ht="48.75" customHeight="1" thickBot="1" x14ac:dyDescent="0.3">
      <c r="A3" s="390" t="s">
        <v>230</v>
      </c>
      <c r="B3" s="391" t="s">
        <v>14</v>
      </c>
      <c r="C3" s="390" t="s">
        <v>15</v>
      </c>
      <c r="D3" s="392" t="s">
        <v>16</v>
      </c>
      <c r="E3" s="392" t="s">
        <v>17</v>
      </c>
      <c r="F3" s="392" t="s">
        <v>18</v>
      </c>
      <c r="G3" s="391" t="s">
        <v>19</v>
      </c>
      <c r="H3" s="393" t="s">
        <v>20</v>
      </c>
      <c r="I3" s="394" t="s">
        <v>21</v>
      </c>
      <c r="J3" s="394" t="s">
        <v>22</v>
      </c>
      <c r="K3" s="395" t="s">
        <v>23</v>
      </c>
      <c r="L3" s="357"/>
      <c r="M3" s="878"/>
      <c r="N3" s="389"/>
      <c r="O3" s="368"/>
    </row>
    <row r="4" spans="1:15" ht="20.100000000000001" customHeight="1" x14ac:dyDescent="0.25">
      <c r="A4" s="378" t="s">
        <v>216</v>
      </c>
      <c r="B4" s="377">
        <v>40291</v>
      </c>
      <c r="C4" s="399" t="s">
        <v>235</v>
      </c>
      <c r="D4" s="372">
        <v>1327011.96</v>
      </c>
      <c r="E4" s="373"/>
      <c r="F4" s="373">
        <v>49101.45</v>
      </c>
      <c r="G4" s="372">
        <f>B4+D4-E4-F4</f>
        <v>1318201.51</v>
      </c>
      <c r="H4" s="374">
        <v>1318201.51</v>
      </c>
      <c r="I4" s="383">
        <f>H4/G4*100</f>
        <v>100</v>
      </c>
      <c r="J4" s="402">
        <f>G4-H4</f>
        <v>0</v>
      </c>
      <c r="K4" s="402">
        <f>J4/G4*100</f>
        <v>0</v>
      </c>
      <c r="L4" s="357"/>
      <c r="M4" s="878"/>
      <c r="N4" s="389"/>
      <c r="O4" s="368"/>
    </row>
    <row r="5" spans="1:15" ht="20.100000000000001" customHeight="1" x14ac:dyDescent="0.25">
      <c r="A5" s="378" t="s">
        <v>217</v>
      </c>
      <c r="B5" s="377"/>
      <c r="C5" s="399" t="s">
        <v>234</v>
      </c>
      <c r="D5" s="372">
        <v>20939.900000000001</v>
      </c>
      <c r="E5" s="373"/>
      <c r="F5" s="373">
        <v>1745.13</v>
      </c>
      <c r="G5" s="372">
        <f t="shared" ref="G5:G14" si="0">B5+D5-E5-F5</f>
        <v>19194.77</v>
      </c>
      <c r="H5" s="374">
        <v>19194.77</v>
      </c>
      <c r="I5" s="383">
        <f t="shared" ref="I5:I14" si="1">H5/G5*100</f>
        <v>100</v>
      </c>
      <c r="J5" s="402">
        <f>G5-H5</f>
        <v>0</v>
      </c>
      <c r="K5" s="402">
        <f t="shared" ref="K5:K14" si="2">J5/G5*100</f>
        <v>0</v>
      </c>
      <c r="L5" s="357"/>
      <c r="M5" s="878"/>
      <c r="N5" s="389"/>
      <c r="O5" s="368"/>
    </row>
    <row r="6" spans="1:15" ht="20.100000000000001" customHeight="1" x14ac:dyDescent="0.25">
      <c r="A6" s="378" t="s">
        <v>218</v>
      </c>
      <c r="B6" s="377"/>
      <c r="C6" s="399" t="s">
        <v>234</v>
      </c>
      <c r="D6" s="372">
        <v>96267.9</v>
      </c>
      <c r="E6" s="373"/>
      <c r="F6" s="373">
        <v>133.75</v>
      </c>
      <c r="G6" s="372">
        <f t="shared" si="0"/>
        <v>96134.15</v>
      </c>
      <c r="H6" s="374">
        <v>96134.15</v>
      </c>
      <c r="I6" s="383">
        <f t="shared" si="1"/>
        <v>100</v>
      </c>
      <c r="J6" s="402">
        <f t="shared" ref="J6:J13" si="3">G6-H6</f>
        <v>0</v>
      </c>
      <c r="K6" s="402">
        <f t="shared" si="2"/>
        <v>0</v>
      </c>
      <c r="L6" s="357"/>
      <c r="M6" s="878"/>
      <c r="N6" s="389"/>
      <c r="O6" s="368"/>
    </row>
    <row r="7" spans="1:15" ht="20.100000000000001" customHeight="1" x14ac:dyDescent="0.25">
      <c r="A7" s="380" t="s">
        <v>219</v>
      </c>
      <c r="B7" s="377">
        <v>138157.24</v>
      </c>
      <c r="C7" s="399" t="s">
        <v>238</v>
      </c>
      <c r="D7" s="372">
        <v>53706563.549999997</v>
      </c>
      <c r="E7" s="373"/>
      <c r="F7" s="373">
        <v>1455653.79</v>
      </c>
      <c r="G7" s="372">
        <f t="shared" si="0"/>
        <v>52389067</v>
      </c>
      <c r="H7" s="374">
        <v>52034150.950000003</v>
      </c>
      <c r="I7" s="383">
        <f t="shared" si="1"/>
        <v>99.322537944796778</v>
      </c>
      <c r="J7" s="402">
        <f t="shared" si="3"/>
        <v>354916.04999999702</v>
      </c>
      <c r="K7" s="402">
        <f t="shared" si="2"/>
        <v>0.67746205520322977</v>
      </c>
      <c r="L7" s="357"/>
      <c r="M7" s="878"/>
      <c r="N7" s="389"/>
      <c r="O7" s="368"/>
    </row>
    <row r="8" spans="1:15" ht="20.100000000000001" customHeight="1" x14ac:dyDescent="0.25">
      <c r="A8" s="379" t="s">
        <v>220</v>
      </c>
      <c r="B8" s="400">
        <v>43845.79</v>
      </c>
      <c r="C8" s="399" t="s">
        <v>232</v>
      </c>
      <c r="D8" s="372">
        <v>218129.12</v>
      </c>
      <c r="E8" s="373"/>
      <c r="F8" s="373">
        <v>7643.82</v>
      </c>
      <c r="G8" s="372">
        <f t="shared" si="0"/>
        <v>254331.09</v>
      </c>
      <c r="H8" s="374">
        <v>250823.36</v>
      </c>
      <c r="I8" s="383">
        <f t="shared" si="1"/>
        <v>98.620801727386137</v>
      </c>
      <c r="J8" s="402">
        <f t="shared" si="3"/>
        <v>3507.7300000000105</v>
      </c>
      <c r="K8" s="402">
        <f t="shared" si="2"/>
        <v>1.3791982726138634</v>
      </c>
      <c r="L8" s="357"/>
      <c r="M8" s="878"/>
      <c r="N8" s="389"/>
      <c r="O8" s="368"/>
    </row>
    <row r="9" spans="1:15" ht="20.100000000000001" customHeight="1" x14ac:dyDescent="0.25">
      <c r="A9" s="379" t="s">
        <v>221</v>
      </c>
      <c r="B9" s="400"/>
      <c r="C9" s="399" t="s">
        <v>236</v>
      </c>
      <c r="D9" s="372">
        <v>23557.96</v>
      </c>
      <c r="E9" s="373"/>
      <c r="F9" s="373">
        <v>1583.93</v>
      </c>
      <c r="G9" s="372">
        <f t="shared" si="0"/>
        <v>21974.03</v>
      </c>
      <c r="H9" s="374">
        <v>21974.03</v>
      </c>
      <c r="I9" s="383">
        <f t="shared" si="1"/>
        <v>100</v>
      </c>
      <c r="J9" s="402">
        <f t="shared" si="3"/>
        <v>0</v>
      </c>
      <c r="K9" s="402">
        <f t="shared" si="2"/>
        <v>0</v>
      </c>
      <c r="L9" s="357"/>
      <c r="M9" s="878"/>
      <c r="N9" s="389"/>
      <c r="O9" s="368"/>
    </row>
    <row r="10" spans="1:15" ht="20.100000000000001" customHeight="1" x14ac:dyDescent="0.25">
      <c r="A10" s="379" t="s">
        <v>222</v>
      </c>
      <c r="B10" s="400">
        <v>7036.94</v>
      </c>
      <c r="C10" s="399" t="s">
        <v>233</v>
      </c>
      <c r="D10" s="401">
        <v>204332.16</v>
      </c>
      <c r="E10" s="373"/>
      <c r="F10" s="373">
        <v>10164.629999999999</v>
      </c>
      <c r="G10" s="372">
        <f t="shared" si="0"/>
        <v>201204.47</v>
      </c>
      <c r="H10" s="374">
        <v>196733.19</v>
      </c>
      <c r="I10" s="383">
        <f t="shared" si="1"/>
        <v>97.777743208190159</v>
      </c>
      <c r="J10" s="402">
        <f t="shared" si="3"/>
        <v>4471.2799999999988</v>
      </c>
      <c r="K10" s="402">
        <f t="shared" si="2"/>
        <v>2.2222567918098433</v>
      </c>
      <c r="L10" s="357"/>
      <c r="M10" s="878"/>
      <c r="N10" s="389"/>
      <c r="O10" s="368"/>
    </row>
    <row r="11" spans="1:15" ht="20.100000000000001" customHeight="1" x14ac:dyDescent="0.25">
      <c r="A11" s="381" t="s">
        <v>223</v>
      </c>
      <c r="B11" s="400">
        <v>6648.25</v>
      </c>
      <c r="C11" s="399" t="s">
        <v>233</v>
      </c>
      <c r="D11" s="401">
        <v>33122.550000000003</v>
      </c>
      <c r="E11" s="373"/>
      <c r="F11" s="373">
        <v>1320.67</v>
      </c>
      <c r="G11" s="372">
        <f t="shared" si="0"/>
        <v>38450.130000000005</v>
      </c>
      <c r="H11" s="374">
        <v>38450.129999999997</v>
      </c>
      <c r="I11" s="383">
        <f t="shared" si="1"/>
        <v>99.999999999999972</v>
      </c>
      <c r="J11" s="402">
        <f t="shared" si="3"/>
        <v>0</v>
      </c>
      <c r="K11" s="402">
        <f t="shared" si="2"/>
        <v>0</v>
      </c>
      <c r="L11" s="357"/>
      <c r="M11" s="878"/>
      <c r="N11" s="389"/>
      <c r="O11" s="368"/>
    </row>
    <row r="12" spans="1:15" ht="20.100000000000001" customHeight="1" x14ac:dyDescent="0.25">
      <c r="A12" s="471" t="s">
        <v>224</v>
      </c>
      <c r="B12" s="400">
        <v>2477.5100000000002</v>
      </c>
      <c r="C12" s="399" t="s">
        <v>234</v>
      </c>
      <c r="D12" s="401">
        <v>710172.48</v>
      </c>
      <c r="E12" s="373"/>
      <c r="F12" s="386">
        <v>6091.08</v>
      </c>
      <c r="G12" s="372">
        <f t="shared" si="0"/>
        <v>706558.91</v>
      </c>
      <c r="H12" s="374">
        <v>706558.91</v>
      </c>
      <c r="I12" s="383">
        <f t="shared" si="1"/>
        <v>100</v>
      </c>
      <c r="J12" s="402">
        <f t="shared" si="3"/>
        <v>0</v>
      </c>
      <c r="K12" s="402">
        <f t="shared" si="2"/>
        <v>0</v>
      </c>
      <c r="L12" s="357"/>
      <c r="M12" s="878"/>
      <c r="N12" s="389"/>
      <c r="O12" s="368"/>
    </row>
    <row r="13" spans="1:15" ht="20.100000000000001" customHeight="1" x14ac:dyDescent="0.25">
      <c r="A13" s="471" t="s">
        <v>225</v>
      </c>
      <c r="B13" s="400">
        <v>52193.72</v>
      </c>
      <c r="C13" s="399" t="s">
        <v>237</v>
      </c>
      <c r="D13" s="401">
        <v>89346.6</v>
      </c>
      <c r="E13" s="373"/>
      <c r="F13" s="382">
        <v>90319.43</v>
      </c>
      <c r="G13" s="372">
        <f t="shared" si="0"/>
        <v>51220.890000000014</v>
      </c>
      <c r="H13" s="374">
        <v>51220.89</v>
      </c>
      <c r="I13" s="383">
        <f t="shared" si="1"/>
        <v>99.999999999999972</v>
      </c>
      <c r="J13" s="402">
        <f t="shared" si="3"/>
        <v>0</v>
      </c>
      <c r="K13" s="402">
        <f t="shared" si="2"/>
        <v>0</v>
      </c>
      <c r="L13" s="357"/>
      <c r="M13" s="878"/>
      <c r="N13" s="389"/>
      <c r="O13" s="368"/>
    </row>
    <row r="14" spans="1:15" ht="20.100000000000001" customHeight="1" thickBot="1" x14ac:dyDescent="0.3">
      <c r="A14" s="472" t="s">
        <v>226</v>
      </c>
      <c r="B14" s="416"/>
      <c r="C14" s="404" t="s">
        <v>231</v>
      </c>
      <c r="D14" s="473">
        <v>738362.49</v>
      </c>
      <c r="E14" s="382"/>
      <c r="F14" s="417"/>
      <c r="G14" s="197">
        <f t="shared" si="0"/>
        <v>738362.49</v>
      </c>
      <c r="H14" s="198">
        <v>738362.49</v>
      </c>
      <c r="I14" s="418">
        <f t="shared" si="1"/>
        <v>100</v>
      </c>
      <c r="J14" s="419">
        <f>G14-H14</f>
        <v>0</v>
      </c>
      <c r="K14" s="419">
        <f t="shared" si="2"/>
        <v>0</v>
      </c>
      <c r="L14" s="357"/>
      <c r="M14" s="878"/>
      <c r="N14" s="389"/>
      <c r="O14" s="368"/>
    </row>
    <row r="15" spans="1:15" s="358" customFormat="1" ht="20.100000000000001" customHeight="1" thickTop="1" thickBot="1" x14ac:dyDescent="0.3">
      <c r="A15" s="467" t="s">
        <v>36</v>
      </c>
      <c r="B15" s="468">
        <f>SUM(B4:B14)</f>
        <v>290650.45</v>
      </c>
      <c r="C15" s="469"/>
      <c r="D15" s="468">
        <f>SUM(D4:D14)</f>
        <v>57167806.669999987</v>
      </c>
      <c r="E15" s="470"/>
      <c r="F15" s="470">
        <f>SUM(F4:F14)</f>
        <v>1623757.68</v>
      </c>
      <c r="G15" s="468">
        <f>SUM(G4:G14)</f>
        <v>55834699.440000005</v>
      </c>
      <c r="H15" s="420">
        <f>SUM(H4:H14)</f>
        <v>55471804.380000003</v>
      </c>
      <c r="I15" s="465">
        <f>H15/G15*100</f>
        <v>99.350054601099856</v>
      </c>
      <c r="J15" s="466">
        <f>SUM(J4:J14)</f>
        <v>362895.05999999703</v>
      </c>
      <c r="K15" s="466">
        <f>J15/G15*100</f>
        <v>0.64994539890013059</v>
      </c>
      <c r="L15" s="370"/>
      <c r="M15" s="879"/>
      <c r="N15" s="125"/>
      <c r="O15" s="126"/>
    </row>
    <row r="16" spans="1:15" ht="20.100000000000001" customHeight="1" thickTop="1" x14ac:dyDescent="0.25">
      <c r="A16" s="360"/>
      <c r="B16" s="361"/>
      <c r="C16" s="369"/>
      <c r="D16" s="361"/>
      <c r="E16" s="362"/>
      <c r="F16" s="362"/>
      <c r="G16" s="361"/>
      <c r="H16" s="365"/>
      <c r="I16" s="396"/>
      <c r="J16" s="396"/>
      <c r="K16" s="397"/>
      <c r="L16" s="357"/>
      <c r="M16" s="878"/>
      <c r="N16" s="389"/>
      <c r="O16" s="368"/>
    </row>
    <row r="17" spans="1:15" ht="20.100000000000001" customHeight="1" x14ac:dyDescent="0.25">
      <c r="A17" s="363" t="s">
        <v>37</v>
      </c>
      <c r="B17" s="364"/>
      <c r="C17" s="398"/>
      <c r="D17" s="387"/>
      <c r="E17" s="357"/>
      <c r="F17" s="357"/>
      <c r="G17" s="387"/>
      <c r="H17" s="387"/>
      <c r="I17" s="384"/>
      <c r="J17" s="384"/>
      <c r="K17" s="368"/>
      <c r="L17" s="357"/>
      <c r="M17" s="878"/>
      <c r="N17" s="389"/>
      <c r="O17" s="368"/>
    </row>
    <row r="18" spans="1:15" ht="20.100000000000001" customHeight="1" x14ac:dyDescent="0.25">
      <c r="A18" s="367"/>
      <c r="B18" s="354" t="s">
        <v>228</v>
      </c>
      <c r="C18" s="357">
        <v>354916.05</v>
      </c>
      <c r="D18" s="357" t="s">
        <v>55</v>
      </c>
      <c r="E18" s="357" t="s">
        <v>227</v>
      </c>
      <c r="F18" s="357"/>
      <c r="G18" s="355"/>
      <c r="H18" s="387"/>
      <c r="I18" s="384"/>
      <c r="J18" s="371"/>
      <c r="K18" s="371"/>
      <c r="L18" s="357"/>
      <c r="M18" s="878"/>
      <c r="N18" s="389"/>
      <c r="O18" s="368"/>
    </row>
    <row r="19" spans="1:15" ht="20.100000000000001" customHeight="1" x14ac:dyDescent="0.25">
      <c r="A19" s="367"/>
      <c r="B19" s="358" t="s">
        <v>222</v>
      </c>
      <c r="C19" s="357">
        <v>4471.28</v>
      </c>
      <c r="D19" s="357" t="s">
        <v>55</v>
      </c>
      <c r="E19" s="357" t="s">
        <v>227</v>
      </c>
      <c r="F19" s="357"/>
      <c r="G19" s="355"/>
      <c r="H19" s="356"/>
      <c r="I19" s="384"/>
      <c r="J19" s="371"/>
      <c r="K19" s="371"/>
      <c r="L19" s="357"/>
      <c r="M19" s="878"/>
      <c r="N19" s="389"/>
      <c r="O19" s="368"/>
    </row>
    <row r="20" spans="1:15" ht="20.100000000000001" customHeight="1" x14ac:dyDescent="0.25">
      <c r="A20" s="367"/>
      <c r="B20" s="358" t="s">
        <v>220</v>
      </c>
      <c r="C20" s="357">
        <v>3507.73</v>
      </c>
      <c r="D20" s="357" t="s">
        <v>55</v>
      </c>
      <c r="E20" s="357" t="s">
        <v>227</v>
      </c>
      <c r="F20" s="357"/>
      <c r="G20" s="355"/>
      <c r="H20" s="356"/>
      <c r="I20" s="384"/>
      <c r="J20" s="371"/>
      <c r="K20" s="371"/>
      <c r="L20" s="357"/>
      <c r="M20" s="878"/>
      <c r="N20" s="389"/>
      <c r="O20" s="368"/>
    </row>
    <row r="21" spans="1:15" ht="20.100000000000001" customHeight="1" thickBot="1" x14ac:dyDescent="0.3">
      <c r="A21" s="387"/>
      <c r="B21" s="387"/>
      <c r="C21" s="189">
        <f>SUM(C18:C20)</f>
        <v>362895.06</v>
      </c>
      <c r="D21" s="370" t="s">
        <v>55</v>
      </c>
      <c r="E21" s="357"/>
      <c r="F21" s="357"/>
      <c r="G21" s="355"/>
      <c r="H21" s="356"/>
      <c r="I21" s="384"/>
      <c r="J21" s="371"/>
      <c r="K21" s="371"/>
      <c r="L21" s="357"/>
      <c r="M21" s="878"/>
      <c r="N21" s="389"/>
      <c r="O21" s="368"/>
    </row>
    <row r="22" spans="1:15" ht="20.100000000000001" customHeight="1" thickTop="1" x14ac:dyDescent="0.25">
      <c r="C22" s="359"/>
      <c r="D22" s="357"/>
      <c r="E22" s="357"/>
      <c r="F22" s="357"/>
      <c r="G22" s="357"/>
      <c r="H22" s="355"/>
      <c r="I22" s="356"/>
      <c r="J22" s="25"/>
      <c r="L22" s="357"/>
      <c r="N22" s="124"/>
    </row>
    <row r="23" spans="1:15" ht="20.100000000000001" customHeight="1" x14ac:dyDescent="0.25">
      <c r="A23" s="358"/>
      <c r="B23" s="355"/>
      <c r="C23" s="147"/>
      <c r="D23" s="357"/>
      <c r="E23" s="68"/>
      <c r="F23" s="68"/>
      <c r="G23" s="357"/>
      <c r="H23" s="57"/>
      <c r="I23" s="384"/>
      <c r="J23" s="149"/>
      <c r="K23" s="149"/>
      <c r="L23" s="357"/>
      <c r="N23" s="389"/>
      <c r="O23" s="368"/>
    </row>
    <row r="24" spans="1:15" ht="20.100000000000001" customHeight="1" x14ac:dyDescent="0.25">
      <c r="A24" s="358"/>
      <c r="B24" s="355"/>
      <c r="C24" s="147"/>
      <c r="D24" s="357"/>
      <c r="E24" s="68"/>
      <c r="F24" s="68"/>
      <c r="G24" s="357"/>
      <c r="H24" s="57"/>
      <c r="I24" s="384"/>
      <c r="J24" s="149"/>
      <c r="K24" s="149"/>
      <c r="L24" s="357"/>
      <c r="N24" s="389"/>
      <c r="O24" s="368"/>
    </row>
    <row r="25" spans="1:15" ht="20.100000000000001" customHeight="1" x14ac:dyDescent="0.25">
      <c r="A25" s="358"/>
      <c r="B25" s="355"/>
      <c r="C25" s="147"/>
      <c r="D25" s="357"/>
      <c r="E25" s="68"/>
      <c r="F25" s="68"/>
      <c r="G25" s="357"/>
      <c r="H25" s="57"/>
      <c r="I25" s="384"/>
      <c r="J25" s="149"/>
      <c r="K25" s="149"/>
      <c r="L25" s="357"/>
      <c r="N25" s="389"/>
      <c r="O25" s="368"/>
    </row>
    <row r="26" spans="1:15" ht="20.100000000000001" customHeight="1" x14ac:dyDescent="0.25">
      <c r="A26" s="358"/>
      <c r="B26" s="355"/>
      <c r="C26" s="147"/>
      <c r="D26" s="357"/>
      <c r="E26" s="68"/>
      <c r="F26" s="68"/>
      <c r="G26" s="357"/>
      <c r="H26" s="57"/>
      <c r="I26" s="384"/>
      <c r="J26" s="149"/>
      <c r="K26" s="149"/>
      <c r="L26" s="357"/>
      <c r="N26" s="389"/>
      <c r="O26" s="368"/>
    </row>
    <row r="27" spans="1:15" ht="20.100000000000001" customHeight="1" x14ac:dyDescent="0.25">
      <c r="A27" s="358"/>
      <c r="B27" s="148"/>
      <c r="C27" s="147"/>
      <c r="D27" s="357"/>
      <c r="E27" s="68"/>
      <c r="F27" s="68"/>
      <c r="G27" s="357"/>
      <c r="H27" s="57"/>
      <c r="I27" s="384"/>
      <c r="J27" s="149"/>
      <c r="K27" s="149"/>
      <c r="L27" s="357"/>
      <c r="N27" s="389"/>
      <c r="O27" s="368"/>
    </row>
    <row r="28" spans="1:15" ht="20.100000000000001" customHeight="1" x14ac:dyDescent="0.25">
      <c r="A28" s="226"/>
      <c r="B28" s="226"/>
      <c r="C28" s="226"/>
      <c r="D28" s="226"/>
      <c r="E28" s="226"/>
      <c r="F28" s="226"/>
      <c r="G28" s="226"/>
      <c r="H28" s="226"/>
      <c r="I28" s="368"/>
      <c r="J28" s="368"/>
      <c r="K28" s="368"/>
      <c r="L28" s="226"/>
      <c r="M28" s="878"/>
      <c r="N28" s="385"/>
      <c r="O28" s="368"/>
    </row>
    <row r="29" spans="1:15" ht="20.100000000000001" customHeight="1" x14ac:dyDescent="0.25">
      <c r="A29" s="226"/>
      <c r="B29" s="366"/>
      <c r="C29" s="366" t="s">
        <v>343</v>
      </c>
      <c r="D29" s="357"/>
      <c r="E29" s="357"/>
      <c r="F29" s="357"/>
      <c r="G29" s="357"/>
      <c r="H29" s="355"/>
      <c r="I29" s="403"/>
      <c r="J29" s="388"/>
      <c r="K29" s="368"/>
      <c r="L29" s="357"/>
      <c r="M29" s="878"/>
      <c r="N29" s="389"/>
      <c r="O29" s="368"/>
    </row>
    <row r="30" spans="1:15" ht="48.75" customHeight="1" thickBot="1" x14ac:dyDescent="0.3">
      <c r="A30" s="390" t="s">
        <v>382</v>
      </c>
      <c r="B30" s="391" t="s">
        <v>14</v>
      </c>
      <c r="C30" s="390" t="s">
        <v>15</v>
      </c>
      <c r="D30" s="392" t="s">
        <v>16</v>
      </c>
      <c r="E30" s="392" t="s">
        <v>17</v>
      </c>
      <c r="F30" s="392" t="s">
        <v>18</v>
      </c>
      <c r="G30" s="391" t="s">
        <v>19</v>
      </c>
      <c r="H30" s="393" t="s">
        <v>20</v>
      </c>
      <c r="I30" s="394" t="s">
        <v>21</v>
      </c>
      <c r="J30" s="394" t="s">
        <v>22</v>
      </c>
      <c r="K30" s="395" t="s">
        <v>23</v>
      </c>
      <c r="L30" s="357"/>
      <c r="M30" s="878"/>
      <c r="N30" s="389"/>
      <c r="O30" s="368"/>
    </row>
    <row r="31" spans="1:15" ht="20.100000000000001" customHeight="1" x14ac:dyDescent="0.25">
      <c r="A31" s="378" t="s">
        <v>216</v>
      </c>
      <c r="B31" s="377"/>
      <c r="C31" s="399" t="s">
        <v>348</v>
      </c>
      <c r="D31" s="372">
        <v>299147.90999999997</v>
      </c>
      <c r="E31" s="373"/>
      <c r="F31" s="373">
        <v>4153.34</v>
      </c>
      <c r="G31" s="372">
        <f>B31+D31-E31-F31</f>
        <v>294994.56999999995</v>
      </c>
      <c r="H31" s="374">
        <v>294994.57</v>
      </c>
      <c r="I31" s="383">
        <f>H31/G31*100</f>
        <v>100.00000000000003</v>
      </c>
      <c r="J31" s="402">
        <f>G31-H31</f>
        <v>0</v>
      </c>
      <c r="K31" s="402">
        <f>J31/G31*100</f>
        <v>0</v>
      </c>
      <c r="L31" s="357"/>
      <c r="M31" s="878"/>
      <c r="N31" s="389"/>
      <c r="O31" s="368"/>
    </row>
    <row r="32" spans="1:15" ht="20.100000000000001" customHeight="1" x14ac:dyDescent="0.25">
      <c r="A32" s="378" t="s">
        <v>217</v>
      </c>
      <c r="B32" s="377"/>
      <c r="C32" s="399" t="s">
        <v>347</v>
      </c>
      <c r="D32" s="372">
        <v>4408.3999999999996</v>
      </c>
      <c r="E32" s="373"/>
      <c r="F32" s="373">
        <v>321.47000000000003</v>
      </c>
      <c r="G32" s="372">
        <f t="shared" ref="G32:G41" si="4">B32+D32-E32-F32</f>
        <v>4086.9299999999994</v>
      </c>
      <c r="H32" s="374">
        <v>4086.93</v>
      </c>
      <c r="I32" s="383">
        <f t="shared" ref="I32:I41" si="5">H32/G32*100</f>
        <v>100.00000000000003</v>
      </c>
      <c r="J32" s="402">
        <f>G32-H32</f>
        <v>0</v>
      </c>
      <c r="K32" s="402">
        <f t="shared" ref="K32:K41" si="6">J32/G32*100</f>
        <v>0</v>
      </c>
      <c r="L32" s="357"/>
      <c r="M32" s="878"/>
      <c r="N32" s="389"/>
      <c r="O32" s="368"/>
    </row>
    <row r="33" spans="1:15" ht="20.100000000000001" customHeight="1" x14ac:dyDescent="0.25">
      <c r="A33" s="378" t="s">
        <v>218</v>
      </c>
      <c r="B33" s="377"/>
      <c r="C33" s="399" t="s">
        <v>347</v>
      </c>
      <c r="D33" s="372">
        <v>18345.14</v>
      </c>
      <c r="E33" s="373"/>
      <c r="F33" s="373">
        <v>5750.83</v>
      </c>
      <c r="G33" s="372">
        <f t="shared" si="4"/>
        <v>12594.31</v>
      </c>
      <c r="H33" s="374">
        <v>12594.31</v>
      </c>
      <c r="I33" s="383">
        <f t="shared" si="5"/>
        <v>100</v>
      </c>
      <c r="J33" s="402">
        <f t="shared" ref="J33:J40" si="7">G33-H33</f>
        <v>0</v>
      </c>
      <c r="K33" s="402">
        <f t="shared" si="6"/>
        <v>0</v>
      </c>
      <c r="L33" s="357"/>
      <c r="M33" s="878"/>
      <c r="N33" s="389"/>
      <c r="O33" s="368"/>
    </row>
    <row r="34" spans="1:15" ht="20.100000000000001" customHeight="1" x14ac:dyDescent="0.25">
      <c r="A34" s="380" t="s">
        <v>219</v>
      </c>
      <c r="B34" s="377">
        <v>354916.05</v>
      </c>
      <c r="C34" s="399" t="s">
        <v>350</v>
      </c>
      <c r="D34" s="372">
        <v>30167673.02</v>
      </c>
      <c r="E34" s="373"/>
      <c r="F34" s="373">
        <v>555555.42000000004</v>
      </c>
      <c r="G34" s="372">
        <f t="shared" si="4"/>
        <v>29967033.649999999</v>
      </c>
      <c r="H34" s="374">
        <v>29295256.170000002</v>
      </c>
      <c r="I34" s="383">
        <f t="shared" si="5"/>
        <v>97.758278353987166</v>
      </c>
      <c r="J34" s="402">
        <f t="shared" si="7"/>
        <v>671777.47999999672</v>
      </c>
      <c r="K34" s="402">
        <f t="shared" si="6"/>
        <v>2.2417216460128238</v>
      </c>
      <c r="L34" s="357"/>
      <c r="M34" s="878"/>
      <c r="N34" s="389"/>
      <c r="O34" s="368"/>
    </row>
    <row r="35" spans="1:15" ht="20.100000000000001" customHeight="1" x14ac:dyDescent="0.25">
      <c r="A35" s="379" t="s">
        <v>220</v>
      </c>
      <c r="B35" s="400">
        <v>3507.73</v>
      </c>
      <c r="C35" s="399" t="s">
        <v>349</v>
      </c>
      <c r="D35" s="372">
        <v>397001.16</v>
      </c>
      <c r="E35" s="373"/>
      <c r="F35" s="373">
        <v>39869.410000000003</v>
      </c>
      <c r="G35" s="372">
        <f t="shared" si="4"/>
        <v>360639.48</v>
      </c>
      <c r="H35" s="374">
        <v>357090.38</v>
      </c>
      <c r="I35" s="383">
        <f t="shared" si="5"/>
        <v>99.015887001611702</v>
      </c>
      <c r="J35" s="402">
        <f t="shared" si="7"/>
        <v>3549.0999999999767</v>
      </c>
      <c r="K35" s="402">
        <f t="shared" si="6"/>
        <v>0.98411299838830091</v>
      </c>
      <c r="L35" s="357"/>
      <c r="M35" s="878"/>
      <c r="N35" s="389"/>
      <c r="O35" s="368"/>
    </row>
    <row r="36" spans="1:15" ht="20.100000000000001" customHeight="1" x14ac:dyDescent="0.25">
      <c r="A36" s="379" t="s">
        <v>221</v>
      </c>
      <c r="B36" s="400"/>
      <c r="C36" s="399" t="s">
        <v>347</v>
      </c>
      <c r="D36" s="372">
        <v>8707.69</v>
      </c>
      <c r="E36" s="373"/>
      <c r="F36" s="373">
        <v>404.98</v>
      </c>
      <c r="G36" s="372">
        <f t="shared" si="4"/>
        <v>8302.7100000000009</v>
      </c>
      <c r="H36" s="374">
        <v>8302.7099999999991</v>
      </c>
      <c r="I36" s="383">
        <f t="shared" si="5"/>
        <v>99.999999999999972</v>
      </c>
      <c r="J36" s="402">
        <f t="shared" si="7"/>
        <v>0</v>
      </c>
      <c r="K36" s="402">
        <f t="shared" si="6"/>
        <v>0</v>
      </c>
      <c r="L36" s="357"/>
      <c r="M36" s="878"/>
      <c r="N36" s="389"/>
      <c r="O36" s="368"/>
    </row>
    <row r="37" spans="1:15" ht="20.100000000000001" customHeight="1" x14ac:dyDescent="0.25">
      <c r="A37" s="379" t="s">
        <v>222</v>
      </c>
      <c r="B37" s="400">
        <v>4471.28</v>
      </c>
      <c r="C37" s="399" t="s">
        <v>346</v>
      </c>
      <c r="D37" s="401">
        <v>425449.9</v>
      </c>
      <c r="E37" s="373"/>
      <c r="F37" s="373">
        <v>24416.71</v>
      </c>
      <c r="G37" s="372">
        <f t="shared" si="4"/>
        <v>405504.47000000003</v>
      </c>
      <c r="H37" s="374">
        <v>405504.47</v>
      </c>
      <c r="I37" s="383">
        <f t="shared" si="5"/>
        <v>99.999999999999986</v>
      </c>
      <c r="J37" s="402">
        <f t="shared" si="7"/>
        <v>0</v>
      </c>
      <c r="K37" s="402">
        <f t="shared" si="6"/>
        <v>0</v>
      </c>
      <c r="L37" s="357"/>
      <c r="M37" s="878"/>
      <c r="N37" s="389"/>
      <c r="O37" s="368"/>
    </row>
    <row r="38" spans="1:15" ht="20.100000000000001" customHeight="1" x14ac:dyDescent="0.25">
      <c r="A38" s="381" t="s">
        <v>223</v>
      </c>
      <c r="B38" s="400"/>
      <c r="C38" s="399" t="s">
        <v>346</v>
      </c>
      <c r="D38" s="401">
        <v>68536.83</v>
      </c>
      <c r="E38" s="373"/>
      <c r="F38" s="373">
        <v>8025.32</v>
      </c>
      <c r="G38" s="372">
        <f t="shared" si="4"/>
        <v>60511.51</v>
      </c>
      <c r="H38" s="374">
        <v>60511.51</v>
      </c>
      <c r="I38" s="383">
        <f t="shared" si="5"/>
        <v>100</v>
      </c>
      <c r="J38" s="402">
        <f t="shared" si="7"/>
        <v>0</v>
      </c>
      <c r="K38" s="402">
        <f t="shared" si="6"/>
        <v>0</v>
      </c>
      <c r="L38" s="357"/>
      <c r="M38" s="878"/>
      <c r="N38" s="389"/>
      <c r="O38" s="368"/>
    </row>
    <row r="39" spans="1:15" ht="20.100000000000001" customHeight="1" x14ac:dyDescent="0.25">
      <c r="A39" s="471" t="s">
        <v>224</v>
      </c>
      <c r="B39" s="400"/>
      <c r="C39" s="399" t="s">
        <v>345</v>
      </c>
      <c r="D39" s="401">
        <v>142599.5</v>
      </c>
      <c r="E39" s="373"/>
      <c r="F39" s="386">
        <v>600.61</v>
      </c>
      <c r="G39" s="372">
        <f t="shared" si="4"/>
        <v>141998.89000000001</v>
      </c>
      <c r="H39" s="374">
        <v>141998.89000000001</v>
      </c>
      <c r="I39" s="383">
        <f t="shared" si="5"/>
        <v>100</v>
      </c>
      <c r="J39" s="402">
        <f t="shared" si="7"/>
        <v>0</v>
      </c>
      <c r="K39" s="402">
        <f t="shared" si="6"/>
        <v>0</v>
      </c>
      <c r="L39" s="357"/>
      <c r="M39" s="878"/>
      <c r="N39" s="389"/>
      <c r="O39" s="368"/>
    </row>
    <row r="40" spans="1:15" ht="20.100000000000001" customHeight="1" x14ac:dyDescent="0.25">
      <c r="A40" s="471" t="s">
        <v>225</v>
      </c>
      <c r="B40" s="400"/>
      <c r="C40" s="399" t="s">
        <v>346</v>
      </c>
      <c r="D40" s="401">
        <v>742612.2</v>
      </c>
      <c r="E40" s="373"/>
      <c r="F40" s="382">
        <v>131469.57999999999</v>
      </c>
      <c r="G40" s="372">
        <f t="shared" si="4"/>
        <v>611142.62</v>
      </c>
      <c r="H40" s="374">
        <v>611142.62</v>
      </c>
      <c r="I40" s="383">
        <f t="shared" si="5"/>
        <v>100</v>
      </c>
      <c r="J40" s="402">
        <f t="shared" si="7"/>
        <v>0</v>
      </c>
      <c r="K40" s="402">
        <f t="shared" si="6"/>
        <v>0</v>
      </c>
      <c r="L40" s="357"/>
      <c r="M40" s="878"/>
      <c r="N40" s="389"/>
      <c r="O40" s="368"/>
    </row>
    <row r="41" spans="1:15" ht="20.100000000000001" customHeight="1" thickBot="1" x14ac:dyDescent="0.3">
      <c r="A41" s="472" t="s">
        <v>226</v>
      </c>
      <c r="B41" s="416"/>
      <c r="C41" s="404" t="s">
        <v>344</v>
      </c>
      <c r="D41" s="473">
        <v>403652.28</v>
      </c>
      <c r="E41" s="382"/>
      <c r="F41" s="417">
        <v>13533.49</v>
      </c>
      <c r="G41" s="197">
        <f t="shared" si="4"/>
        <v>390118.79000000004</v>
      </c>
      <c r="H41" s="198">
        <v>390118.79</v>
      </c>
      <c r="I41" s="418">
        <f t="shared" si="5"/>
        <v>99.999999999999986</v>
      </c>
      <c r="J41" s="419">
        <f>G41-H41</f>
        <v>0</v>
      </c>
      <c r="K41" s="419">
        <f t="shared" si="6"/>
        <v>0</v>
      </c>
      <c r="L41" s="357"/>
      <c r="M41" s="878"/>
      <c r="N41" s="389"/>
      <c r="O41" s="368"/>
    </row>
    <row r="42" spans="1:15" s="358" customFormat="1" ht="20.100000000000001" customHeight="1" thickTop="1" thickBot="1" x14ac:dyDescent="0.3">
      <c r="A42" s="467" t="s">
        <v>36</v>
      </c>
      <c r="B42" s="468">
        <f>SUM(B31:B41)</f>
        <v>362895.06</v>
      </c>
      <c r="C42" s="469"/>
      <c r="D42" s="468">
        <f>SUM(D31:D41)</f>
        <v>32678134.029999997</v>
      </c>
      <c r="E42" s="470"/>
      <c r="F42" s="470">
        <f>SUM(F31:F41)</f>
        <v>784101.15999999992</v>
      </c>
      <c r="G42" s="468">
        <f>SUM(G31:G41)</f>
        <v>32256927.93</v>
      </c>
      <c r="H42" s="420">
        <f>SUM(H31:H41)</f>
        <v>31581601.350000001</v>
      </c>
      <c r="I42" s="465">
        <f>H42/G42*100</f>
        <v>97.906413836229206</v>
      </c>
      <c r="J42" s="466">
        <f>SUM(J31:J41)</f>
        <v>675326.5799999967</v>
      </c>
      <c r="K42" s="466">
        <f>J42/G42*100</f>
        <v>2.093586163770794</v>
      </c>
      <c r="L42" s="370"/>
      <c r="M42" s="879"/>
      <c r="N42" s="125"/>
      <c r="O42" s="126"/>
    </row>
    <row r="43" spans="1:15" ht="20.100000000000001" customHeight="1" thickTop="1" x14ac:dyDescent="0.25">
      <c r="A43" s="360"/>
      <c r="B43" s="361"/>
      <c r="C43" s="369"/>
      <c r="D43" s="361"/>
      <c r="E43" s="362"/>
      <c r="F43" s="362"/>
      <c r="G43" s="361"/>
      <c r="H43" s="365"/>
      <c r="I43" s="396"/>
      <c r="J43" s="396"/>
      <c r="K43" s="397"/>
      <c r="L43" s="357"/>
      <c r="M43" s="878"/>
      <c r="N43" s="389"/>
      <c r="O43" s="368"/>
    </row>
    <row r="44" spans="1:15" ht="20.100000000000001" customHeight="1" x14ac:dyDescent="0.25">
      <c r="A44" s="363" t="s">
        <v>37</v>
      </c>
      <c r="B44" s="364"/>
      <c r="C44" s="398"/>
      <c r="D44" s="387"/>
      <c r="E44" s="357"/>
      <c r="F44" s="357"/>
      <c r="G44" s="387"/>
      <c r="H44" s="387"/>
      <c r="I44" s="384"/>
      <c r="J44" s="384"/>
      <c r="K44" s="368"/>
      <c r="L44" s="357"/>
      <c r="M44" s="878"/>
      <c r="N44" s="389"/>
      <c r="O44" s="368"/>
    </row>
    <row r="45" spans="1:15" ht="20.100000000000001" customHeight="1" x14ac:dyDescent="0.25">
      <c r="A45" s="367"/>
      <c r="B45" s="354" t="s">
        <v>228</v>
      </c>
      <c r="C45" s="357">
        <v>671777.48</v>
      </c>
      <c r="D45" s="357" t="s">
        <v>55</v>
      </c>
      <c r="E45" s="357" t="s">
        <v>227</v>
      </c>
      <c r="F45" s="357"/>
      <c r="G45" s="355"/>
      <c r="H45" s="387"/>
      <c r="I45" s="384"/>
      <c r="J45" s="371"/>
      <c r="K45" s="371"/>
      <c r="L45" s="357"/>
      <c r="M45" s="878"/>
      <c r="N45" s="389"/>
      <c r="O45" s="368"/>
    </row>
    <row r="46" spans="1:15" ht="20.100000000000001" customHeight="1" x14ac:dyDescent="0.25">
      <c r="A46" s="367"/>
      <c r="B46" s="358" t="s">
        <v>220</v>
      </c>
      <c r="C46" s="357">
        <v>3549.1</v>
      </c>
      <c r="D46" s="357" t="s">
        <v>55</v>
      </c>
      <c r="E46" s="357" t="s">
        <v>227</v>
      </c>
      <c r="F46" s="357"/>
      <c r="G46" s="355"/>
      <c r="H46" s="356"/>
      <c r="I46" s="384"/>
      <c r="J46" s="371"/>
      <c r="K46" s="371"/>
      <c r="L46" s="357"/>
      <c r="M46" s="878"/>
      <c r="N46" s="389"/>
      <c r="O46" s="368"/>
    </row>
    <row r="47" spans="1:15" ht="20.100000000000001" customHeight="1" thickBot="1" x14ac:dyDescent="0.3">
      <c r="A47" s="387"/>
      <c r="B47" s="387"/>
      <c r="C47" s="189">
        <f>SUM(C45:C46)</f>
        <v>675326.58</v>
      </c>
      <c r="D47" s="370" t="s">
        <v>55</v>
      </c>
      <c r="E47" s="357"/>
      <c r="F47" s="357"/>
      <c r="G47" s="355"/>
      <c r="H47" s="356"/>
      <c r="I47" s="384"/>
      <c r="J47" s="371"/>
      <c r="K47" s="371"/>
      <c r="L47" s="357"/>
      <c r="M47" s="878"/>
      <c r="N47" s="389"/>
      <c r="O47" s="368"/>
    </row>
    <row r="48" spans="1:15" ht="20.100000000000001" customHeight="1" thickTop="1" x14ac:dyDescent="0.25">
      <c r="C48" s="359"/>
      <c r="D48" s="357"/>
      <c r="E48" s="357"/>
      <c r="F48" s="357"/>
      <c r="G48" s="357"/>
      <c r="H48" s="355"/>
      <c r="I48" s="356"/>
      <c r="J48" s="25"/>
      <c r="L48" s="357"/>
      <c r="N48" s="124"/>
    </row>
    <row r="49" spans="1:15" ht="20.100000000000001" customHeight="1" x14ac:dyDescent="0.25">
      <c r="A49" s="358"/>
      <c r="B49" s="355"/>
      <c r="C49" s="147"/>
      <c r="D49" s="357"/>
      <c r="E49" s="68"/>
      <c r="F49" s="68"/>
      <c r="G49" s="357"/>
      <c r="H49" s="57"/>
      <c r="I49" s="384"/>
      <c r="J49" s="149"/>
      <c r="K49" s="149"/>
      <c r="L49" s="357"/>
      <c r="N49" s="389"/>
      <c r="O49" s="368"/>
    </row>
    <row r="50" spans="1:15" ht="20.100000000000001" customHeight="1" x14ac:dyDescent="0.25">
      <c r="A50" s="226"/>
      <c r="B50" s="366"/>
      <c r="C50" s="366" t="s">
        <v>392</v>
      </c>
      <c r="D50" s="357"/>
      <c r="E50" s="357"/>
      <c r="F50" s="357"/>
      <c r="G50" s="357"/>
      <c r="H50" s="355"/>
      <c r="I50" s="403"/>
      <c r="J50" s="388"/>
      <c r="K50" s="368"/>
      <c r="L50" s="357"/>
      <c r="M50" s="878"/>
      <c r="N50" s="389"/>
      <c r="O50" s="368"/>
    </row>
    <row r="51" spans="1:15" ht="48.75" customHeight="1" thickBot="1" x14ac:dyDescent="0.3">
      <c r="A51" s="390" t="s">
        <v>81</v>
      </c>
      <c r="B51" s="391" t="s">
        <v>14</v>
      </c>
      <c r="C51" s="390" t="s">
        <v>15</v>
      </c>
      <c r="D51" s="392" t="s">
        <v>16</v>
      </c>
      <c r="E51" s="392" t="s">
        <v>17</v>
      </c>
      <c r="F51" s="392" t="s">
        <v>18</v>
      </c>
      <c r="G51" s="391" t="s">
        <v>19</v>
      </c>
      <c r="H51" s="393" t="s">
        <v>20</v>
      </c>
      <c r="I51" s="394" t="s">
        <v>21</v>
      </c>
      <c r="J51" s="394" t="s">
        <v>22</v>
      </c>
      <c r="K51" s="395" t="s">
        <v>23</v>
      </c>
      <c r="L51" s="357"/>
      <c r="M51" s="878"/>
      <c r="N51" s="389"/>
      <c r="O51" s="368"/>
    </row>
    <row r="52" spans="1:15" ht="20.100000000000001" customHeight="1" x14ac:dyDescent="0.25">
      <c r="A52" s="378" t="s">
        <v>216</v>
      </c>
      <c r="B52" s="377"/>
      <c r="C52" s="399" t="s">
        <v>396</v>
      </c>
      <c r="D52" s="372">
        <v>1294185.9099999999</v>
      </c>
      <c r="E52" s="373"/>
      <c r="F52" s="373">
        <v>407.1</v>
      </c>
      <c r="G52" s="372">
        <f>B52+D52-E52-F52</f>
        <v>1293778.8099999998</v>
      </c>
      <c r="H52" s="374">
        <v>1293778.55</v>
      </c>
      <c r="I52" s="383">
        <f>H52/G52*100</f>
        <v>99.999979903829171</v>
      </c>
      <c r="J52" s="402">
        <f>G52-H52</f>
        <v>0.25999999977648258</v>
      </c>
      <c r="K52" s="402">
        <f>J52/G52*100</f>
        <v>2.0096170826640965E-5</v>
      </c>
      <c r="L52" s="357"/>
      <c r="M52" s="878"/>
      <c r="N52" s="389"/>
      <c r="O52" s="368"/>
    </row>
    <row r="53" spans="1:15" ht="20.100000000000001" customHeight="1" x14ac:dyDescent="0.25">
      <c r="A53" s="378" t="s">
        <v>217</v>
      </c>
      <c r="B53" s="377"/>
      <c r="C53" s="399" t="s">
        <v>394</v>
      </c>
      <c r="D53" s="372">
        <v>33063</v>
      </c>
      <c r="E53" s="373"/>
      <c r="F53" s="373">
        <v>137.77000000000001</v>
      </c>
      <c r="G53" s="372">
        <f t="shared" ref="G53:G62" si="8">B53+D53-E53-F53</f>
        <v>32925.230000000003</v>
      </c>
      <c r="H53" s="374">
        <v>32925.230000000003</v>
      </c>
      <c r="I53" s="383">
        <f t="shared" ref="I53:I56" si="9">H53/G53*100</f>
        <v>100</v>
      </c>
      <c r="J53" s="402">
        <f>G53-H53</f>
        <v>0</v>
      </c>
      <c r="K53" s="402">
        <f t="shared" ref="K53:K62" si="10">J53/G53*100</f>
        <v>0</v>
      </c>
      <c r="L53" s="357"/>
      <c r="M53" s="878"/>
      <c r="N53" s="389"/>
      <c r="O53" s="368"/>
    </row>
    <row r="54" spans="1:15" ht="20.100000000000001" customHeight="1" x14ac:dyDescent="0.25">
      <c r="A54" s="378" t="s">
        <v>218</v>
      </c>
      <c r="B54" s="377"/>
      <c r="C54" s="399" t="s">
        <v>394</v>
      </c>
      <c r="D54" s="372">
        <v>71524.149999999994</v>
      </c>
      <c r="E54" s="373"/>
      <c r="F54" s="373">
        <v>6686.64</v>
      </c>
      <c r="G54" s="372">
        <f t="shared" si="8"/>
        <v>64837.509999999995</v>
      </c>
      <c r="H54" s="374">
        <v>64837.51</v>
      </c>
      <c r="I54" s="383">
        <f t="shared" si="9"/>
        <v>100.00000000000003</v>
      </c>
      <c r="J54" s="402">
        <f t="shared" ref="J54:J61" si="11">G54-H54</f>
        <v>0</v>
      </c>
      <c r="K54" s="402">
        <f t="shared" si="10"/>
        <v>0</v>
      </c>
      <c r="L54" s="357"/>
      <c r="M54" s="878"/>
      <c r="N54" s="389"/>
      <c r="O54" s="368"/>
    </row>
    <row r="55" spans="1:15" ht="20.100000000000001" customHeight="1" x14ac:dyDescent="0.25">
      <c r="A55" s="380" t="s">
        <v>219</v>
      </c>
      <c r="B55" s="377">
        <v>671777.48</v>
      </c>
      <c r="C55" s="399" t="s">
        <v>397</v>
      </c>
      <c r="D55" s="372">
        <v>27277966.949999999</v>
      </c>
      <c r="E55" s="373"/>
      <c r="F55" s="373">
        <v>1021110.47</v>
      </c>
      <c r="G55" s="372">
        <f t="shared" si="8"/>
        <v>26928633.960000001</v>
      </c>
      <c r="H55" s="374">
        <v>26464980.52</v>
      </c>
      <c r="I55" s="383">
        <f t="shared" si="9"/>
        <v>98.278214035332368</v>
      </c>
      <c r="J55" s="402">
        <f t="shared" si="11"/>
        <v>463653.44000000134</v>
      </c>
      <c r="K55" s="402">
        <f t="shared" si="10"/>
        <v>1.7217859646676312</v>
      </c>
      <c r="L55" s="357"/>
      <c r="M55" s="878"/>
      <c r="N55" s="389"/>
      <c r="O55" s="368"/>
    </row>
    <row r="56" spans="1:15" ht="20.100000000000001" customHeight="1" x14ac:dyDescent="0.25">
      <c r="A56" s="379" t="s">
        <v>220</v>
      </c>
      <c r="B56" s="400">
        <v>3549.1</v>
      </c>
      <c r="C56" s="399" t="s">
        <v>384</v>
      </c>
      <c r="D56" s="372">
        <v>562640.04</v>
      </c>
      <c r="E56" s="373"/>
      <c r="F56" s="373">
        <v>4229.78</v>
      </c>
      <c r="G56" s="372">
        <f t="shared" si="8"/>
        <v>561959.36</v>
      </c>
      <c r="H56" s="374">
        <v>561959.36</v>
      </c>
      <c r="I56" s="383">
        <f t="shared" si="9"/>
        <v>100</v>
      </c>
      <c r="J56" s="402">
        <f t="shared" si="11"/>
        <v>0</v>
      </c>
      <c r="K56" s="402">
        <f t="shared" si="10"/>
        <v>0</v>
      </c>
      <c r="L56" s="357"/>
      <c r="M56" s="878"/>
      <c r="N56" s="389"/>
      <c r="O56" s="368"/>
    </row>
    <row r="57" spans="1:15" ht="20.100000000000001" customHeight="1" x14ac:dyDescent="0.25">
      <c r="A57" s="379" t="s">
        <v>221</v>
      </c>
      <c r="B57" s="400"/>
      <c r="C57" s="399" t="s">
        <v>394</v>
      </c>
      <c r="D57" s="372">
        <v>60841.29</v>
      </c>
      <c r="E57" s="373"/>
      <c r="F57" s="373">
        <v>718.16</v>
      </c>
      <c r="G57" s="372">
        <f t="shared" si="8"/>
        <v>60123.13</v>
      </c>
      <c r="H57" s="374">
        <v>59628.12</v>
      </c>
      <c r="I57" s="383">
        <f t="shared" ref="I57:I62" si="12">H57/G57*100</f>
        <v>99.176672937686376</v>
      </c>
      <c r="J57" s="402">
        <f t="shared" si="11"/>
        <v>495.00999999999476</v>
      </c>
      <c r="K57" s="402">
        <f t="shared" si="10"/>
        <v>0.82332706231361341</v>
      </c>
      <c r="L57" s="357"/>
      <c r="M57" s="878"/>
      <c r="N57" s="389"/>
      <c r="O57" s="368"/>
    </row>
    <row r="58" spans="1:15" ht="20.100000000000001" customHeight="1" x14ac:dyDescent="0.25">
      <c r="A58" s="379" t="s">
        <v>222</v>
      </c>
      <c r="B58" s="400"/>
      <c r="C58" s="399" t="s">
        <v>393</v>
      </c>
      <c r="D58" s="401">
        <v>375216.57</v>
      </c>
      <c r="E58" s="373"/>
      <c r="F58" s="373">
        <v>31716.78</v>
      </c>
      <c r="G58" s="372">
        <f t="shared" si="8"/>
        <v>343499.79000000004</v>
      </c>
      <c r="H58" s="374">
        <v>343499.77</v>
      </c>
      <c r="I58" s="383">
        <f t="shared" si="12"/>
        <v>99.999994177580135</v>
      </c>
      <c r="J58" s="402">
        <f t="shared" si="11"/>
        <v>2.0000000018626451E-2</v>
      </c>
      <c r="K58" s="402">
        <f t="shared" si="10"/>
        <v>5.8224198677461925E-6</v>
      </c>
      <c r="L58" s="357"/>
      <c r="M58" s="878"/>
      <c r="N58" s="389"/>
      <c r="O58" s="368"/>
    </row>
    <row r="59" spans="1:15" ht="20.100000000000001" customHeight="1" x14ac:dyDescent="0.25">
      <c r="A59" s="381" t="s">
        <v>223</v>
      </c>
      <c r="B59" s="400"/>
      <c r="C59" s="399" t="s">
        <v>393</v>
      </c>
      <c r="D59" s="401">
        <v>126118.98</v>
      </c>
      <c r="E59" s="373"/>
      <c r="F59" s="373">
        <v>5333.44</v>
      </c>
      <c r="G59" s="372">
        <f t="shared" si="8"/>
        <v>120785.54</v>
      </c>
      <c r="H59" s="374">
        <v>120785.54</v>
      </c>
      <c r="I59" s="383">
        <f t="shared" si="12"/>
        <v>100</v>
      </c>
      <c r="J59" s="402">
        <f t="shared" si="11"/>
        <v>0</v>
      </c>
      <c r="K59" s="402">
        <f t="shared" si="10"/>
        <v>0</v>
      </c>
      <c r="L59" s="357"/>
      <c r="M59" s="878"/>
      <c r="N59" s="389"/>
      <c r="O59" s="368"/>
    </row>
    <row r="60" spans="1:15" ht="20.100000000000001" customHeight="1" x14ac:dyDescent="0.25">
      <c r="A60" s="471" t="s">
        <v>224</v>
      </c>
      <c r="B60" s="400"/>
      <c r="C60" s="399" t="s">
        <v>395</v>
      </c>
      <c r="D60" s="401">
        <v>366407.03</v>
      </c>
      <c r="E60" s="373"/>
      <c r="F60" s="386">
        <v>3707.3</v>
      </c>
      <c r="G60" s="372">
        <f t="shared" si="8"/>
        <v>362699.73000000004</v>
      </c>
      <c r="H60" s="374">
        <v>362699.73</v>
      </c>
      <c r="I60" s="383">
        <f t="shared" si="12"/>
        <v>99.999999999999986</v>
      </c>
      <c r="J60" s="402">
        <f t="shared" si="11"/>
        <v>0</v>
      </c>
      <c r="K60" s="402">
        <f t="shared" si="10"/>
        <v>0</v>
      </c>
      <c r="L60" s="357"/>
      <c r="M60" s="878"/>
      <c r="N60" s="389"/>
      <c r="O60" s="368"/>
    </row>
    <row r="61" spans="1:15" ht="20.100000000000001" customHeight="1" x14ac:dyDescent="0.25">
      <c r="A61" s="471" t="s">
        <v>225</v>
      </c>
      <c r="B61" s="400"/>
      <c r="C61" s="399" t="s">
        <v>393</v>
      </c>
      <c r="D61" s="401">
        <v>519410.55</v>
      </c>
      <c r="E61" s="373"/>
      <c r="F61" s="382">
        <v>115501.34</v>
      </c>
      <c r="G61" s="372">
        <f t="shared" si="8"/>
        <v>403909.20999999996</v>
      </c>
      <c r="H61" s="374">
        <v>403909.21</v>
      </c>
      <c r="I61" s="383">
        <f t="shared" si="12"/>
        <v>100.00000000000003</v>
      </c>
      <c r="J61" s="402">
        <f t="shared" si="11"/>
        <v>0</v>
      </c>
      <c r="K61" s="402">
        <f t="shared" si="10"/>
        <v>0</v>
      </c>
      <c r="L61" s="357"/>
      <c r="M61" s="878"/>
      <c r="N61" s="389"/>
      <c r="O61" s="368"/>
    </row>
    <row r="62" spans="1:15" ht="20.100000000000001" customHeight="1" thickBot="1" x14ac:dyDescent="0.3">
      <c r="A62" s="472" t="s">
        <v>226</v>
      </c>
      <c r="B62" s="416"/>
      <c r="C62" s="404" t="s">
        <v>383</v>
      </c>
      <c r="D62" s="473">
        <v>633934.18999999994</v>
      </c>
      <c r="E62" s="382"/>
      <c r="F62" s="417">
        <v>48672.21</v>
      </c>
      <c r="G62" s="197">
        <f t="shared" si="8"/>
        <v>585261.98</v>
      </c>
      <c r="H62" s="198">
        <v>585261.98</v>
      </c>
      <c r="I62" s="418">
        <f t="shared" si="12"/>
        <v>100</v>
      </c>
      <c r="J62" s="419">
        <f>G62-H62</f>
        <v>0</v>
      </c>
      <c r="K62" s="419">
        <f t="shared" si="10"/>
        <v>0</v>
      </c>
      <c r="L62" s="357"/>
      <c r="M62" s="878"/>
      <c r="N62" s="389"/>
      <c r="O62" s="368"/>
    </row>
    <row r="63" spans="1:15" s="358" customFormat="1" ht="20.100000000000001" customHeight="1" thickTop="1" thickBot="1" x14ac:dyDescent="0.3">
      <c r="A63" s="467" t="s">
        <v>36</v>
      </c>
      <c r="B63" s="468">
        <f>SUM(B52:B62)</f>
        <v>675326.58</v>
      </c>
      <c r="C63" s="469"/>
      <c r="D63" s="468">
        <f>SUM(D52:D62)</f>
        <v>31321308.66</v>
      </c>
      <c r="E63" s="470"/>
      <c r="F63" s="470">
        <f>SUM(F52:F62)</f>
        <v>1238220.99</v>
      </c>
      <c r="G63" s="468">
        <f>SUM(G52:G62)</f>
        <v>30758414.25</v>
      </c>
      <c r="H63" s="420">
        <f>SUM(H52:H62)</f>
        <v>30294265.52</v>
      </c>
      <c r="I63" s="465">
        <f>H63/G63*100</f>
        <v>98.490986153488066</v>
      </c>
      <c r="J63" s="466">
        <f>SUM(J52:J62)</f>
        <v>464148.73000000115</v>
      </c>
      <c r="K63" s="466">
        <f>J63/G63*100</f>
        <v>1.5090138465119383</v>
      </c>
      <c r="L63" s="370"/>
      <c r="M63" s="879"/>
      <c r="N63" s="125"/>
      <c r="O63" s="126"/>
    </row>
    <row r="64" spans="1:15" ht="20.100000000000001" customHeight="1" thickTop="1" x14ac:dyDescent="0.25">
      <c r="A64" s="360"/>
      <c r="B64" s="361"/>
      <c r="C64" s="369"/>
      <c r="D64" s="361"/>
      <c r="E64" s="362"/>
      <c r="F64" s="362"/>
      <c r="G64" s="361"/>
      <c r="H64" s="365"/>
      <c r="I64" s="396"/>
      <c r="J64" s="396"/>
      <c r="K64" s="397"/>
      <c r="L64" s="357"/>
      <c r="M64" s="878"/>
      <c r="N64" s="389"/>
      <c r="O64" s="368"/>
    </row>
    <row r="65" spans="1:15" ht="20.100000000000001" customHeight="1" x14ac:dyDescent="0.25">
      <c r="A65" s="363" t="s">
        <v>37</v>
      </c>
      <c r="B65" s="364"/>
      <c r="C65" s="398"/>
      <c r="D65" s="387"/>
      <c r="E65" s="357"/>
      <c r="F65" s="357"/>
      <c r="G65" s="387"/>
      <c r="H65" s="387"/>
      <c r="I65" s="384"/>
      <c r="J65" s="384"/>
      <c r="K65" s="368"/>
      <c r="L65" s="357"/>
      <c r="M65" s="878"/>
      <c r="N65" s="389"/>
      <c r="O65" s="368"/>
    </row>
    <row r="66" spans="1:15" ht="20.100000000000001" customHeight="1" x14ac:dyDescent="0.25">
      <c r="A66" s="367"/>
      <c r="B66" s="354" t="s">
        <v>228</v>
      </c>
      <c r="C66" s="357">
        <v>464148.73</v>
      </c>
      <c r="D66" s="357" t="s">
        <v>55</v>
      </c>
      <c r="E66" s="357" t="s">
        <v>465</v>
      </c>
      <c r="F66" s="357"/>
      <c r="G66" s="355"/>
      <c r="H66" s="387"/>
      <c r="I66" s="384"/>
      <c r="J66" s="371"/>
      <c r="K66" s="371"/>
      <c r="L66" s="357"/>
      <c r="M66" s="878"/>
      <c r="N66" s="389"/>
      <c r="O66" s="368"/>
    </row>
    <row r="67" spans="1:15" ht="20.100000000000001" customHeight="1" x14ac:dyDescent="0.25">
      <c r="A67" s="367"/>
      <c r="B67" s="354" t="s">
        <v>464</v>
      </c>
      <c r="C67" s="357">
        <v>495.01</v>
      </c>
      <c r="D67" s="357"/>
      <c r="E67" s="357" t="s">
        <v>465</v>
      </c>
      <c r="F67" s="357"/>
      <c r="G67" s="355"/>
      <c r="H67" s="387"/>
      <c r="I67" s="384"/>
      <c r="J67" s="371"/>
      <c r="K67" s="371"/>
      <c r="L67" s="357"/>
      <c r="M67" s="878"/>
      <c r="N67" s="389"/>
      <c r="O67" s="368"/>
    </row>
    <row r="68" spans="1:15" ht="20.100000000000001" customHeight="1" thickBot="1" x14ac:dyDescent="0.3">
      <c r="A68" s="387"/>
      <c r="B68" s="387"/>
      <c r="C68" s="189">
        <f>SUM(C66:C66)</f>
        <v>464148.73</v>
      </c>
      <c r="D68" s="370" t="s">
        <v>55</v>
      </c>
      <c r="E68" s="357"/>
      <c r="F68" s="357"/>
      <c r="G68" s="355"/>
      <c r="H68" s="356"/>
      <c r="I68" s="384"/>
      <c r="J68" s="371"/>
      <c r="K68" s="371"/>
      <c r="L68" s="357"/>
      <c r="M68" s="878"/>
      <c r="N68" s="389"/>
      <c r="O68" s="368"/>
    </row>
    <row r="69" spans="1:15" ht="20.100000000000001" customHeight="1" thickTop="1" x14ac:dyDescent="0.25">
      <c r="C69" s="359"/>
      <c r="D69" s="357"/>
      <c r="E69" s="357"/>
      <c r="F69" s="357"/>
      <c r="G69" s="357"/>
      <c r="H69" s="355"/>
      <c r="I69" s="356"/>
      <c r="J69" s="25"/>
      <c r="L69" s="357"/>
      <c r="N69" s="124"/>
    </row>
    <row r="70" spans="1:15" ht="20.100000000000001" customHeight="1" x14ac:dyDescent="0.25">
      <c r="A70" s="367"/>
      <c r="C70" s="357"/>
      <c r="D70" s="357"/>
      <c r="E70" s="357"/>
      <c r="F70" s="357"/>
      <c r="G70" s="355"/>
      <c r="I70" s="384"/>
      <c r="J70" s="371"/>
      <c r="K70" s="371"/>
      <c r="L70" s="357"/>
      <c r="N70" s="389"/>
      <c r="O70" s="368"/>
    </row>
    <row r="71" spans="1:15" ht="20.100000000000001" customHeight="1" x14ac:dyDescent="0.25">
      <c r="A71" s="358"/>
      <c r="B71" s="355"/>
      <c r="C71" s="147"/>
      <c r="D71" s="357"/>
      <c r="E71" s="68"/>
      <c r="F71" s="68"/>
      <c r="G71" s="357"/>
      <c r="H71" s="57"/>
      <c r="I71" s="384"/>
      <c r="J71" s="149"/>
      <c r="K71" s="149"/>
      <c r="L71" s="357"/>
      <c r="N71" s="389"/>
      <c r="O71" s="368"/>
    </row>
    <row r="72" spans="1:15" ht="20.100000000000001" customHeight="1" x14ac:dyDescent="0.25">
      <c r="A72" s="226"/>
      <c r="B72" s="366"/>
      <c r="C72" s="366" t="s">
        <v>501</v>
      </c>
      <c r="D72" s="357"/>
      <c r="E72" s="357"/>
      <c r="F72" s="357"/>
      <c r="G72" s="357"/>
      <c r="H72" s="355"/>
      <c r="I72" s="403"/>
      <c r="J72" s="388"/>
      <c r="K72" s="368"/>
      <c r="L72" s="357"/>
      <c r="M72" s="878"/>
      <c r="N72" s="389"/>
      <c r="O72" s="368"/>
    </row>
    <row r="73" spans="1:15" ht="48.75" customHeight="1" thickBot="1" x14ac:dyDescent="0.3">
      <c r="A73" s="390" t="s">
        <v>263</v>
      </c>
      <c r="B73" s="391" t="s">
        <v>14</v>
      </c>
      <c r="C73" s="390" t="s">
        <v>15</v>
      </c>
      <c r="D73" s="392" t="s">
        <v>16</v>
      </c>
      <c r="E73" s="392" t="s">
        <v>17</v>
      </c>
      <c r="F73" s="392" t="s">
        <v>18</v>
      </c>
      <c r="G73" s="391" t="s">
        <v>19</v>
      </c>
      <c r="H73" s="393" t="s">
        <v>20</v>
      </c>
      <c r="I73" s="394" t="s">
        <v>21</v>
      </c>
      <c r="J73" s="394" t="s">
        <v>22</v>
      </c>
      <c r="K73" s="395" t="s">
        <v>23</v>
      </c>
      <c r="L73" s="357"/>
      <c r="M73" s="878"/>
      <c r="N73" s="389"/>
      <c r="O73" s="368"/>
    </row>
    <row r="74" spans="1:15" ht="20.100000000000001" customHeight="1" x14ac:dyDescent="0.25">
      <c r="A74" s="378" t="s">
        <v>216</v>
      </c>
      <c r="B74" s="377"/>
      <c r="C74" s="399" t="s">
        <v>503</v>
      </c>
      <c r="D74" s="372">
        <v>89573.93</v>
      </c>
      <c r="E74" s="373"/>
      <c r="F74" s="373">
        <v>814.19</v>
      </c>
      <c r="G74" s="372">
        <f>B74+D74-E74-F74</f>
        <v>88759.739999999991</v>
      </c>
      <c r="H74" s="374">
        <v>88759.74</v>
      </c>
      <c r="I74" s="383">
        <f>H74/G74*100</f>
        <v>100.00000000000003</v>
      </c>
      <c r="J74" s="402">
        <f>G74-H74</f>
        <v>0</v>
      </c>
      <c r="K74" s="402">
        <f>J74/G74*100</f>
        <v>0</v>
      </c>
      <c r="L74" s="357"/>
      <c r="M74" s="878"/>
      <c r="N74" s="389"/>
      <c r="O74" s="368"/>
    </row>
    <row r="75" spans="1:15" ht="20.100000000000001" customHeight="1" x14ac:dyDescent="0.25">
      <c r="A75" s="378" t="s">
        <v>217</v>
      </c>
      <c r="B75" s="377"/>
      <c r="C75" s="399" t="s">
        <v>504</v>
      </c>
      <c r="D75" s="372">
        <v>6612.6</v>
      </c>
      <c r="E75" s="373"/>
      <c r="F75" s="373"/>
      <c r="G75" s="372">
        <f t="shared" ref="G75:G84" si="13">B75+D75-E75-F75</f>
        <v>6612.6</v>
      </c>
      <c r="H75" s="374">
        <v>6612.6</v>
      </c>
      <c r="I75" s="383">
        <f t="shared" ref="I75:I84" si="14">H75/G75*100</f>
        <v>100</v>
      </c>
      <c r="J75" s="402">
        <f>G75-H75</f>
        <v>0</v>
      </c>
      <c r="K75" s="402">
        <f t="shared" ref="K75:K84" si="15">J75/G75*100</f>
        <v>0</v>
      </c>
      <c r="L75" s="357"/>
      <c r="M75" s="878"/>
      <c r="N75" s="389"/>
      <c r="O75" s="368"/>
    </row>
    <row r="76" spans="1:15" ht="20.100000000000001" customHeight="1" x14ac:dyDescent="0.25">
      <c r="A76" s="378" t="s">
        <v>218</v>
      </c>
      <c r="B76" s="377"/>
      <c r="C76" s="399" t="s">
        <v>503</v>
      </c>
      <c r="D76" s="372">
        <v>15365.13</v>
      </c>
      <c r="E76" s="373"/>
      <c r="F76" s="373">
        <v>1901.05</v>
      </c>
      <c r="G76" s="372">
        <f t="shared" si="13"/>
        <v>13464.08</v>
      </c>
      <c r="H76" s="374">
        <v>13464.08</v>
      </c>
      <c r="I76" s="383">
        <f t="shared" si="14"/>
        <v>100</v>
      </c>
      <c r="J76" s="402">
        <f t="shared" ref="J76:J83" si="16">G76-H76</f>
        <v>0</v>
      </c>
      <c r="K76" s="402">
        <f t="shared" si="15"/>
        <v>0</v>
      </c>
      <c r="L76" s="357"/>
      <c r="M76" s="878"/>
      <c r="N76" s="389"/>
      <c r="O76" s="368"/>
    </row>
    <row r="77" spans="1:15" ht="20.100000000000001" customHeight="1" x14ac:dyDescent="0.25">
      <c r="A77" s="380" t="s">
        <v>219</v>
      </c>
      <c r="B77" s="377">
        <v>464148.73</v>
      </c>
      <c r="C77" s="399" t="s">
        <v>507</v>
      </c>
      <c r="D77" s="372">
        <v>18893176.530000001</v>
      </c>
      <c r="E77" s="373"/>
      <c r="F77" s="373">
        <v>393630.5</v>
      </c>
      <c r="G77" s="372">
        <f t="shared" si="13"/>
        <v>18963694.760000002</v>
      </c>
      <c r="H77" s="374">
        <v>18963694.760000002</v>
      </c>
      <c r="I77" s="383">
        <f t="shared" si="14"/>
        <v>100</v>
      </c>
      <c r="J77" s="402">
        <f t="shared" si="16"/>
        <v>0</v>
      </c>
      <c r="K77" s="402">
        <f t="shared" si="15"/>
        <v>0</v>
      </c>
      <c r="L77" s="357"/>
      <c r="M77" s="878"/>
      <c r="N77" s="389"/>
      <c r="O77" s="368"/>
    </row>
    <row r="78" spans="1:15" ht="20.100000000000001" customHeight="1" x14ac:dyDescent="0.25">
      <c r="A78" s="379" t="s">
        <v>220</v>
      </c>
      <c r="B78" s="400"/>
      <c r="C78" s="399" t="s">
        <v>503</v>
      </c>
      <c r="D78" s="372">
        <v>160234.79</v>
      </c>
      <c r="E78" s="373"/>
      <c r="F78" s="373">
        <v>549.4</v>
      </c>
      <c r="G78" s="372">
        <f t="shared" si="13"/>
        <v>159685.39000000001</v>
      </c>
      <c r="H78" s="374">
        <v>159685.39000000001</v>
      </c>
      <c r="I78" s="383">
        <f t="shared" si="14"/>
        <v>100</v>
      </c>
      <c r="J78" s="402">
        <f t="shared" si="16"/>
        <v>0</v>
      </c>
      <c r="K78" s="402">
        <f t="shared" si="15"/>
        <v>0</v>
      </c>
      <c r="L78" s="357"/>
      <c r="M78" s="878"/>
      <c r="N78" s="389"/>
      <c r="O78" s="368"/>
    </row>
    <row r="79" spans="1:15" ht="20.100000000000001" customHeight="1" x14ac:dyDescent="0.25">
      <c r="A79" s="379" t="s">
        <v>221</v>
      </c>
      <c r="B79" s="400">
        <v>495.01</v>
      </c>
      <c r="C79" s="399" t="s">
        <v>503</v>
      </c>
      <c r="D79" s="372">
        <v>9787.82</v>
      </c>
      <c r="E79" s="373"/>
      <c r="F79" s="373">
        <v>2429.86</v>
      </c>
      <c r="G79" s="372">
        <f t="shared" si="13"/>
        <v>7852.9699999999993</v>
      </c>
      <c r="H79" s="374">
        <v>7852.97</v>
      </c>
      <c r="I79" s="383">
        <f t="shared" si="14"/>
        <v>100.00000000000003</v>
      </c>
      <c r="J79" s="402">
        <f t="shared" si="16"/>
        <v>0</v>
      </c>
      <c r="K79" s="402">
        <f t="shared" si="15"/>
        <v>0</v>
      </c>
      <c r="L79" s="357"/>
      <c r="M79" s="878"/>
      <c r="N79" s="389"/>
      <c r="O79" s="368"/>
    </row>
    <row r="80" spans="1:15" ht="20.100000000000001" customHeight="1" x14ac:dyDescent="0.25">
      <c r="A80" s="379" t="s">
        <v>222</v>
      </c>
      <c r="B80" s="400"/>
      <c r="C80" s="399" t="s">
        <v>506</v>
      </c>
      <c r="D80" s="401">
        <v>184596.77</v>
      </c>
      <c r="E80" s="373"/>
      <c r="F80" s="373">
        <v>10747.37</v>
      </c>
      <c r="G80" s="372">
        <f t="shared" si="13"/>
        <v>173849.4</v>
      </c>
      <c r="H80" s="374">
        <v>173849.4</v>
      </c>
      <c r="I80" s="383">
        <f t="shared" si="14"/>
        <v>100</v>
      </c>
      <c r="J80" s="402">
        <f t="shared" si="16"/>
        <v>0</v>
      </c>
      <c r="K80" s="402">
        <f t="shared" si="15"/>
        <v>0</v>
      </c>
      <c r="L80" s="357"/>
      <c r="M80" s="878"/>
      <c r="N80" s="389"/>
      <c r="O80" s="368"/>
    </row>
    <row r="81" spans="1:15" ht="20.100000000000001" customHeight="1" x14ac:dyDescent="0.25">
      <c r="A81" s="381" t="s">
        <v>223</v>
      </c>
      <c r="B81" s="400"/>
      <c r="C81" s="399" t="s">
        <v>505</v>
      </c>
      <c r="D81" s="401">
        <v>67909.990000000005</v>
      </c>
      <c r="E81" s="373"/>
      <c r="F81" s="373"/>
      <c r="G81" s="372">
        <f t="shared" si="13"/>
        <v>67909.990000000005</v>
      </c>
      <c r="H81" s="374">
        <v>67909.990000000005</v>
      </c>
      <c r="I81" s="383">
        <f t="shared" si="14"/>
        <v>100</v>
      </c>
      <c r="J81" s="402">
        <f t="shared" si="16"/>
        <v>0</v>
      </c>
      <c r="K81" s="402">
        <f t="shared" si="15"/>
        <v>0</v>
      </c>
      <c r="L81" s="357"/>
      <c r="M81" s="878"/>
      <c r="N81" s="389"/>
      <c r="O81" s="368"/>
    </row>
    <row r="82" spans="1:15" ht="20.100000000000001" customHeight="1" x14ac:dyDescent="0.25">
      <c r="A82" s="471" t="s">
        <v>224</v>
      </c>
      <c r="B82" s="400"/>
      <c r="C82" s="399" t="s">
        <v>503</v>
      </c>
      <c r="D82" s="401">
        <v>91701.86</v>
      </c>
      <c r="E82" s="373"/>
      <c r="F82" s="386">
        <v>1885.19</v>
      </c>
      <c r="G82" s="372">
        <f t="shared" si="13"/>
        <v>89816.67</v>
      </c>
      <c r="H82" s="374">
        <v>89816.67</v>
      </c>
      <c r="I82" s="383">
        <f t="shared" si="14"/>
        <v>100</v>
      </c>
      <c r="J82" s="402">
        <f t="shared" si="16"/>
        <v>0</v>
      </c>
      <c r="K82" s="402">
        <f t="shared" si="15"/>
        <v>0</v>
      </c>
      <c r="L82" s="357"/>
      <c r="M82" s="878"/>
      <c r="N82" s="389"/>
      <c r="O82" s="368"/>
    </row>
    <row r="83" spans="1:15" ht="20.100000000000001" customHeight="1" x14ac:dyDescent="0.25">
      <c r="A83" s="471" t="s">
        <v>225</v>
      </c>
      <c r="B83" s="400"/>
      <c r="C83" s="399" t="s">
        <v>613</v>
      </c>
      <c r="D83" s="401">
        <v>349604.93</v>
      </c>
      <c r="E83" s="373"/>
      <c r="F83" s="382">
        <v>37698.269999999997</v>
      </c>
      <c r="G83" s="372">
        <f t="shared" si="13"/>
        <v>311906.65999999997</v>
      </c>
      <c r="H83" s="374">
        <v>311906.65999999997</v>
      </c>
      <c r="I83" s="383">
        <f t="shared" si="14"/>
        <v>100</v>
      </c>
      <c r="J83" s="402">
        <f t="shared" si="16"/>
        <v>0</v>
      </c>
      <c r="K83" s="402">
        <f t="shared" si="15"/>
        <v>0</v>
      </c>
      <c r="L83" s="357"/>
      <c r="M83" s="878"/>
      <c r="N83" s="389"/>
      <c r="O83" s="368"/>
    </row>
    <row r="84" spans="1:15" ht="20.100000000000001" customHeight="1" thickBot="1" x14ac:dyDescent="0.3">
      <c r="A84" s="472" t="s">
        <v>226</v>
      </c>
      <c r="B84" s="416"/>
      <c r="C84" s="404" t="s">
        <v>502</v>
      </c>
      <c r="D84" s="473">
        <v>142973.31</v>
      </c>
      <c r="E84" s="382"/>
      <c r="F84" s="417">
        <v>1511.91</v>
      </c>
      <c r="G84" s="197">
        <f t="shared" si="13"/>
        <v>141461.4</v>
      </c>
      <c r="H84" s="198">
        <v>141461.4</v>
      </c>
      <c r="I84" s="418">
        <f t="shared" si="14"/>
        <v>100</v>
      </c>
      <c r="J84" s="419">
        <f>G84-H84</f>
        <v>0</v>
      </c>
      <c r="K84" s="419">
        <f t="shared" si="15"/>
        <v>0</v>
      </c>
      <c r="L84" s="357"/>
      <c r="M84" s="878"/>
      <c r="N84" s="389"/>
      <c r="O84" s="368"/>
    </row>
    <row r="85" spans="1:15" s="358" customFormat="1" ht="20.100000000000001" customHeight="1" thickTop="1" thickBot="1" x14ac:dyDescent="0.3">
      <c r="A85" s="467" t="s">
        <v>36</v>
      </c>
      <c r="B85" s="468">
        <f>SUM(B74:B84)</f>
        <v>464643.74</v>
      </c>
      <c r="C85" s="469"/>
      <c r="D85" s="468">
        <f>SUM(D74:D84)</f>
        <v>20011537.659999996</v>
      </c>
      <c r="E85" s="470"/>
      <c r="F85" s="470">
        <f>SUM(F74:F84)</f>
        <v>451167.74</v>
      </c>
      <c r="G85" s="468">
        <f>SUM(G74:G84)</f>
        <v>20025013.66</v>
      </c>
      <c r="H85" s="420">
        <f>SUM(H74:H84)</f>
        <v>20025013.66</v>
      </c>
      <c r="I85" s="465">
        <f>H85/G85*100</f>
        <v>100</v>
      </c>
      <c r="J85" s="466">
        <f>SUM(J74:J84)</f>
        <v>0</v>
      </c>
      <c r="K85" s="466">
        <f>J85/G85*100</f>
        <v>0</v>
      </c>
      <c r="L85" s="370"/>
      <c r="M85" s="879"/>
      <c r="N85" s="125"/>
      <c r="O85" s="126"/>
    </row>
    <row r="86" spans="1:15" ht="20.100000000000001" customHeight="1" thickTop="1" x14ac:dyDescent="0.25">
      <c r="A86" s="360"/>
      <c r="B86" s="361"/>
      <c r="C86" s="369"/>
      <c r="D86" s="361"/>
      <c r="E86" s="362"/>
      <c r="F86" s="362"/>
      <c r="G86" s="361"/>
      <c r="H86" s="365"/>
      <c r="I86" s="396"/>
      <c r="J86" s="396"/>
      <c r="K86" s="397"/>
      <c r="L86" s="357"/>
      <c r="M86" s="878"/>
      <c r="N86" s="389"/>
      <c r="O86" s="368"/>
    </row>
    <row r="87" spans="1:15" ht="20.100000000000001" customHeight="1" x14ac:dyDescent="0.25">
      <c r="A87" s="363"/>
      <c r="B87" s="364"/>
      <c r="C87" s="398"/>
      <c r="D87" s="387"/>
      <c r="E87" s="357"/>
      <c r="F87" s="357"/>
      <c r="G87" s="387"/>
      <c r="H87" s="387"/>
      <c r="I87" s="384"/>
      <c r="J87" s="384"/>
      <c r="K87" s="368"/>
      <c r="L87" s="357"/>
      <c r="M87" s="878"/>
      <c r="N87" s="389"/>
      <c r="O87" s="368"/>
    </row>
    <row r="88" spans="1:15" ht="20.100000000000001" customHeight="1" x14ac:dyDescent="0.25">
      <c r="A88" s="363"/>
      <c r="B88" s="364"/>
      <c r="C88" s="398"/>
      <c r="E88" s="357"/>
      <c r="F88" s="357"/>
      <c r="I88" s="384"/>
      <c r="J88" s="384"/>
      <c r="K88" s="368"/>
      <c r="L88" s="357"/>
      <c r="N88" s="389"/>
      <c r="O88" s="368"/>
    </row>
    <row r="89" spans="1:15" ht="20.100000000000001" customHeight="1" x14ac:dyDescent="0.25">
      <c r="A89" s="226"/>
      <c r="B89" s="366"/>
      <c r="C89" s="366" t="s">
        <v>605</v>
      </c>
      <c r="D89" s="357"/>
      <c r="E89" s="357"/>
      <c r="F89" s="357"/>
      <c r="G89" s="357"/>
      <c r="H89" s="355"/>
      <c r="I89" s="403"/>
      <c r="J89" s="388"/>
      <c r="K89" s="368"/>
      <c r="L89" s="357"/>
      <c r="M89" s="878"/>
      <c r="N89" s="389"/>
      <c r="O89" s="368"/>
    </row>
    <row r="90" spans="1:15" ht="48.75" customHeight="1" thickBot="1" x14ac:dyDescent="0.3">
      <c r="A90" s="390" t="s">
        <v>373</v>
      </c>
      <c r="B90" s="391" t="s">
        <v>14</v>
      </c>
      <c r="C90" s="390" t="s">
        <v>15</v>
      </c>
      <c r="D90" s="654" t="s">
        <v>16</v>
      </c>
      <c r="E90" s="392" t="s">
        <v>17</v>
      </c>
      <c r="F90" s="392" t="s">
        <v>18</v>
      </c>
      <c r="G90" s="391" t="s">
        <v>19</v>
      </c>
      <c r="H90" s="393" t="s">
        <v>20</v>
      </c>
      <c r="I90" s="394" t="s">
        <v>21</v>
      </c>
      <c r="J90" s="394" t="s">
        <v>22</v>
      </c>
      <c r="K90" s="395" t="s">
        <v>23</v>
      </c>
      <c r="L90" s="357"/>
      <c r="M90" s="878"/>
      <c r="N90" s="389"/>
      <c r="O90" s="368"/>
    </row>
    <row r="91" spans="1:15" ht="20.100000000000001" customHeight="1" x14ac:dyDescent="0.3">
      <c r="A91" s="378" t="s">
        <v>216</v>
      </c>
      <c r="B91" s="377"/>
      <c r="C91" s="399" t="s">
        <v>606</v>
      </c>
      <c r="D91" s="656">
        <v>323368.21000000002</v>
      </c>
      <c r="E91" s="373"/>
      <c r="F91" s="373">
        <v>3594.9</v>
      </c>
      <c r="G91" s="372">
        <f>B91+D91-E91-F91</f>
        <v>319773.31</v>
      </c>
      <c r="H91" s="374">
        <v>319773.31</v>
      </c>
      <c r="I91" s="383">
        <f>H91/G91*100</f>
        <v>100</v>
      </c>
      <c r="J91" s="402">
        <f>G91-H91</f>
        <v>0</v>
      </c>
      <c r="K91" s="402">
        <f>J91/G91*100</f>
        <v>0</v>
      </c>
      <c r="L91" s="357"/>
      <c r="M91" s="878"/>
      <c r="N91" s="389"/>
      <c r="O91" s="368"/>
    </row>
    <row r="92" spans="1:15" ht="20.100000000000001" customHeight="1" x14ac:dyDescent="0.3">
      <c r="A92" s="378" t="s">
        <v>217</v>
      </c>
      <c r="B92" s="377"/>
      <c r="C92" s="399" t="s">
        <v>607</v>
      </c>
      <c r="D92" s="656">
        <v>27552.5</v>
      </c>
      <c r="E92" s="373"/>
      <c r="F92" s="373">
        <v>2433.9899999999998</v>
      </c>
      <c r="G92" s="372">
        <f t="shared" ref="G92:G101" si="17">B92+D92-E92-F92</f>
        <v>25118.510000000002</v>
      </c>
      <c r="H92" s="374">
        <v>25118.51</v>
      </c>
      <c r="I92" s="383">
        <f t="shared" ref="I92:I101" si="18">H92/G92*100</f>
        <v>99.999999999999986</v>
      </c>
      <c r="J92" s="402">
        <f>G92-H92</f>
        <v>0</v>
      </c>
      <c r="K92" s="402">
        <f t="shared" ref="K92:K101" si="19">J92/G92*100</f>
        <v>0</v>
      </c>
      <c r="L92" s="357"/>
      <c r="M92" s="878"/>
      <c r="N92" s="389"/>
      <c r="O92" s="368"/>
    </row>
    <row r="93" spans="1:15" ht="20.100000000000001" customHeight="1" x14ac:dyDescent="0.3">
      <c r="A93" s="378" t="s">
        <v>218</v>
      </c>
      <c r="B93" s="377"/>
      <c r="C93" s="399" t="s">
        <v>608</v>
      </c>
      <c r="D93" s="656">
        <v>80892</v>
      </c>
      <c r="E93" s="373"/>
      <c r="F93" s="373">
        <v>1203.75</v>
      </c>
      <c r="G93" s="372">
        <f t="shared" si="17"/>
        <v>79688.25</v>
      </c>
      <c r="H93" s="374">
        <v>79688.25</v>
      </c>
      <c r="I93" s="383">
        <f t="shared" si="18"/>
        <v>100</v>
      </c>
      <c r="J93" s="402">
        <f t="shared" ref="J93:J100" si="20">G93-H93</f>
        <v>0</v>
      </c>
      <c r="K93" s="402">
        <f t="shared" si="19"/>
        <v>0</v>
      </c>
      <c r="L93" s="357"/>
      <c r="M93" s="878"/>
      <c r="N93" s="389"/>
      <c r="O93" s="368"/>
    </row>
    <row r="94" spans="1:15" ht="20.100000000000001" customHeight="1" x14ac:dyDescent="0.3">
      <c r="A94" s="380" t="s">
        <v>219</v>
      </c>
      <c r="B94" s="377"/>
      <c r="C94" s="399" t="s">
        <v>609</v>
      </c>
      <c r="D94" s="656">
        <v>20874415.09</v>
      </c>
      <c r="E94" s="373"/>
      <c r="F94" s="373">
        <v>969466.81</v>
      </c>
      <c r="G94" s="372">
        <f t="shared" si="17"/>
        <v>19904948.280000001</v>
      </c>
      <c r="H94" s="374">
        <v>19228902.649999999</v>
      </c>
      <c r="I94" s="383">
        <f t="shared" si="18"/>
        <v>96.603630310965045</v>
      </c>
      <c r="J94" s="402">
        <f t="shared" si="20"/>
        <v>676045.63000000268</v>
      </c>
      <c r="K94" s="402">
        <f t="shared" si="19"/>
        <v>3.3963696890349446</v>
      </c>
      <c r="L94" s="357"/>
      <c r="M94" s="878"/>
      <c r="N94" s="389"/>
      <c r="O94" s="368"/>
    </row>
    <row r="95" spans="1:15" ht="20.100000000000001" customHeight="1" x14ac:dyDescent="0.3">
      <c r="A95" s="379" t="s">
        <v>220</v>
      </c>
      <c r="B95" s="400"/>
      <c r="C95" s="399" t="s">
        <v>606</v>
      </c>
      <c r="D95" s="656">
        <v>340248.99300000002</v>
      </c>
      <c r="E95" s="373"/>
      <c r="F95" s="373">
        <v>857.73</v>
      </c>
      <c r="G95" s="372">
        <f t="shared" si="17"/>
        <v>339391.26300000004</v>
      </c>
      <c r="H95" s="374">
        <v>339391.2</v>
      </c>
      <c r="I95" s="383">
        <f t="shared" si="18"/>
        <v>99.999981437353611</v>
      </c>
      <c r="J95" s="402">
        <f t="shared" si="20"/>
        <v>6.3000000023748726E-2</v>
      </c>
      <c r="K95" s="402">
        <f t="shared" si="19"/>
        <v>1.8562646388380575E-5</v>
      </c>
      <c r="L95" s="357"/>
      <c r="M95" s="878"/>
      <c r="N95" s="389"/>
      <c r="O95" s="368"/>
    </row>
    <row r="96" spans="1:15" ht="20.100000000000001" customHeight="1" x14ac:dyDescent="0.3">
      <c r="A96" s="379" t="s">
        <v>221</v>
      </c>
      <c r="B96" s="400"/>
      <c r="C96" s="399" t="s">
        <v>608</v>
      </c>
      <c r="D96" s="656">
        <v>14827.76</v>
      </c>
      <c r="E96" s="373"/>
      <c r="F96" s="373">
        <v>3644.75</v>
      </c>
      <c r="G96" s="372">
        <f t="shared" si="17"/>
        <v>11183.01</v>
      </c>
      <c r="H96" s="374">
        <v>11183.01</v>
      </c>
      <c r="I96" s="383">
        <f t="shared" si="18"/>
        <v>100</v>
      </c>
      <c r="J96" s="402">
        <f t="shared" si="20"/>
        <v>0</v>
      </c>
      <c r="K96" s="402">
        <f t="shared" si="19"/>
        <v>0</v>
      </c>
      <c r="L96" s="357"/>
      <c r="M96" s="878"/>
      <c r="N96" s="389"/>
      <c r="O96" s="368"/>
    </row>
    <row r="97" spans="1:15" ht="20.100000000000001" customHeight="1" x14ac:dyDescent="0.3">
      <c r="A97" s="379" t="s">
        <v>222</v>
      </c>
      <c r="B97" s="400"/>
      <c r="C97" s="399" t="s">
        <v>610</v>
      </c>
      <c r="D97" s="656">
        <v>122910.32</v>
      </c>
      <c r="E97" s="373"/>
      <c r="F97" s="373">
        <v>53789.48</v>
      </c>
      <c r="G97" s="372">
        <f t="shared" si="17"/>
        <v>69120.84</v>
      </c>
      <c r="H97" s="374">
        <v>69120.84</v>
      </c>
      <c r="I97" s="383">
        <f t="shared" si="18"/>
        <v>100</v>
      </c>
      <c r="J97" s="402">
        <f t="shared" si="20"/>
        <v>0</v>
      </c>
      <c r="K97" s="402">
        <f t="shared" si="19"/>
        <v>0</v>
      </c>
      <c r="L97" s="357"/>
      <c r="M97" s="878"/>
      <c r="N97" s="389"/>
      <c r="O97" s="368"/>
    </row>
    <row r="98" spans="1:15" ht="20.100000000000001" customHeight="1" x14ac:dyDescent="0.3">
      <c r="A98" s="381" t="s">
        <v>223</v>
      </c>
      <c r="B98" s="400"/>
      <c r="C98" s="399" t="s">
        <v>611</v>
      </c>
      <c r="D98" s="656">
        <v>99873.76</v>
      </c>
      <c r="E98" s="373"/>
      <c r="F98" s="373">
        <v>2259.94</v>
      </c>
      <c r="G98" s="372">
        <f t="shared" si="17"/>
        <v>97613.819999999992</v>
      </c>
      <c r="H98" s="374">
        <v>97613.82</v>
      </c>
      <c r="I98" s="383">
        <f t="shared" si="18"/>
        <v>100.00000000000003</v>
      </c>
      <c r="J98" s="402">
        <f t="shared" si="20"/>
        <v>0</v>
      </c>
      <c r="K98" s="402">
        <f t="shared" si="19"/>
        <v>0</v>
      </c>
      <c r="L98" s="357"/>
      <c r="M98" s="878"/>
      <c r="N98" s="389"/>
      <c r="O98" s="368"/>
    </row>
    <row r="99" spans="1:15" ht="20.100000000000001" customHeight="1" x14ac:dyDescent="0.3">
      <c r="A99" s="471" t="s">
        <v>224</v>
      </c>
      <c r="B99" s="400"/>
      <c r="C99" s="399" t="s">
        <v>606</v>
      </c>
      <c r="D99" s="656">
        <v>163290.57</v>
      </c>
      <c r="E99" s="373"/>
      <c r="F99" s="386">
        <v>4369.49</v>
      </c>
      <c r="G99" s="372">
        <f t="shared" si="17"/>
        <v>158921.08000000002</v>
      </c>
      <c r="H99" s="374">
        <v>157538.6</v>
      </c>
      <c r="I99" s="383">
        <f t="shared" si="18"/>
        <v>99.13008393851841</v>
      </c>
      <c r="J99" s="402">
        <f t="shared" si="20"/>
        <v>1382.4800000000105</v>
      </c>
      <c r="K99" s="402">
        <f t="shared" si="19"/>
        <v>0.86991606148159217</v>
      </c>
      <c r="L99" s="357"/>
      <c r="M99" s="878"/>
      <c r="N99" s="389"/>
      <c r="O99" s="368"/>
    </row>
    <row r="100" spans="1:15" ht="20.100000000000001" customHeight="1" x14ac:dyDescent="0.3">
      <c r="A100" s="471" t="s">
        <v>225</v>
      </c>
      <c r="B100" s="400"/>
      <c r="C100" s="399" t="s">
        <v>612</v>
      </c>
      <c r="D100" s="656">
        <v>422644.24</v>
      </c>
      <c r="E100" s="373"/>
      <c r="F100" s="382">
        <v>72945.47</v>
      </c>
      <c r="G100" s="372">
        <f t="shared" si="17"/>
        <v>349698.77</v>
      </c>
      <c r="H100" s="374">
        <v>349698.77</v>
      </c>
      <c r="I100" s="383">
        <f t="shared" si="18"/>
        <v>100</v>
      </c>
      <c r="J100" s="402">
        <f t="shared" si="20"/>
        <v>0</v>
      </c>
      <c r="K100" s="402">
        <f t="shared" si="19"/>
        <v>0</v>
      </c>
      <c r="L100" s="357"/>
      <c r="M100" s="878"/>
      <c r="N100" s="389"/>
      <c r="O100" s="368"/>
    </row>
    <row r="101" spans="1:15" ht="20.100000000000001" customHeight="1" thickBot="1" x14ac:dyDescent="0.35">
      <c r="A101" s="472" t="s">
        <v>226</v>
      </c>
      <c r="B101" s="416"/>
      <c r="C101" s="404" t="s">
        <v>608</v>
      </c>
      <c r="D101" s="656">
        <v>275096.01</v>
      </c>
      <c r="E101" s="382"/>
      <c r="F101" s="417">
        <v>1042.25</v>
      </c>
      <c r="G101" s="197">
        <f t="shared" si="17"/>
        <v>274053.76000000001</v>
      </c>
      <c r="H101" s="198">
        <v>274053.76000000001</v>
      </c>
      <c r="I101" s="418">
        <f t="shared" si="18"/>
        <v>100</v>
      </c>
      <c r="J101" s="419">
        <f>G101-H101</f>
        <v>0</v>
      </c>
      <c r="K101" s="419">
        <f t="shared" si="19"/>
        <v>0</v>
      </c>
      <c r="L101" s="357"/>
      <c r="M101" s="878"/>
      <c r="N101" s="389"/>
      <c r="O101" s="368"/>
    </row>
    <row r="102" spans="1:15" s="358" customFormat="1" ht="20.100000000000001" customHeight="1" thickTop="1" thickBot="1" x14ac:dyDescent="0.3">
      <c r="A102" s="467" t="s">
        <v>36</v>
      </c>
      <c r="B102" s="468">
        <f>SUM(B91:B101)</f>
        <v>0</v>
      </c>
      <c r="C102" s="469"/>
      <c r="D102" s="655">
        <f>SUM(D91:D101)</f>
        <v>22745119.453000005</v>
      </c>
      <c r="E102" s="470"/>
      <c r="F102" s="470">
        <f>SUM(F91:F101)</f>
        <v>1115608.56</v>
      </c>
      <c r="G102" s="468">
        <f>SUM(G91:G101)</f>
        <v>21629510.893000003</v>
      </c>
      <c r="H102" s="420">
        <f>SUM(H91:H101)</f>
        <v>20952082.720000003</v>
      </c>
      <c r="I102" s="465">
        <f>H102/G102*100</f>
        <v>96.868037486602447</v>
      </c>
      <c r="J102" s="466">
        <f>SUM(J91:J101)</f>
        <v>677428.17300000275</v>
      </c>
      <c r="K102" s="466">
        <f>J102/G102*100</f>
        <v>3.1319625133975642</v>
      </c>
      <c r="L102" s="370"/>
      <c r="M102" s="879"/>
      <c r="N102" s="125"/>
      <c r="O102" s="126"/>
    </row>
    <row r="103" spans="1:15" ht="20.100000000000001" customHeight="1" thickTop="1" x14ac:dyDescent="0.25">
      <c r="A103" s="360"/>
      <c r="B103" s="361"/>
      <c r="C103" s="369"/>
      <c r="D103" s="361"/>
      <c r="E103" s="362"/>
      <c r="F103" s="362"/>
      <c r="G103" s="361"/>
      <c r="H103" s="365"/>
      <c r="I103" s="396"/>
      <c r="J103" s="396"/>
      <c r="K103" s="397"/>
      <c r="L103" s="357"/>
      <c r="M103" s="878"/>
      <c r="N103" s="389"/>
      <c r="O103" s="368"/>
    </row>
    <row r="104" spans="1:15" ht="20.100000000000001" customHeight="1" x14ac:dyDescent="0.25">
      <c r="A104" s="363" t="s">
        <v>37</v>
      </c>
      <c r="B104" s="364"/>
      <c r="C104" s="398"/>
      <c r="D104" s="387"/>
      <c r="E104" s="357"/>
      <c r="F104" s="357"/>
      <c r="G104" s="387"/>
      <c r="H104" s="387"/>
      <c r="I104" s="384"/>
      <c r="J104" s="384"/>
      <c r="K104" s="368"/>
      <c r="L104" s="357"/>
      <c r="M104" s="878"/>
      <c r="N104" s="389"/>
      <c r="O104" s="368"/>
    </row>
    <row r="105" spans="1:15" ht="20.100000000000001" customHeight="1" x14ac:dyDescent="0.25">
      <c r="A105" s="367"/>
      <c r="B105" s="354" t="s">
        <v>228</v>
      </c>
      <c r="C105" s="357">
        <v>676045.49</v>
      </c>
      <c r="D105" s="357" t="s">
        <v>55</v>
      </c>
      <c r="E105" s="357" t="s">
        <v>614</v>
      </c>
      <c r="F105" s="357"/>
      <c r="G105" s="355"/>
      <c r="H105" s="387"/>
      <c r="I105" s="384"/>
      <c r="J105" s="371"/>
      <c r="K105" s="371"/>
      <c r="L105" s="357"/>
      <c r="M105" s="878"/>
      <c r="N105" s="389"/>
      <c r="O105" s="368"/>
    </row>
    <row r="106" spans="1:15" ht="20.100000000000001" customHeight="1" x14ac:dyDescent="0.25">
      <c r="A106" s="367"/>
      <c r="B106" s="354" t="s">
        <v>224</v>
      </c>
      <c r="C106" s="357">
        <v>1382.48</v>
      </c>
      <c r="D106" s="357"/>
      <c r="E106" s="357" t="s">
        <v>465</v>
      </c>
      <c r="F106" s="357"/>
      <c r="G106" s="355"/>
      <c r="H106" s="387"/>
      <c r="I106" s="384"/>
      <c r="J106" s="371"/>
      <c r="K106" s="371"/>
      <c r="L106" s="357"/>
      <c r="M106" s="878"/>
      <c r="N106" s="389"/>
      <c r="O106" s="368"/>
    </row>
    <row r="107" spans="1:15" ht="20.100000000000001" customHeight="1" thickBot="1" x14ac:dyDescent="0.3">
      <c r="A107" s="387"/>
      <c r="B107" s="387"/>
      <c r="C107" s="189">
        <f>SUM(C105:C105)</f>
        <v>676045.49</v>
      </c>
      <c r="D107" s="370" t="s">
        <v>55</v>
      </c>
      <c r="E107" s="357"/>
      <c r="F107" s="357"/>
      <c r="G107" s="355"/>
      <c r="H107" s="356"/>
      <c r="I107" s="384"/>
      <c r="J107" s="371"/>
      <c r="K107" s="371"/>
      <c r="L107" s="357"/>
      <c r="M107" s="878"/>
      <c r="N107" s="389"/>
      <c r="O107" s="368"/>
    </row>
    <row r="108" spans="1:15" ht="20.100000000000001" customHeight="1" thickTop="1" x14ac:dyDescent="0.25">
      <c r="A108" s="360"/>
      <c r="B108" s="361"/>
      <c r="C108" s="369"/>
      <c r="D108" s="361"/>
      <c r="E108" s="362"/>
      <c r="F108" s="362"/>
      <c r="G108" s="361"/>
      <c r="H108" s="365"/>
      <c r="I108" s="396"/>
      <c r="J108" s="396"/>
      <c r="K108" s="397"/>
      <c r="L108" s="357"/>
      <c r="N108" s="389"/>
      <c r="O108" s="368"/>
    </row>
    <row r="109" spans="1:15" ht="20.100000000000001" customHeight="1" x14ac:dyDescent="0.25">
      <c r="A109" s="226"/>
      <c r="B109" s="366"/>
      <c r="C109" s="366" t="s">
        <v>714</v>
      </c>
      <c r="D109" s="357"/>
      <c r="E109" s="357"/>
      <c r="F109" s="357"/>
      <c r="G109" s="357"/>
      <c r="H109" s="355"/>
      <c r="I109" s="403"/>
      <c r="J109" s="388"/>
      <c r="K109" s="368"/>
      <c r="L109" s="357"/>
      <c r="M109" s="878"/>
      <c r="N109" s="389"/>
      <c r="O109" s="368"/>
    </row>
    <row r="110" spans="1:15" ht="48.75" customHeight="1" thickBot="1" x14ac:dyDescent="0.3">
      <c r="A110" s="390" t="s">
        <v>470</v>
      </c>
      <c r="B110" s="391" t="s">
        <v>14</v>
      </c>
      <c r="C110" s="390" t="s">
        <v>15</v>
      </c>
      <c r="D110" s="392" t="s">
        <v>16</v>
      </c>
      <c r="E110" s="392" t="s">
        <v>17</v>
      </c>
      <c r="F110" s="392" t="s">
        <v>18</v>
      </c>
      <c r="G110" s="391" t="s">
        <v>19</v>
      </c>
      <c r="H110" s="393" t="s">
        <v>20</v>
      </c>
      <c r="I110" s="394" t="s">
        <v>21</v>
      </c>
      <c r="J110" s="394" t="s">
        <v>22</v>
      </c>
      <c r="K110" s="395" t="s">
        <v>23</v>
      </c>
      <c r="L110" s="357"/>
      <c r="M110" s="878"/>
      <c r="N110" s="389"/>
      <c r="O110" s="368"/>
    </row>
    <row r="111" spans="1:15" ht="20.100000000000001" customHeight="1" x14ac:dyDescent="0.25">
      <c r="A111" s="378" t="s">
        <v>216</v>
      </c>
      <c r="B111" s="377"/>
      <c r="C111" s="399" t="s">
        <v>763</v>
      </c>
      <c r="D111" s="372">
        <v>923465.63</v>
      </c>
      <c r="E111" s="373"/>
      <c r="F111" s="373">
        <v>1145.8499999999999</v>
      </c>
      <c r="G111" s="372">
        <f>B111+D111-E111-F111</f>
        <v>922319.78</v>
      </c>
      <c r="H111" s="374">
        <v>922319.78</v>
      </c>
      <c r="I111" s="383">
        <f>H111/G111*100</f>
        <v>100</v>
      </c>
      <c r="J111" s="402">
        <f>G111-H111</f>
        <v>0</v>
      </c>
      <c r="K111" s="651">
        <f>J111/G111*100</f>
        <v>0</v>
      </c>
      <c r="L111" s="147"/>
      <c r="M111" s="878"/>
      <c r="N111" s="389"/>
      <c r="O111" s="368"/>
    </row>
    <row r="112" spans="1:15" ht="20.100000000000001" customHeight="1" x14ac:dyDescent="0.25">
      <c r="A112" s="378" t="s">
        <v>217</v>
      </c>
      <c r="B112" s="377"/>
      <c r="C112" s="399" t="s">
        <v>768</v>
      </c>
      <c r="D112" s="372">
        <v>69432.3</v>
      </c>
      <c r="E112" s="373"/>
      <c r="F112" s="373">
        <v>13272.16</v>
      </c>
      <c r="G112" s="372">
        <f t="shared" ref="G112:G121" si="21">B112+D112-E112-F112</f>
        <v>56160.14</v>
      </c>
      <c r="H112" s="374">
        <v>56160.14</v>
      </c>
      <c r="I112" s="383">
        <f t="shared" ref="I112:I121" si="22">H112/G112*100</f>
        <v>100</v>
      </c>
      <c r="J112" s="402">
        <f>G112-H112</f>
        <v>0</v>
      </c>
      <c r="K112" s="402">
        <f t="shared" ref="K112:K121" si="23">J112/G112*100</f>
        <v>0</v>
      </c>
      <c r="L112" s="147"/>
      <c r="M112" s="878"/>
      <c r="N112" s="389"/>
      <c r="O112" s="368"/>
    </row>
    <row r="113" spans="1:15" ht="20.100000000000001" customHeight="1" x14ac:dyDescent="0.25">
      <c r="A113" s="378" t="s">
        <v>218</v>
      </c>
      <c r="B113" s="377"/>
      <c r="C113" s="399" t="s">
        <v>766</v>
      </c>
      <c r="D113" s="372">
        <v>66222.3</v>
      </c>
      <c r="E113" s="373"/>
      <c r="F113" s="373">
        <v>167.18</v>
      </c>
      <c r="G113" s="372">
        <f t="shared" si="21"/>
        <v>66055.12000000001</v>
      </c>
      <c r="H113" s="374">
        <v>66055.12</v>
      </c>
      <c r="I113" s="383">
        <f t="shared" si="22"/>
        <v>99.999999999999972</v>
      </c>
      <c r="J113" s="402">
        <f t="shared" ref="J113:J120" si="24">G113-H113</f>
        <v>0</v>
      </c>
      <c r="K113" s="402">
        <f t="shared" si="23"/>
        <v>0</v>
      </c>
      <c r="L113" s="147"/>
      <c r="M113" s="878"/>
      <c r="N113" s="389"/>
      <c r="O113" s="368"/>
    </row>
    <row r="114" spans="1:15" ht="20.100000000000001" customHeight="1" x14ac:dyDescent="0.25">
      <c r="A114" s="380" t="s">
        <v>219</v>
      </c>
      <c r="B114" s="377">
        <v>676045.49</v>
      </c>
      <c r="C114" s="399" t="s">
        <v>762</v>
      </c>
      <c r="D114" s="372">
        <v>20614598.91</v>
      </c>
      <c r="E114" s="373"/>
      <c r="F114" s="373">
        <v>519763.33</v>
      </c>
      <c r="G114" s="372">
        <f t="shared" si="21"/>
        <v>20770881.07</v>
      </c>
      <c r="H114" s="374">
        <v>20167136.600000001</v>
      </c>
      <c r="I114" s="383">
        <f t="shared" si="22"/>
        <v>97.093313143697088</v>
      </c>
      <c r="J114" s="402">
        <f t="shared" si="24"/>
        <v>603744.46999999881</v>
      </c>
      <c r="K114" s="402">
        <f t="shared" si="23"/>
        <v>2.9066868563029078</v>
      </c>
      <c r="L114" s="147"/>
      <c r="M114" s="878"/>
      <c r="N114" s="389"/>
      <c r="O114" s="368"/>
    </row>
    <row r="115" spans="1:15" ht="20.100000000000001" customHeight="1" x14ac:dyDescent="0.25">
      <c r="A115" s="379" t="s">
        <v>220</v>
      </c>
      <c r="B115" s="400"/>
      <c r="C115" s="399" t="s">
        <v>763</v>
      </c>
      <c r="D115" s="372">
        <v>683955.51</v>
      </c>
      <c r="E115" s="373"/>
      <c r="F115" s="373">
        <v>1233.98</v>
      </c>
      <c r="G115" s="372">
        <f t="shared" si="21"/>
        <v>682721.53</v>
      </c>
      <c r="H115" s="374">
        <v>682721.53</v>
      </c>
      <c r="I115" s="383">
        <f t="shared" si="22"/>
        <v>100</v>
      </c>
      <c r="J115" s="402">
        <f t="shared" si="24"/>
        <v>0</v>
      </c>
      <c r="K115" s="402">
        <f t="shared" si="23"/>
        <v>0</v>
      </c>
      <c r="L115" s="147"/>
      <c r="M115" s="878"/>
      <c r="N115" s="389"/>
      <c r="O115" s="368"/>
    </row>
    <row r="116" spans="1:15" ht="20.100000000000001" customHeight="1" x14ac:dyDescent="0.25">
      <c r="A116" s="379" t="s">
        <v>221</v>
      </c>
      <c r="B116" s="400"/>
      <c r="C116" s="399" t="s">
        <v>767</v>
      </c>
      <c r="D116" s="372">
        <v>20003</v>
      </c>
      <c r="E116" s="373"/>
      <c r="F116" s="373">
        <v>680.71</v>
      </c>
      <c r="G116" s="372">
        <f t="shared" si="21"/>
        <v>19322.29</v>
      </c>
      <c r="H116" s="374">
        <v>19322.29</v>
      </c>
      <c r="I116" s="383">
        <f t="shared" si="22"/>
        <v>100</v>
      </c>
      <c r="J116" s="402">
        <f t="shared" si="24"/>
        <v>0</v>
      </c>
      <c r="K116" s="402">
        <f t="shared" si="23"/>
        <v>0</v>
      </c>
      <c r="L116" s="147"/>
      <c r="M116" s="878"/>
      <c r="N116" s="389"/>
      <c r="O116" s="368"/>
    </row>
    <row r="117" spans="1:15" ht="20.100000000000001" customHeight="1" x14ac:dyDescent="0.25">
      <c r="A117" s="379" t="s">
        <v>222</v>
      </c>
      <c r="B117" s="400"/>
      <c r="C117" s="399" t="s">
        <v>764</v>
      </c>
      <c r="D117" s="401">
        <v>249886.11</v>
      </c>
      <c r="E117" s="373"/>
      <c r="F117" s="373">
        <v>26024.16</v>
      </c>
      <c r="G117" s="372">
        <f t="shared" si="21"/>
        <v>223861.94999999998</v>
      </c>
      <c r="H117" s="374">
        <v>223861.95</v>
      </c>
      <c r="I117" s="383">
        <f t="shared" si="22"/>
        <v>100.00000000000003</v>
      </c>
      <c r="J117" s="402">
        <f t="shared" si="24"/>
        <v>0</v>
      </c>
      <c r="K117" s="402">
        <f t="shared" si="23"/>
        <v>0</v>
      </c>
      <c r="L117" s="147"/>
      <c r="M117" s="878"/>
      <c r="N117" s="389"/>
      <c r="O117" s="368"/>
    </row>
    <row r="118" spans="1:15" ht="20.100000000000001" customHeight="1" x14ac:dyDescent="0.25">
      <c r="A118" s="381" t="s">
        <v>223</v>
      </c>
      <c r="B118" s="400"/>
      <c r="C118" s="399" t="s">
        <v>765</v>
      </c>
      <c r="D118" s="401">
        <v>134737.85999999999</v>
      </c>
      <c r="E118" s="373"/>
      <c r="F118" s="373">
        <v>489.63</v>
      </c>
      <c r="G118" s="372">
        <f t="shared" si="21"/>
        <v>134248.22999999998</v>
      </c>
      <c r="H118" s="374">
        <v>134248.23000000001</v>
      </c>
      <c r="I118" s="383">
        <f t="shared" si="22"/>
        <v>100.00000000000003</v>
      </c>
      <c r="J118" s="402">
        <f t="shared" si="24"/>
        <v>0</v>
      </c>
      <c r="K118" s="402">
        <f t="shared" si="23"/>
        <v>0</v>
      </c>
      <c r="L118" s="147"/>
      <c r="M118" s="878"/>
      <c r="N118" s="389"/>
      <c r="O118" s="368"/>
    </row>
    <row r="119" spans="1:15" ht="20.100000000000001" customHeight="1" x14ac:dyDescent="0.25">
      <c r="A119" s="471" t="s">
        <v>224</v>
      </c>
      <c r="B119" s="400">
        <v>1382.48</v>
      </c>
      <c r="C119" s="399" t="s">
        <v>763</v>
      </c>
      <c r="D119" s="401">
        <v>533252.68000000005</v>
      </c>
      <c r="E119" s="373"/>
      <c r="F119" s="386">
        <v>29823.73</v>
      </c>
      <c r="G119" s="372">
        <f t="shared" si="21"/>
        <v>504811.43000000005</v>
      </c>
      <c r="H119" s="374">
        <v>504811.43</v>
      </c>
      <c r="I119" s="383">
        <f t="shared" si="22"/>
        <v>99.999999999999986</v>
      </c>
      <c r="J119" s="402">
        <f t="shared" si="24"/>
        <v>0</v>
      </c>
      <c r="K119" s="402">
        <f t="shared" si="23"/>
        <v>0</v>
      </c>
      <c r="L119" s="147"/>
      <c r="M119" s="878"/>
      <c r="N119" s="389"/>
      <c r="O119" s="368"/>
    </row>
    <row r="120" spans="1:15" ht="20.100000000000001" customHeight="1" x14ac:dyDescent="0.25">
      <c r="A120" s="471" t="s">
        <v>225</v>
      </c>
      <c r="B120" s="400"/>
      <c r="C120" s="399" t="s">
        <v>764</v>
      </c>
      <c r="D120" s="401">
        <v>582187.36</v>
      </c>
      <c r="E120" s="373"/>
      <c r="F120" s="382">
        <v>52797.23</v>
      </c>
      <c r="G120" s="372">
        <f t="shared" si="21"/>
        <v>529390.13</v>
      </c>
      <c r="H120" s="374">
        <v>529390.13</v>
      </c>
      <c r="I120" s="383">
        <f t="shared" si="22"/>
        <v>100</v>
      </c>
      <c r="J120" s="402">
        <f t="shared" si="24"/>
        <v>0</v>
      </c>
      <c r="K120" s="402">
        <f t="shared" si="23"/>
        <v>0</v>
      </c>
      <c r="L120" s="147"/>
      <c r="M120" s="878"/>
      <c r="N120" s="389"/>
      <c r="O120" s="368"/>
    </row>
    <row r="121" spans="1:15" ht="20.100000000000001" customHeight="1" thickBot="1" x14ac:dyDescent="0.3">
      <c r="A121" s="472" t="s">
        <v>226</v>
      </c>
      <c r="B121" s="416"/>
      <c r="C121" s="404" t="s">
        <v>768</v>
      </c>
      <c r="D121" s="473">
        <v>252220.48</v>
      </c>
      <c r="E121" s="382"/>
      <c r="F121" s="417">
        <v>6469.8600000000006</v>
      </c>
      <c r="G121" s="197">
        <f t="shared" si="21"/>
        <v>245750.62</v>
      </c>
      <c r="H121" s="198">
        <v>245750.62</v>
      </c>
      <c r="I121" s="418">
        <f t="shared" si="22"/>
        <v>100</v>
      </c>
      <c r="J121" s="419">
        <f>G121-H121</f>
        <v>0</v>
      </c>
      <c r="K121" s="652">
        <f t="shared" si="23"/>
        <v>0</v>
      </c>
      <c r="L121" s="147"/>
      <c r="M121" s="878"/>
      <c r="N121" s="389"/>
      <c r="O121" s="368"/>
    </row>
    <row r="122" spans="1:15" s="358" customFormat="1" ht="20.100000000000001" customHeight="1" thickTop="1" thickBot="1" x14ac:dyDescent="0.3">
      <c r="A122" s="467" t="s">
        <v>36</v>
      </c>
      <c r="B122" s="468">
        <f>SUM(B111:B121)</f>
        <v>677427.97</v>
      </c>
      <c r="C122" s="469"/>
      <c r="D122" s="468">
        <f>SUM(D111:D121)</f>
        <v>24129962.140000001</v>
      </c>
      <c r="E122" s="470"/>
      <c r="F122" s="470">
        <f>SUM(F111:F121)</f>
        <v>651867.81999999995</v>
      </c>
      <c r="G122" s="468">
        <f>SUM(G111:G121)</f>
        <v>24155522.289999999</v>
      </c>
      <c r="H122" s="420">
        <f>SUM(H111:H121)</f>
        <v>23551777.82</v>
      </c>
      <c r="I122" s="465">
        <f>H122/G122*100</f>
        <v>97.50059442825652</v>
      </c>
      <c r="J122" s="466">
        <f>SUM(J111:J121)</f>
        <v>603744.46999999881</v>
      </c>
      <c r="K122" s="466">
        <f>J122/G122*100</f>
        <v>2.4994055717434827</v>
      </c>
      <c r="L122" s="370"/>
      <c r="M122" s="879"/>
      <c r="N122" s="125"/>
      <c r="O122" s="126"/>
    </row>
    <row r="123" spans="1:15" ht="20.100000000000001" customHeight="1" thickTop="1" x14ac:dyDescent="0.25">
      <c r="A123" s="360"/>
      <c r="B123" s="361"/>
      <c r="C123" s="369"/>
      <c r="D123" s="361"/>
      <c r="E123" s="362"/>
      <c r="F123" s="362"/>
      <c r="G123" s="361"/>
      <c r="H123" s="365"/>
      <c r="I123" s="396"/>
      <c r="J123" s="396"/>
      <c r="K123" s="397"/>
      <c r="L123" s="357"/>
      <c r="M123" s="878"/>
      <c r="N123" s="389"/>
      <c r="O123" s="368"/>
    </row>
    <row r="124" spans="1:15" ht="20.100000000000001" customHeight="1" x14ac:dyDescent="0.25">
      <c r="A124" s="363" t="s">
        <v>37</v>
      </c>
      <c r="B124" s="364"/>
      <c r="C124" s="398"/>
      <c r="D124" s="387"/>
      <c r="E124" s="357"/>
      <c r="F124" s="357"/>
      <c r="G124" s="387"/>
      <c r="H124" s="387"/>
      <c r="I124" s="384"/>
      <c r="J124" s="384"/>
      <c r="K124" s="368"/>
      <c r="L124" s="357"/>
      <c r="M124" s="878"/>
      <c r="N124" s="389"/>
      <c r="O124" s="368"/>
    </row>
    <row r="125" spans="1:15" ht="20.100000000000001" customHeight="1" x14ac:dyDescent="0.25">
      <c r="A125" s="367"/>
      <c r="B125" s="354" t="s">
        <v>228</v>
      </c>
      <c r="C125" s="357">
        <v>603744.47</v>
      </c>
      <c r="D125" s="357" t="s">
        <v>55</v>
      </c>
      <c r="E125" s="357" t="s">
        <v>769</v>
      </c>
      <c r="F125" s="357"/>
      <c r="G125" s="355"/>
      <c r="H125" s="387"/>
      <c r="I125" s="384"/>
      <c r="J125" s="371"/>
      <c r="K125" s="371"/>
      <c r="L125" s="357"/>
      <c r="M125" s="878"/>
      <c r="N125" s="389"/>
      <c r="O125" s="368"/>
    </row>
    <row r="126" spans="1:15" ht="20.100000000000001" customHeight="1" thickBot="1" x14ac:dyDescent="0.3">
      <c r="A126" s="387"/>
      <c r="B126" s="387"/>
      <c r="C126" s="189">
        <f>SUM(C125:C125)</f>
        <v>603744.47</v>
      </c>
      <c r="D126" s="370" t="s">
        <v>55</v>
      </c>
      <c r="E126" s="357"/>
      <c r="F126" s="357"/>
      <c r="G126" s="355"/>
      <c r="H126" s="356"/>
      <c r="I126" s="384"/>
      <c r="J126" s="371"/>
      <c r="K126" s="371"/>
      <c r="L126" s="357"/>
      <c r="M126" s="878"/>
      <c r="N126" s="389"/>
      <c r="O126" s="368"/>
    </row>
    <row r="127" spans="1:15" ht="20.100000000000001" customHeight="1" thickTop="1" x14ac:dyDescent="0.25">
      <c r="A127" s="360"/>
      <c r="B127" s="361"/>
      <c r="C127" s="369"/>
      <c r="D127" s="361"/>
      <c r="E127" s="362"/>
      <c r="F127" s="362"/>
      <c r="G127" s="361"/>
      <c r="H127" s="365"/>
      <c r="I127" s="396"/>
      <c r="J127" s="396"/>
      <c r="K127" s="397"/>
      <c r="L127" s="357"/>
      <c r="N127" s="389"/>
      <c r="O127" s="368"/>
    </row>
    <row r="128" spans="1:15" s="621" customFormat="1" ht="20.100000000000001" customHeight="1" x14ac:dyDescent="0.25">
      <c r="A128" s="226"/>
      <c r="B128" s="366"/>
      <c r="C128" s="366" t="s">
        <v>837</v>
      </c>
      <c r="D128" s="622"/>
      <c r="E128" s="622"/>
      <c r="F128" s="622"/>
      <c r="G128" s="622"/>
      <c r="H128" s="627"/>
      <c r="I128" s="403"/>
      <c r="J128" s="388"/>
      <c r="K128" s="647"/>
      <c r="L128" s="622"/>
      <c r="M128" s="878"/>
      <c r="N128" s="389"/>
      <c r="O128" s="647"/>
    </row>
    <row r="129" spans="1:15" s="621" customFormat="1" ht="48.75" customHeight="1" thickBot="1" x14ac:dyDescent="0.3">
      <c r="A129" s="390" t="s">
        <v>980</v>
      </c>
      <c r="B129" s="391" t="s">
        <v>14</v>
      </c>
      <c r="C129" s="390" t="s">
        <v>15</v>
      </c>
      <c r="D129" s="392" t="s">
        <v>16</v>
      </c>
      <c r="E129" s="392" t="s">
        <v>17</v>
      </c>
      <c r="F129" s="392" t="s">
        <v>18</v>
      </c>
      <c r="G129" s="391" t="s">
        <v>19</v>
      </c>
      <c r="H129" s="393" t="s">
        <v>20</v>
      </c>
      <c r="I129" s="394" t="s">
        <v>21</v>
      </c>
      <c r="J129" s="394" t="s">
        <v>22</v>
      </c>
      <c r="K129" s="395" t="s">
        <v>23</v>
      </c>
      <c r="L129" s="622"/>
      <c r="M129" s="878"/>
      <c r="N129" s="389"/>
      <c r="O129" s="647"/>
    </row>
    <row r="130" spans="1:15" s="621" customFormat="1" ht="20.100000000000001" customHeight="1" x14ac:dyDescent="0.25">
      <c r="A130" s="630" t="s">
        <v>216</v>
      </c>
      <c r="B130" s="377"/>
      <c r="C130" s="399" t="s">
        <v>838</v>
      </c>
      <c r="D130" s="631">
        <v>894652.93</v>
      </c>
      <c r="E130" s="632"/>
      <c r="F130" s="632">
        <v>237.33</v>
      </c>
      <c r="G130" s="631">
        <f>B130+D130-E130-F130</f>
        <v>894415.60000000009</v>
      </c>
      <c r="H130" s="633">
        <v>894415.6</v>
      </c>
      <c r="I130" s="383">
        <f>H130/G130*100</f>
        <v>99.999999999999986</v>
      </c>
      <c r="J130" s="402">
        <f>G130-H130</f>
        <v>0</v>
      </c>
      <c r="K130" s="651">
        <f>J130/G130*100</f>
        <v>0</v>
      </c>
      <c r="L130" s="147"/>
      <c r="M130" s="878"/>
      <c r="N130" s="389"/>
      <c r="O130" s="647"/>
    </row>
    <row r="131" spans="1:15" s="621" customFormat="1" ht="20.100000000000001" customHeight="1" x14ac:dyDescent="0.25">
      <c r="A131" s="630" t="s">
        <v>217</v>
      </c>
      <c r="B131" s="377"/>
      <c r="C131" s="399" t="s">
        <v>839</v>
      </c>
      <c r="D131" s="631">
        <v>22042</v>
      </c>
      <c r="E131" s="632"/>
      <c r="F131" s="632">
        <v>2525.85</v>
      </c>
      <c r="G131" s="631">
        <f t="shared" ref="G131:G140" si="25">B131+D131-E131-F131</f>
        <v>19516.150000000001</v>
      </c>
      <c r="H131" s="633">
        <v>19516.150000000001</v>
      </c>
      <c r="I131" s="383">
        <f t="shared" ref="I131:I140" si="26">H131/G131*100</f>
        <v>100</v>
      </c>
      <c r="J131" s="402">
        <f>G131-H131</f>
        <v>0</v>
      </c>
      <c r="K131" s="402">
        <f t="shared" ref="K131:K140" si="27">J131/G131*100</f>
        <v>0</v>
      </c>
      <c r="L131" s="147"/>
      <c r="M131" s="878"/>
      <c r="N131" s="389"/>
      <c r="O131" s="647"/>
    </row>
    <row r="132" spans="1:15" s="621" customFormat="1" ht="20.100000000000001" customHeight="1" x14ac:dyDescent="0.25">
      <c r="A132" s="630" t="s">
        <v>218</v>
      </c>
      <c r="B132" s="377"/>
      <c r="C132" s="399" t="s">
        <v>840</v>
      </c>
      <c r="D132" s="631">
        <v>97878.25</v>
      </c>
      <c r="E132" s="632"/>
      <c r="F132" s="632">
        <v>0</v>
      </c>
      <c r="G132" s="631">
        <f t="shared" si="25"/>
        <v>97878.25</v>
      </c>
      <c r="H132" s="633">
        <v>97878.25</v>
      </c>
      <c r="I132" s="383">
        <f t="shared" si="26"/>
        <v>100</v>
      </c>
      <c r="J132" s="402">
        <f t="shared" ref="J132:J140" si="28">G132-H132</f>
        <v>0</v>
      </c>
      <c r="K132" s="402">
        <f t="shared" si="27"/>
        <v>0</v>
      </c>
      <c r="L132" s="147"/>
      <c r="M132" s="878"/>
      <c r="N132" s="389"/>
      <c r="O132" s="647"/>
    </row>
    <row r="133" spans="1:15" s="621" customFormat="1" ht="20.100000000000001" customHeight="1" x14ac:dyDescent="0.25">
      <c r="A133" s="380" t="s">
        <v>219</v>
      </c>
      <c r="B133" s="377">
        <v>603744.47</v>
      </c>
      <c r="C133" s="399" t="s">
        <v>841</v>
      </c>
      <c r="D133" s="631">
        <v>26058871.170000002</v>
      </c>
      <c r="E133" s="632"/>
      <c r="F133" s="632">
        <v>1151586.8999999999</v>
      </c>
      <c r="G133" s="631">
        <f t="shared" si="25"/>
        <v>25511028.740000002</v>
      </c>
      <c r="H133" s="633">
        <v>25425013.140000001</v>
      </c>
      <c r="I133" s="383">
        <f t="shared" si="26"/>
        <v>99.662829747570569</v>
      </c>
      <c r="J133" s="402">
        <f t="shared" si="28"/>
        <v>86015.60000000149</v>
      </c>
      <c r="K133" s="402">
        <f t="shared" si="27"/>
        <v>0.33717025242942628</v>
      </c>
      <c r="L133" s="147"/>
      <c r="M133" s="878"/>
      <c r="N133" s="389"/>
      <c r="O133" s="647"/>
    </row>
    <row r="134" spans="1:15" s="621" customFormat="1" ht="20.100000000000001" customHeight="1" x14ac:dyDescent="0.25">
      <c r="A134" s="379" t="s">
        <v>220</v>
      </c>
      <c r="B134" s="400"/>
      <c r="C134" s="399" t="s">
        <v>838</v>
      </c>
      <c r="D134" s="631">
        <v>383349.11</v>
      </c>
      <c r="E134" s="632"/>
      <c r="F134" s="632">
        <v>1065.43</v>
      </c>
      <c r="G134" s="631">
        <f t="shared" si="25"/>
        <v>382283.68</v>
      </c>
      <c r="H134" s="633">
        <v>382283.68</v>
      </c>
      <c r="I134" s="383">
        <f t="shared" si="26"/>
        <v>100</v>
      </c>
      <c r="J134" s="402">
        <f t="shared" si="28"/>
        <v>0</v>
      </c>
      <c r="K134" s="402">
        <f t="shared" si="27"/>
        <v>0</v>
      </c>
      <c r="L134" s="147"/>
      <c r="M134" s="878"/>
      <c r="N134" s="389"/>
      <c r="O134" s="647"/>
    </row>
    <row r="135" spans="1:15" s="621" customFormat="1" ht="20.100000000000001" customHeight="1" x14ac:dyDescent="0.25">
      <c r="A135" s="379" t="s">
        <v>221</v>
      </c>
      <c r="B135" s="400"/>
      <c r="C135" s="399" t="s">
        <v>842</v>
      </c>
      <c r="D135" s="631">
        <v>134160.76</v>
      </c>
      <c r="E135" s="632"/>
      <c r="F135" s="632">
        <v>38812.769999999997</v>
      </c>
      <c r="G135" s="631">
        <f t="shared" si="25"/>
        <v>95347.99000000002</v>
      </c>
      <c r="H135" s="633">
        <v>95347.99</v>
      </c>
      <c r="I135" s="383">
        <f t="shared" si="26"/>
        <v>99.999999999999986</v>
      </c>
      <c r="J135" s="402">
        <f t="shared" si="28"/>
        <v>0</v>
      </c>
      <c r="K135" s="402">
        <f t="shared" si="27"/>
        <v>0</v>
      </c>
      <c r="L135" s="147"/>
      <c r="M135" s="878"/>
      <c r="N135" s="389"/>
      <c r="O135" s="647"/>
    </row>
    <row r="136" spans="1:15" s="621" customFormat="1" ht="20.100000000000001" customHeight="1" x14ac:dyDescent="0.25">
      <c r="A136" s="379" t="s">
        <v>222</v>
      </c>
      <c r="B136" s="400"/>
      <c r="C136" s="399" t="s">
        <v>843</v>
      </c>
      <c r="D136" s="401">
        <v>182565</v>
      </c>
      <c r="E136" s="632"/>
      <c r="F136" s="632">
        <v>8525.7999999999993</v>
      </c>
      <c r="G136" s="631">
        <f t="shared" si="25"/>
        <v>174039.2</v>
      </c>
      <c r="H136" s="633">
        <v>174039.2</v>
      </c>
      <c r="I136" s="383">
        <f t="shared" si="26"/>
        <v>100</v>
      </c>
      <c r="J136" s="402">
        <f t="shared" si="28"/>
        <v>0</v>
      </c>
      <c r="K136" s="402">
        <f t="shared" si="27"/>
        <v>0</v>
      </c>
      <c r="L136" s="147"/>
      <c r="M136" s="878"/>
      <c r="N136" s="389"/>
      <c r="O136" s="647"/>
    </row>
    <row r="137" spans="1:15" s="621" customFormat="1" ht="20.100000000000001" customHeight="1" x14ac:dyDescent="0.25">
      <c r="A137" s="634" t="s">
        <v>223</v>
      </c>
      <c r="B137" s="400"/>
      <c r="C137" s="399" t="s">
        <v>844</v>
      </c>
      <c r="D137" s="401">
        <v>181828.84</v>
      </c>
      <c r="E137" s="632"/>
      <c r="F137" s="632">
        <v>552.6</v>
      </c>
      <c r="G137" s="631">
        <f t="shared" si="25"/>
        <v>181276.24</v>
      </c>
      <c r="H137" s="633">
        <v>181609.68</v>
      </c>
      <c r="I137" s="383">
        <v>100</v>
      </c>
      <c r="J137" s="402">
        <v>0</v>
      </c>
      <c r="K137" s="402">
        <f t="shared" si="27"/>
        <v>0</v>
      </c>
      <c r="L137" s="147"/>
      <c r="M137" s="878"/>
      <c r="N137" s="389"/>
      <c r="O137" s="647"/>
    </row>
    <row r="138" spans="1:15" s="621" customFormat="1" ht="20.100000000000001" customHeight="1" x14ac:dyDescent="0.25">
      <c r="A138" s="471" t="s">
        <v>224</v>
      </c>
      <c r="B138" s="400"/>
      <c r="C138" s="399" t="s">
        <v>838</v>
      </c>
      <c r="D138" s="401">
        <v>337360.74</v>
      </c>
      <c r="E138" s="632"/>
      <c r="F138" s="386">
        <v>18390.53</v>
      </c>
      <c r="G138" s="631">
        <f t="shared" si="25"/>
        <v>318970.20999999996</v>
      </c>
      <c r="H138" s="633">
        <v>318970.21000000002</v>
      </c>
      <c r="I138" s="383">
        <f t="shared" si="26"/>
        <v>100.00000000000003</v>
      </c>
      <c r="J138" s="402">
        <f t="shared" si="28"/>
        <v>0</v>
      </c>
      <c r="K138" s="402">
        <f t="shared" si="27"/>
        <v>0</v>
      </c>
      <c r="L138" s="147"/>
      <c r="M138" s="878"/>
      <c r="N138" s="389"/>
      <c r="O138" s="647"/>
    </row>
    <row r="139" spans="1:15" s="621" customFormat="1" ht="20.100000000000001" customHeight="1" x14ac:dyDescent="0.25">
      <c r="A139" s="471" t="s">
        <v>225</v>
      </c>
      <c r="B139" s="400"/>
      <c r="C139" s="399" t="s">
        <v>843</v>
      </c>
      <c r="D139" s="401">
        <v>894132</v>
      </c>
      <c r="E139" s="632"/>
      <c r="F139" s="636">
        <v>54825.56</v>
      </c>
      <c r="G139" s="631">
        <f t="shared" si="25"/>
        <v>839306.44</v>
      </c>
      <c r="H139" s="633">
        <v>839306.44</v>
      </c>
      <c r="I139" s="383">
        <f t="shared" si="26"/>
        <v>100</v>
      </c>
      <c r="J139" s="402">
        <f t="shared" si="28"/>
        <v>0</v>
      </c>
      <c r="K139" s="402">
        <f t="shared" si="27"/>
        <v>0</v>
      </c>
      <c r="L139" s="147"/>
      <c r="M139" s="878"/>
      <c r="N139" s="389"/>
      <c r="O139" s="647"/>
    </row>
    <row r="140" spans="1:15" s="621" customFormat="1" ht="20.100000000000001" customHeight="1" thickBot="1" x14ac:dyDescent="0.3">
      <c r="A140" s="472" t="s">
        <v>226</v>
      </c>
      <c r="B140" s="416"/>
      <c r="C140" s="404" t="s">
        <v>845</v>
      </c>
      <c r="D140" s="473">
        <v>135501.46</v>
      </c>
      <c r="E140" s="636"/>
      <c r="F140" s="417">
        <v>3673.46</v>
      </c>
      <c r="G140" s="635">
        <f t="shared" si="25"/>
        <v>131828</v>
      </c>
      <c r="H140" s="198">
        <v>131828</v>
      </c>
      <c r="I140" s="383">
        <f t="shared" si="26"/>
        <v>100</v>
      </c>
      <c r="J140" s="402">
        <f t="shared" si="28"/>
        <v>0</v>
      </c>
      <c r="K140" s="652">
        <f t="shared" si="27"/>
        <v>0</v>
      </c>
      <c r="L140" s="147"/>
      <c r="M140" s="878"/>
      <c r="N140" s="389"/>
      <c r="O140" s="647"/>
    </row>
    <row r="141" spans="1:15" s="358" customFormat="1" ht="20.100000000000001" customHeight="1" thickTop="1" thickBot="1" x14ac:dyDescent="0.3">
      <c r="A141" s="467" t="s">
        <v>36</v>
      </c>
      <c r="B141" s="468">
        <f>SUM(B130:B140)</f>
        <v>603744.47</v>
      </c>
      <c r="C141" s="469"/>
      <c r="D141" s="468">
        <f>SUM(D130:D140)</f>
        <v>29322342.260000002</v>
      </c>
      <c r="E141" s="470"/>
      <c r="F141" s="470">
        <f>SUM(F130:F140)</f>
        <v>1280196.23</v>
      </c>
      <c r="G141" s="468">
        <f>SUM(G130:G140)</f>
        <v>28645890.5</v>
      </c>
      <c r="H141" s="420">
        <f>SUM(H130:H140)</f>
        <v>28560208.34</v>
      </c>
      <c r="I141" s="465">
        <f>H141/G141*100</f>
        <v>99.700891965638135</v>
      </c>
      <c r="J141" s="466">
        <f>SUM(J130:J140)</f>
        <v>86015.60000000149</v>
      </c>
      <c r="K141" s="466">
        <f>J141/G141*100</f>
        <v>0.30027204076620168</v>
      </c>
      <c r="L141" s="643"/>
      <c r="M141" s="879"/>
      <c r="N141" s="125"/>
      <c r="O141" s="126"/>
    </row>
    <row r="142" spans="1:15" s="621" customFormat="1" ht="20.100000000000001" customHeight="1" thickTop="1" x14ac:dyDescent="0.25">
      <c r="A142" s="360"/>
      <c r="B142" s="361"/>
      <c r="C142" s="369"/>
      <c r="D142" s="361"/>
      <c r="E142" s="362"/>
      <c r="F142" s="362"/>
      <c r="G142" s="361"/>
      <c r="H142" s="365"/>
      <c r="I142" s="396"/>
      <c r="J142" s="396"/>
      <c r="K142" s="397"/>
      <c r="L142" s="622"/>
      <c r="M142" s="878"/>
      <c r="N142" s="389"/>
      <c r="O142" s="647"/>
    </row>
    <row r="143" spans="1:15" s="621" customFormat="1" ht="20.100000000000001" customHeight="1" x14ac:dyDescent="0.25">
      <c r="A143" s="641" t="s">
        <v>37</v>
      </c>
      <c r="B143" s="364"/>
      <c r="C143" s="398"/>
      <c r="D143" s="387"/>
      <c r="E143" s="622"/>
      <c r="F143" s="622"/>
      <c r="G143" s="387"/>
      <c r="H143" s="387"/>
      <c r="I143" s="649"/>
      <c r="J143" s="649"/>
      <c r="K143" s="647"/>
      <c r="L143" s="622"/>
      <c r="M143" s="878"/>
      <c r="N143" s="389"/>
      <c r="O143" s="647"/>
    </row>
    <row r="144" spans="1:15" s="621" customFormat="1" ht="20.100000000000001" customHeight="1" x14ac:dyDescent="0.25">
      <c r="A144" s="642"/>
      <c r="B144" s="621" t="s">
        <v>228</v>
      </c>
      <c r="C144" s="622">
        <v>86015.6</v>
      </c>
      <c r="D144" s="622" t="s">
        <v>55</v>
      </c>
      <c r="E144" s="622" t="s">
        <v>769</v>
      </c>
      <c r="F144" s="622"/>
      <c r="G144" s="627"/>
      <c r="H144" s="387"/>
      <c r="I144" s="649"/>
      <c r="J144" s="646"/>
      <c r="K144" s="646"/>
      <c r="L144" s="622"/>
      <c r="M144" s="878"/>
      <c r="N144" s="389"/>
      <c r="O144" s="647"/>
    </row>
    <row r="145" spans="1:15" s="621" customFormat="1" ht="20.100000000000001" customHeight="1" thickBot="1" x14ac:dyDescent="0.3">
      <c r="A145" s="387"/>
      <c r="B145" s="387"/>
      <c r="C145" s="189">
        <f>SUM(C144:C144)</f>
        <v>86015.6</v>
      </c>
      <c r="D145" s="643" t="s">
        <v>55</v>
      </c>
      <c r="E145" s="622"/>
      <c r="F145" s="622"/>
      <c r="G145" s="627"/>
      <c r="H145" s="628"/>
      <c r="I145" s="649"/>
      <c r="J145" s="646"/>
      <c r="K145" s="646"/>
      <c r="L145" s="622"/>
      <c r="M145" s="878"/>
      <c r="N145" s="389"/>
      <c r="O145" s="647"/>
    </row>
    <row r="146" spans="1:15" ht="20.100000000000001" customHeight="1" thickTop="1" x14ac:dyDescent="0.25">
      <c r="A146" s="358"/>
      <c r="B146" s="355"/>
      <c r="C146" s="147"/>
      <c r="D146" s="357"/>
      <c r="E146" s="68"/>
      <c r="F146" s="68"/>
      <c r="G146" s="357"/>
      <c r="H146" s="57"/>
      <c r="I146" s="384"/>
      <c r="J146" s="149"/>
      <c r="K146" s="149"/>
      <c r="L146" s="357"/>
      <c r="N146" s="389"/>
      <c r="O146" s="368"/>
    </row>
    <row r="147" spans="1:15" s="621" customFormat="1" ht="20.100000000000001" customHeight="1" x14ac:dyDescent="0.25">
      <c r="A147" s="226"/>
      <c r="B147" s="366"/>
      <c r="C147" s="366" t="s">
        <v>981</v>
      </c>
      <c r="D147" s="622"/>
      <c r="E147" s="622"/>
      <c r="F147" s="622"/>
      <c r="G147" s="622"/>
      <c r="H147" s="627"/>
      <c r="I147" s="403"/>
      <c r="J147" s="388"/>
      <c r="K147" s="647"/>
      <c r="L147" s="622"/>
      <c r="M147" s="878"/>
      <c r="N147" s="389"/>
      <c r="O147" s="647"/>
    </row>
    <row r="148" spans="1:15" s="621" customFormat="1" ht="48.75" customHeight="1" thickBot="1" x14ac:dyDescent="0.3">
      <c r="A148" s="390" t="s">
        <v>696</v>
      </c>
      <c r="B148" s="391" t="s">
        <v>14</v>
      </c>
      <c r="C148" s="390" t="s">
        <v>15</v>
      </c>
      <c r="D148" s="392" t="s">
        <v>16</v>
      </c>
      <c r="E148" s="392" t="s">
        <v>17</v>
      </c>
      <c r="F148" s="392" t="s">
        <v>18</v>
      </c>
      <c r="G148" s="391" t="s">
        <v>19</v>
      </c>
      <c r="H148" s="393" t="s">
        <v>20</v>
      </c>
      <c r="I148" s="394" t="s">
        <v>21</v>
      </c>
      <c r="J148" s="394" t="s">
        <v>22</v>
      </c>
      <c r="K148" s="395" t="s">
        <v>23</v>
      </c>
      <c r="L148" s="622"/>
      <c r="M148" s="878"/>
      <c r="N148" s="389"/>
      <c r="O148" s="647"/>
    </row>
    <row r="149" spans="1:15" s="621" customFormat="1" ht="20.100000000000001" customHeight="1" x14ac:dyDescent="0.25">
      <c r="A149" s="630" t="s">
        <v>216</v>
      </c>
      <c r="B149" s="377"/>
      <c r="C149" s="399" t="s">
        <v>982</v>
      </c>
      <c r="D149" s="631">
        <v>527466.63</v>
      </c>
      <c r="E149" s="632"/>
      <c r="F149" s="632">
        <v>708.69</v>
      </c>
      <c r="G149" s="631">
        <f>B149+D149-E149-F149</f>
        <v>526757.94000000006</v>
      </c>
      <c r="H149" s="633">
        <v>526757.93999999994</v>
      </c>
      <c r="I149" s="383">
        <f>H149/G149*100</f>
        <v>99.999999999999972</v>
      </c>
      <c r="J149" s="402">
        <f>G149-H149</f>
        <v>0</v>
      </c>
      <c r="K149" s="651">
        <f>J149/G149*100</f>
        <v>0</v>
      </c>
      <c r="L149" s="147"/>
      <c r="M149" s="878"/>
      <c r="N149" s="389"/>
      <c r="O149" s="647"/>
    </row>
    <row r="150" spans="1:15" s="621" customFormat="1" ht="20.100000000000001" customHeight="1" x14ac:dyDescent="0.25">
      <c r="A150" s="630" t="s">
        <v>217</v>
      </c>
      <c r="B150" s="377"/>
      <c r="C150" s="399" t="s">
        <v>983</v>
      </c>
      <c r="D150" s="631">
        <v>44084</v>
      </c>
      <c r="E150" s="632"/>
      <c r="F150" s="632">
        <v>505.17</v>
      </c>
      <c r="G150" s="631">
        <f t="shared" ref="G150:G159" si="29">B150+D150-E150-F150</f>
        <v>43578.83</v>
      </c>
      <c r="H150" s="633">
        <v>43578.83</v>
      </c>
      <c r="I150" s="383">
        <f t="shared" ref="I150:I155" si="30">H150/G150*100</f>
        <v>100</v>
      </c>
      <c r="J150" s="402">
        <f>G150-H150</f>
        <v>0</v>
      </c>
      <c r="K150" s="402">
        <f t="shared" ref="K150:K159" si="31">J150/G150*100</f>
        <v>0</v>
      </c>
      <c r="L150" s="147"/>
      <c r="M150" s="878"/>
      <c r="N150" s="389"/>
      <c r="O150" s="647"/>
    </row>
    <row r="151" spans="1:15" s="621" customFormat="1" ht="20.100000000000001" customHeight="1" x14ac:dyDescent="0.25">
      <c r="A151" s="630" t="s">
        <v>218</v>
      </c>
      <c r="B151" s="377"/>
      <c r="C151" s="399" t="s">
        <v>982</v>
      </c>
      <c r="D151" s="631">
        <v>122680.85</v>
      </c>
      <c r="E151" s="632"/>
      <c r="F151" s="632">
        <v>480.61</v>
      </c>
      <c r="G151" s="631">
        <f t="shared" si="29"/>
        <v>122200.24</v>
      </c>
      <c r="H151" s="633">
        <v>122200.24</v>
      </c>
      <c r="I151" s="383">
        <f t="shared" si="30"/>
        <v>100</v>
      </c>
      <c r="J151" s="402">
        <f t="shared" ref="J151:J155" si="32">G151-H151</f>
        <v>0</v>
      </c>
      <c r="K151" s="402">
        <f t="shared" si="31"/>
        <v>0</v>
      </c>
      <c r="L151" s="147"/>
      <c r="M151" s="878"/>
      <c r="N151" s="389"/>
      <c r="O151" s="647"/>
    </row>
    <row r="152" spans="1:15" s="621" customFormat="1" ht="20.100000000000001" customHeight="1" x14ac:dyDescent="0.25">
      <c r="A152" s="380" t="s">
        <v>219</v>
      </c>
      <c r="B152" s="377">
        <v>86015.6</v>
      </c>
      <c r="C152" s="399" t="s">
        <v>984</v>
      </c>
      <c r="D152" s="631">
        <v>32067844</v>
      </c>
      <c r="E152" s="632"/>
      <c r="F152" s="632">
        <v>828085.04</v>
      </c>
      <c r="G152" s="631">
        <f t="shared" si="29"/>
        <v>31325774.560000002</v>
      </c>
      <c r="H152" s="633">
        <v>31325774.559999999</v>
      </c>
      <c r="I152" s="383">
        <f t="shared" si="30"/>
        <v>99.999999999999986</v>
      </c>
      <c r="J152" s="402">
        <f t="shared" si="32"/>
        <v>0</v>
      </c>
      <c r="K152" s="402">
        <f t="shared" si="31"/>
        <v>0</v>
      </c>
      <c r="L152" s="147"/>
      <c r="M152" s="878"/>
      <c r="N152" s="389"/>
      <c r="O152" s="647"/>
    </row>
    <row r="153" spans="1:15" s="621" customFormat="1" ht="20.100000000000001" customHeight="1" x14ac:dyDescent="0.25">
      <c r="A153" s="379" t="s">
        <v>220</v>
      </c>
      <c r="B153" s="400"/>
      <c r="C153" s="399" t="s">
        <v>982</v>
      </c>
      <c r="D153" s="631">
        <v>330940.90000000002</v>
      </c>
      <c r="E153" s="632"/>
      <c r="F153" s="632">
        <v>1831.95</v>
      </c>
      <c r="G153" s="631">
        <f t="shared" si="29"/>
        <v>329108.95</v>
      </c>
      <c r="H153" s="633">
        <v>329108.95</v>
      </c>
      <c r="I153" s="383">
        <f t="shared" si="30"/>
        <v>100</v>
      </c>
      <c r="J153" s="402">
        <f t="shared" si="32"/>
        <v>0</v>
      </c>
      <c r="K153" s="402">
        <f t="shared" si="31"/>
        <v>0</v>
      </c>
      <c r="L153" s="147"/>
      <c r="M153" s="878"/>
      <c r="N153" s="389"/>
      <c r="O153" s="647"/>
    </row>
    <row r="154" spans="1:15" s="621" customFormat="1" ht="20.100000000000001" customHeight="1" x14ac:dyDescent="0.25">
      <c r="A154" s="379" t="s">
        <v>221</v>
      </c>
      <c r="B154" s="400"/>
      <c r="C154" s="399" t="s">
        <v>985</v>
      </c>
      <c r="D154" s="631">
        <v>40221.550000000003</v>
      </c>
      <c r="E154" s="632"/>
      <c r="F154" s="632">
        <v>8665.91</v>
      </c>
      <c r="G154" s="631">
        <f t="shared" si="29"/>
        <v>31555.640000000003</v>
      </c>
      <c r="H154" s="633">
        <v>31555.64</v>
      </c>
      <c r="I154" s="383">
        <f t="shared" si="30"/>
        <v>99.999999999999986</v>
      </c>
      <c r="J154" s="402">
        <f t="shared" si="32"/>
        <v>0</v>
      </c>
      <c r="K154" s="402">
        <f t="shared" si="31"/>
        <v>0</v>
      </c>
      <c r="L154" s="147"/>
      <c r="M154" s="878"/>
      <c r="N154" s="389"/>
      <c r="O154" s="647"/>
    </row>
    <row r="155" spans="1:15" s="621" customFormat="1" ht="20.100000000000001" customHeight="1" x14ac:dyDescent="0.25">
      <c r="A155" s="379" t="s">
        <v>222</v>
      </c>
      <c r="B155" s="400"/>
      <c r="C155" s="399" t="s">
        <v>986</v>
      </c>
      <c r="D155" s="401">
        <v>203686.03</v>
      </c>
      <c r="E155" s="632"/>
      <c r="F155" s="632">
        <v>7217.87</v>
      </c>
      <c r="G155" s="631">
        <f t="shared" si="29"/>
        <v>196468.16</v>
      </c>
      <c r="H155" s="633">
        <v>196468.16</v>
      </c>
      <c r="I155" s="383">
        <f t="shared" si="30"/>
        <v>100</v>
      </c>
      <c r="J155" s="402">
        <f t="shared" si="32"/>
        <v>0</v>
      </c>
      <c r="K155" s="402">
        <f t="shared" si="31"/>
        <v>0</v>
      </c>
      <c r="L155" s="147"/>
      <c r="M155" s="878"/>
      <c r="N155" s="389"/>
      <c r="O155" s="647"/>
    </row>
    <row r="156" spans="1:15" s="621" customFormat="1" ht="20.100000000000001" customHeight="1" x14ac:dyDescent="0.25">
      <c r="A156" s="634" t="s">
        <v>223</v>
      </c>
      <c r="B156" s="400"/>
      <c r="C156" s="399" t="s">
        <v>986</v>
      </c>
      <c r="D156" s="401">
        <v>115963.22</v>
      </c>
      <c r="E156" s="632"/>
      <c r="F156" s="632">
        <v>148.21</v>
      </c>
      <c r="G156" s="631">
        <f t="shared" si="29"/>
        <v>115815.01</v>
      </c>
      <c r="H156" s="633">
        <v>119112.4</v>
      </c>
      <c r="I156" s="383">
        <v>100</v>
      </c>
      <c r="J156" s="402">
        <v>0</v>
      </c>
      <c r="K156" s="402">
        <f t="shared" si="31"/>
        <v>0</v>
      </c>
      <c r="L156" s="147"/>
      <c r="M156" s="878"/>
      <c r="N156" s="389"/>
      <c r="O156" s="647"/>
    </row>
    <row r="157" spans="1:15" s="621" customFormat="1" ht="20.100000000000001" customHeight="1" x14ac:dyDescent="0.25">
      <c r="A157" s="471" t="s">
        <v>224</v>
      </c>
      <c r="B157" s="400"/>
      <c r="C157" s="399" t="s">
        <v>982</v>
      </c>
      <c r="D157" s="401">
        <v>301255.94</v>
      </c>
      <c r="E157" s="632"/>
      <c r="F157" s="386">
        <v>33209.199999999997</v>
      </c>
      <c r="G157" s="631">
        <f t="shared" si="29"/>
        <v>268046.74</v>
      </c>
      <c r="H157" s="633">
        <v>255194.46</v>
      </c>
      <c r="I157" s="383">
        <f t="shared" ref="I157:I159" si="33">H157/G157*100</f>
        <v>95.205209360128762</v>
      </c>
      <c r="J157" s="402">
        <f t="shared" ref="J157:J159" si="34">G157-H157</f>
        <v>12852.279999999999</v>
      </c>
      <c r="K157" s="402">
        <f t="shared" si="31"/>
        <v>4.7947906398712403</v>
      </c>
      <c r="L157" s="147"/>
      <c r="M157" s="878"/>
      <c r="N157" s="389"/>
      <c r="O157" s="647"/>
    </row>
    <row r="158" spans="1:15" s="621" customFormat="1" ht="20.100000000000001" customHeight="1" x14ac:dyDescent="0.25">
      <c r="A158" s="471" t="s">
        <v>225</v>
      </c>
      <c r="B158" s="400"/>
      <c r="C158" s="399" t="s">
        <v>986</v>
      </c>
      <c r="D158" s="401">
        <v>2263454.19</v>
      </c>
      <c r="E158" s="632"/>
      <c r="F158" s="636">
        <v>51005.18</v>
      </c>
      <c r="G158" s="631">
        <f t="shared" si="29"/>
        <v>2212449.0099999998</v>
      </c>
      <c r="H158" s="633">
        <v>2212449.0099999998</v>
      </c>
      <c r="I158" s="383">
        <f t="shared" si="33"/>
        <v>100</v>
      </c>
      <c r="J158" s="402">
        <f t="shared" si="34"/>
        <v>0</v>
      </c>
      <c r="K158" s="402">
        <f t="shared" si="31"/>
        <v>0</v>
      </c>
      <c r="L158" s="147"/>
      <c r="M158" s="878"/>
      <c r="N158" s="389"/>
      <c r="O158" s="647"/>
    </row>
    <row r="159" spans="1:15" s="621" customFormat="1" ht="20.100000000000001" customHeight="1" thickBot="1" x14ac:dyDescent="0.3">
      <c r="A159" s="472" t="s">
        <v>226</v>
      </c>
      <c r="B159" s="416"/>
      <c r="C159" s="404" t="s">
        <v>982</v>
      </c>
      <c r="D159" s="473">
        <v>216767</v>
      </c>
      <c r="E159" s="636"/>
      <c r="F159" s="417">
        <v>766.12</v>
      </c>
      <c r="G159" s="635">
        <f t="shared" si="29"/>
        <v>216000.88</v>
      </c>
      <c r="H159" s="198">
        <v>216000.88</v>
      </c>
      <c r="I159" s="383">
        <f t="shared" si="33"/>
        <v>100</v>
      </c>
      <c r="J159" s="402">
        <f t="shared" si="34"/>
        <v>0</v>
      </c>
      <c r="K159" s="652">
        <f t="shared" si="31"/>
        <v>0</v>
      </c>
      <c r="L159" s="147"/>
      <c r="M159" s="878"/>
      <c r="N159" s="389"/>
      <c r="O159" s="647"/>
    </row>
    <row r="160" spans="1:15" s="358" customFormat="1" ht="20.100000000000001" customHeight="1" thickTop="1" thickBot="1" x14ac:dyDescent="0.3">
      <c r="A160" s="467" t="s">
        <v>36</v>
      </c>
      <c r="B160" s="468">
        <f>SUM(B149:B159)</f>
        <v>86015.6</v>
      </c>
      <c r="C160" s="469"/>
      <c r="D160" s="468">
        <f>SUM(D149:D159)</f>
        <v>36234364.309999995</v>
      </c>
      <c r="E160" s="470"/>
      <c r="F160" s="470">
        <f>SUM(F149:F159)</f>
        <v>932623.95</v>
      </c>
      <c r="G160" s="468">
        <f>SUM(G149:G159)</f>
        <v>35387755.960000008</v>
      </c>
      <c r="H160" s="420">
        <f>SUM(H149:H159)</f>
        <v>35378201.07</v>
      </c>
      <c r="I160" s="465">
        <f>H160/G160*100</f>
        <v>99.972999446444675</v>
      </c>
      <c r="J160" s="466">
        <f>SUM(J149:J159)</f>
        <v>12852.279999999999</v>
      </c>
      <c r="K160" s="466">
        <f>J160/G160*100</f>
        <v>3.6318437412441104E-2</v>
      </c>
      <c r="L160" s="643"/>
      <c r="M160" s="879"/>
      <c r="N160" s="125"/>
      <c r="O160" s="126"/>
    </row>
    <row r="161" spans="1:15" s="621" customFormat="1" ht="20.100000000000001" customHeight="1" thickTop="1" x14ac:dyDescent="0.25">
      <c r="A161" s="360"/>
      <c r="B161" s="361"/>
      <c r="C161" s="369"/>
      <c r="D161" s="361"/>
      <c r="E161" s="362"/>
      <c r="F161" s="362"/>
      <c r="G161" s="361"/>
      <c r="H161" s="365"/>
      <c r="I161" s="396"/>
      <c r="J161" s="396"/>
      <c r="K161" s="397"/>
      <c r="L161" s="622"/>
      <c r="M161" s="878"/>
      <c r="N161" s="389"/>
      <c r="O161" s="647"/>
    </row>
    <row r="162" spans="1:15" s="621" customFormat="1" ht="20.100000000000001" customHeight="1" x14ac:dyDescent="0.25">
      <c r="A162" s="641" t="s">
        <v>37</v>
      </c>
      <c r="B162" s="364"/>
      <c r="C162" s="398"/>
      <c r="D162" s="387"/>
      <c r="E162" s="622"/>
      <c r="F162" s="622"/>
      <c r="G162" s="387"/>
      <c r="H162" s="387"/>
      <c r="I162" s="649"/>
      <c r="J162" s="649"/>
      <c r="K162" s="647"/>
      <c r="L162" s="622"/>
      <c r="M162" s="878"/>
      <c r="N162" s="389"/>
      <c r="O162" s="647"/>
    </row>
    <row r="163" spans="1:15" s="621" customFormat="1" ht="20.100000000000001" customHeight="1" x14ac:dyDescent="0.25">
      <c r="A163" s="642"/>
      <c r="B163" s="621" t="s">
        <v>987</v>
      </c>
      <c r="C163" s="622">
        <v>12852.28</v>
      </c>
      <c r="D163" s="622" t="s">
        <v>55</v>
      </c>
      <c r="E163" s="622" t="s">
        <v>769</v>
      </c>
      <c r="F163" s="622"/>
      <c r="G163" s="627"/>
      <c r="H163" s="387"/>
      <c r="I163" s="649"/>
      <c r="J163" s="646"/>
      <c r="K163" s="646"/>
      <c r="L163" s="622"/>
      <c r="M163" s="878"/>
      <c r="N163" s="389"/>
      <c r="O163" s="647"/>
    </row>
    <row r="164" spans="1:15" s="621" customFormat="1" ht="20.100000000000001" customHeight="1" thickBot="1" x14ac:dyDescent="0.3">
      <c r="A164" s="387"/>
      <c r="B164" s="387"/>
      <c r="C164" s="189">
        <f>SUM(C163:C163)</f>
        <v>12852.28</v>
      </c>
      <c r="D164" s="643" t="s">
        <v>55</v>
      </c>
      <c r="E164" s="622"/>
      <c r="F164" s="622"/>
      <c r="G164" s="627"/>
      <c r="H164" s="628"/>
      <c r="I164" s="649"/>
      <c r="J164" s="646"/>
      <c r="K164" s="646"/>
      <c r="L164" s="622"/>
      <c r="M164" s="878"/>
      <c r="N164" s="389"/>
      <c r="O164" s="647"/>
    </row>
    <row r="165" spans="1:15" s="621" customFormat="1" ht="20.100000000000001" customHeight="1" thickTop="1" x14ac:dyDescent="0.25">
      <c r="A165" s="358"/>
      <c r="B165" s="627"/>
      <c r="C165" s="147"/>
      <c r="D165" s="622"/>
      <c r="E165" s="68"/>
      <c r="F165" s="68"/>
      <c r="G165" s="622"/>
      <c r="H165" s="57"/>
      <c r="I165" s="649"/>
      <c r="J165" s="149"/>
      <c r="K165" s="149"/>
      <c r="L165" s="622"/>
      <c r="M165" s="803"/>
      <c r="N165" s="389"/>
      <c r="O165" s="647"/>
    </row>
    <row r="166" spans="1:15" ht="20.100000000000001" customHeight="1" x14ac:dyDescent="0.25">
      <c r="C166" s="370"/>
      <c r="D166" s="370"/>
      <c r="E166" s="357"/>
      <c r="F166" s="357"/>
      <c r="G166" s="355"/>
      <c r="H166" s="356"/>
      <c r="I166" s="384"/>
      <c r="J166" s="371"/>
      <c r="K166" s="371"/>
      <c r="L166" s="357"/>
      <c r="N166" s="389"/>
      <c r="O166" s="368"/>
    </row>
    <row r="167" spans="1:15" s="781" customFormat="1" ht="20.100000000000001" customHeight="1" x14ac:dyDescent="0.25">
      <c r="A167" s="226"/>
      <c r="B167" s="366"/>
      <c r="C167" s="366" t="s">
        <v>1128</v>
      </c>
      <c r="D167" s="780"/>
      <c r="E167" s="780"/>
      <c r="F167" s="780"/>
      <c r="G167" s="780"/>
      <c r="H167" s="797"/>
      <c r="I167" s="403"/>
      <c r="J167" s="388"/>
      <c r="K167" s="803"/>
      <c r="L167" s="780"/>
      <c r="M167" s="878"/>
      <c r="N167" s="389"/>
      <c r="O167" s="803"/>
    </row>
    <row r="168" spans="1:15" s="781" customFormat="1" ht="48.75" customHeight="1" thickBot="1" x14ac:dyDescent="0.3">
      <c r="A168" s="390" t="s">
        <v>800</v>
      </c>
      <c r="B168" s="391" t="s">
        <v>14</v>
      </c>
      <c r="C168" s="390" t="s">
        <v>15</v>
      </c>
      <c r="D168" s="392" t="s">
        <v>16</v>
      </c>
      <c r="E168" s="392" t="s">
        <v>17</v>
      </c>
      <c r="F168" s="392" t="s">
        <v>18</v>
      </c>
      <c r="G168" s="391" t="s">
        <v>19</v>
      </c>
      <c r="H168" s="393" t="s">
        <v>20</v>
      </c>
      <c r="I168" s="394" t="s">
        <v>21</v>
      </c>
      <c r="J168" s="394" t="s">
        <v>22</v>
      </c>
      <c r="K168" s="395" t="s">
        <v>23</v>
      </c>
      <c r="L168" s="780"/>
      <c r="M168" s="878"/>
      <c r="N168" s="389"/>
      <c r="O168" s="803"/>
    </row>
    <row r="169" spans="1:15" s="781" customFormat="1" ht="20.100000000000001" customHeight="1" x14ac:dyDescent="0.25">
      <c r="A169" s="786" t="s">
        <v>216</v>
      </c>
      <c r="B169" s="377"/>
      <c r="C169" s="399" t="s">
        <v>1134</v>
      </c>
      <c r="D169" s="787">
        <v>205111.63</v>
      </c>
      <c r="E169" s="788"/>
      <c r="F169" s="788">
        <v>592.34100000000001</v>
      </c>
      <c r="G169" s="787">
        <f>B169+D169-E169-F169</f>
        <v>204519.28900000002</v>
      </c>
      <c r="H169" s="789">
        <v>204519.29</v>
      </c>
      <c r="I169" s="383">
        <f>H169/G169*100</f>
        <v>100.00000048895143</v>
      </c>
      <c r="J169" s="402">
        <f>G169-H169</f>
        <v>-9.9999998928979039E-4</v>
      </c>
      <c r="K169" s="651">
        <f>J169/G169*100</f>
        <v>-4.8895143053709247E-7</v>
      </c>
      <c r="L169" s="147"/>
      <c r="M169" s="878"/>
      <c r="N169" s="389"/>
      <c r="O169" s="803"/>
    </row>
    <row r="170" spans="1:15" s="781" customFormat="1" ht="20.100000000000001" customHeight="1" x14ac:dyDescent="0.25">
      <c r="A170" s="786" t="s">
        <v>217</v>
      </c>
      <c r="B170" s="377"/>
      <c r="C170" s="399" t="s">
        <v>1130</v>
      </c>
      <c r="D170" s="787">
        <v>26450.400000000001</v>
      </c>
      <c r="E170" s="788"/>
      <c r="F170" s="788">
        <v>0</v>
      </c>
      <c r="G170" s="787">
        <f t="shared" ref="G170:G179" si="35">B170+D170-E170-F170</f>
        <v>26450.400000000001</v>
      </c>
      <c r="H170" s="789">
        <v>26450.400000000001</v>
      </c>
      <c r="I170" s="383">
        <f t="shared" ref="I170:I175" si="36">H170/G170*100</f>
        <v>100</v>
      </c>
      <c r="J170" s="402">
        <f>G170-H170</f>
        <v>0</v>
      </c>
      <c r="K170" s="402">
        <f t="shared" ref="K170:K179" si="37">J170/G170*100</f>
        <v>0</v>
      </c>
      <c r="L170" s="147"/>
      <c r="M170" s="878"/>
      <c r="N170" s="389"/>
      <c r="O170" s="803"/>
    </row>
    <row r="171" spans="1:15" s="781" customFormat="1" ht="20.100000000000001" customHeight="1" x14ac:dyDescent="0.25">
      <c r="A171" s="786" t="s">
        <v>218</v>
      </c>
      <c r="B171" s="377"/>
      <c r="C171" s="399" t="s">
        <v>1133</v>
      </c>
      <c r="D171" s="787">
        <v>88768.07</v>
      </c>
      <c r="E171" s="788"/>
      <c r="F171" s="788">
        <v>2118.6</v>
      </c>
      <c r="G171" s="787">
        <f t="shared" si="35"/>
        <v>86649.47</v>
      </c>
      <c r="H171" s="789">
        <v>86649.47</v>
      </c>
      <c r="I171" s="383">
        <f t="shared" si="36"/>
        <v>100</v>
      </c>
      <c r="J171" s="402">
        <f t="shared" ref="J171:J175" si="38">G171-H171</f>
        <v>0</v>
      </c>
      <c r="K171" s="402">
        <f t="shared" si="37"/>
        <v>0</v>
      </c>
      <c r="L171" s="147"/>
      <c r="M171" s="878"/>
      <c r="N171" s="389"/>
      <c r="O171" s="803"/>
    </row>
    <row r="172" spans="1:15" s="781" customFormat="1" ht="20.100000000000001" customHeight="1" x14ac:dyDescent="0.25">
      <c r="A172" s="380" t="s">
        <v>219</v>
      </c>
      <c r="B172" s="377"/>
      <c r="C172" s="399" t="s">
        <v>1131</v>
      </c>
      <c r="D172" s="787">
        <v>22472263.780000001</v>
      </c>
      <c r="E172" s="788"/>
      <c r="F172" s="788">
        <v>912118.69</v>
      </c>
      <c r="G172" s="787">
        <f t="shared" si="35"/>
        <v>21560145.09</v>
      </c>
      <c r="H172" s="789">
        <v>21503148.510000002</v>
      </c>
      <c r="I172" s="383">
        <f t="shared" si="36"/>
        <v>99.735639163085068</v>
      </c>
      <c r="J172" s="402">
        <f t="shared" si="38"/>
        <v>56996.579999998212</v>
      </c>
      <c r="K172" s="402">
        <f t="shared" si="37"/>
        <v>0.26436083691493473</v>
      </c>
      <c r="L172" s="147"/>
      <c r="M172" s="878"/>
      <c r="N172" s="389"/>
      <c r="O172" s="803"/>
    </row>
    <row r="173" spans="1:15" s="781" customFormat="1" ht="20.100000000000001" customHeight="1" x14ac:dyDescent="0.25">
      <c r="A173" s="379" t="s">
        <v>220</v>
      </c>
      <c r="B173" s="400"/>
      <c r="C173" s="399" t="s">
        <v>1134</v>
      </c>
      <c r="D173" s="787">
        <v>365812.53</v>
      </c>
      <c r="E173" s="788"/>
      <c r="F173" s="788">
        <v>1772.91</v>
      </c>
      <c r="G173" s="787">
        <f t="shared" si="35"/>
        <v>364039.62000000005</v>
      </c>
      <c r="H173" s="789">
        <v>364039.62</v>
      </c>
      <c r="I173" s="383">
        <f t="shared" si="36"/>
        <v>99.999999999999986</v>
      </c>
      <c r="J173" s="402">
        <f t="shared" si="38"/>
        <v>0</v>
      </c>
      <c r="K173" s="402">
        <f t="shared" si="37"/>
        <v>0</v>
      </c>
      <c r="L173" s="147"/>
      <c r="M173" s="878"/>
      <c r="N173" s="389"/>
      <c r="O173" s="803"/>
    </row>
    <row r="174" spans="1:15" s="781" customFormat="1" ht="20.100000000000001" customHeight="1" x14ac:dyDescent="0.25">
      <c r="A174" s="379" t="s">
        <v>221</v>
      </c>
      <c r="B174" s="400"/>
      <c r="C174" s="399" t="s">
        <v>1135</v>
      </c>
      <c r="D174" s="787">
        <v>41367.33</v>
      </c>
      <c r="E174" s="788"/>
      <c r="F174" s="788">
        <v>1470.44</v>
      </c>
      <c r="G174" s="787">
        <f t="shared" si="35"/>
        <v>39896.89</v>
      </c>
      <c r="H174" s="789">
        <v>39896.89</v>
      </c>
      <c r="I174" s="383">
        <f t="shared" si="36"/>
        <v>100</v>
      </c>
      <c r="J174" s="402">
        <f t="shared" si="38"/>
        <v>0</v>
      </c>
      <c r="K174" s="402">
        <f t="shared" si="37"/>
        <v>0</v>
      </c>
      <c r="L174" s="147"/>
      <c r="M174" s="878"/>
      <c r="N174" s="389"/>
      <c r="O174" s="803"/>
    </row>
    <row r="175" spans="1:15" s="781" customFormat="1" ht="20.100000000000001" customHeight="1" x14ac:dyDescent="0.25">
      <c r="A175" s="379" t="s">
        <v>222</v>
      </c>
      <c r="B175" s="400"/>
      <c r="C175" s="399" t="s">
        <v>1129</v>
      </c>
      <c r="D175" s="401">
        <v>269378.03999999998</v>
      </c>
      <c r="E175" s="788"/>
      <c r="F175" s="788">
        <v>11472.45</v>
      </c>
      <c r="G175" s="787">
        <f t="shared" si="35"/>
        <v>257905.58999999997</v>
      </c>
      <c r="H175" s="789">
        <v>257905.59</v>
      </c>
      <c r="I175" s="383">
        <f t="shared" si="36"/>
        <v>100.00000000000003</v>
      </c>
      <c r="J175" s="402">
        <f t="shared" si="38"/>
        <v>0</v>
      </c>
      <c r="K175" s="402">
        <f t="shared" si="37"/>
        <v>0</v>
      </c>
      <c r="L175" s="147"/>
      <c r="M175" s="878"/>
      <c r="N175" s="389"/>
      <c r="O175" s="803"/>
    </row>
    <row r="176" spans="1:15" s="781" customFormat="1" ht="20.100000000000001" customHeight="1" x14ac:dyDescent="0.25">
      <c r="A176" s="790" t="s">
        <v>223</v>
      </c>
      <c r="B176" s="400"/>
      <c r="C176" s="399" t="s">
        <v>1132</v>
      </c>
      <c r="D176" s="401">
        <v>207943</v>
      </c>
      <c r="E176" s="788"/>
      <c r="F176" s="788">
        <v>237</v>
      </c>
      <c r="G176" s="787">
        <f t="shared" si="35"/>
        <v>207706</v>
      </c>
      <c r="H176" s="789">
        <v>124521.18</v>
      </c>
      <c r="I176" s="383">
        <v>100</v>
      </c>
      <c r="J176" s="402">
        <v>0</v>
      </c>
      <c r="K176" s="402">
        <f t="shared" si="37"/>
        <v>0</v>
      </c>
      <c r="L176" s="147"/>
      <c r="M176" s="878"/>
      <c r="N176" s="389"/>
      <c r="O176" s="803"/>
    </row>
    <row r="177" spans="1:15" s="781" customFormat="1" ht="20.100000000000001" customHeight="1" x14ac:dyDescent="0.25">
      <c r="A177" s="471" t="s">
        <v>224</v>
      </c>
      <c r="B177" s="400">
        <v>12852.28</v>
      </c>
      <c r="C177" s="399" t="s">
        <v>1195</v>
      </c>
      <c r="D177" s="401">
        <v>607603.47</v>
      </c>
      <c r="E177" s="788"/>
      <c r="F177" s="386">
        <v>43856.28</v>
      </c>
      <c r="G177" s="787">
        <f t="shared" si="35"/>
        <v>576599.47</v>
      </c>
      <c r="H177" s="789">
        <v>562082.65</v>
      </c>
      <c r="I177" s="383">
        <f t="shared" ref="I177:I179" si="39">H177/G177*100</f>
        <v>97.482338996947064</v>
      </c>
      <c r="J177" s="402">
        <f t="shared" ref="J177:J179" si="40">G177-H177</f>
        <v>14516.819999999949</v>
      </c>
      <c r="K177" s="402">
        <f t="shared" si="37"/>
        <v>2.5176610030529423</v>
      </c>
      <c r="L177" s="147"/>
      <c r="M177" s="878"/>
      <c r="N177" s="389"/>
      <c r="O177" s="803"/>
    </row>
    <row r="178" spans="1:15" s="781" customFormat="1" ht="20.100000000000001" customHeight="1" x14ac:dyDescent="0.25">
      <c r="A178" s="471" t="s">
        <v>225</v>
      </c>
      <c r="B178" s="400"/>
      <c r="C178" s="399" t="s">
        <v>1192</v>
      </c>
      <c r="D178" s="401">
        <v>580943.93000000005</v>
      </c>
      <c r="E178" s="788"/>
      <c r="F178" s="811">
        <v>29326.66</v>
      </c>
      <c r="G178" s="787">
        <f t="shared" si="35"/>
        <v>551617.27</v>
      </c>
      <c r="H178" s="789">
        <v>551617.27</v>
      </c>
      <c r="I178" s="383">
        <f t="shared" si="39"/>
        <v>100</v>
      </c>
      <c r="J178" s="402">
        <f t="shared" si="40"/>
        <v>0</v>
      </c>
      <c r="K178" s="402">
        <f t="shared" si="37"/>
        <v>0</v>
      </c>
      <c r="L178" s="147"/>
      <c r="M178" s="878"/>
      <c r="N178" s="389"/>
      <c r="O178" s="803"/>
    </row>
    <row r="179" spans="1:15" s="781" customFormat="1" ht="20.100000000000001" customHeight="1" thickBot="1" x14ac:dyDescent="0.3">
      <c r="A179" s="472" t="s">
        <v>226</v>
      </c>
      <c r="B179" s="416"/>
      <c r="C179" s="404" t="s">
        <v>1134</v>
      </c>
      <c r="D179" s="473">
        <v>188383.57</v>
      </c>
      <c r="E179" s="811"/>
      <c r="F179" s="417">
        <v>4637.13</v>
      </c>
      <c r="G179" s="791">
        <f t="shared" si="35"/>
        <v>183746.44</v>
      </c>
      <c r="H179" s="792">
        <v>183746.44</v>
      </c>
      <c r="I179" s="383">
        <f t="shared" si="39"/>
        <v>100</v>
      </c>
      <c r="J179" s="402">
        <f t="shared" si="40"/>
        <v>0</v>
      </c>
      <c r="K179" s="652">
        <f t="shared" si="37"/>
        <v>0</v>
      </c>
      <c r="L179" s="147"/>
      <c r="M179" s="878"/>
      <c r="N179" s="389"/>
      <c r="O179" s="803"/>
    </row>
    <row r="180" spans="1:15" s="358" customFormat="1" ht="20.100000000000001" customHeight="1" thickTop="1" thickBot="1" x14ac:dyDescent="0.3">
      <c r="A180" s="467" t="s">
        <v>36</v>
      </c>
      <c r="B180" s="468">
        <f>SUM(B169:B179)</f>
        <v>12852.28</v>
      </c>
      <c r="C180" s="469"/>
      <c r="D180" s="468">
        <f>SUM(D169:D179)</f>
        <v>25054025.75</v>
      </c>
      <c r="E180" s="470"/>
      <c r="F180" s="470">
        <f>SUM(F169:F179)</f>
        <v>1007602.5009999999</v>
      </c>
      <c r="G180" s="468">
        <f>SUM(G169:G179)</f>
        <v>24059275.528999999</v>
      </c>
      <c r="H180" s="420">
        <f>SUM(H169:H179)</f>
        <v>23904577.310000002</v>
      </c>
      <c r="I180" s="465">
        <f>H180/G180*100</f>
        <v>99.357012147711885</v>
      </c>
      <c r="J180" s="466">
        <f>SUM(J169:J179)</f>
        <v>71513.398999998171</v>
      </c>
      <c r="K180" s="466">
        <f>J180/G180*100</f>
        <v>0.29723837242646417</v>
      </c>
      <c r="L180" s="769"/>
      <c r="M180" s="879"/>
      <c r="N180" s="125"/>
      <c r="O180" s="126"/>
    </row>
    <row r="181" spans="1:15" s="781" customFormat="1" ht="20.100000000000001" customHeight="1" thickTop="1" x14ac:dyDescent="0.25">
      <c r="A181" s="793"/>
      <c r="B181" s="794"/>
      <c r="C181" s="369"/>
      <c r="D181" s="794"/>
      <c r="E181" s="362"/>
      <c r="F181" s="362"/>
      <c r="G181" s="794"/>
      <c r="H181" s="365"/>
      <c r="I181" s="396"/>
      <c r="J181" s="396"/>
      <c r="K181" s="397"/>
      <c r="L181" s="780"/>
      <c r="M181" s="878"/>
      <c r="N181" s="389"/>
      <c r="O181" s="803"/>
    </row>
    <row r="182" spans="1:15" s="781" customFormat="1" ht="20.100000000000001" customHeight="1" x14ac:dyDescent="0.25">
      <c r="A182" s="767" t="s">
        <v>37</v>
      </c>
      <c r="B182" s="798"/>
      <c r="C182" s="817"/>
      <c r="D182" s="387"/>
      <c r="E182" s="780"/>
      <c r="F182" s="780"/>
      <c r="G182" s="387"/>
      <c r="H182" s="387"/>
      <c r="I182" s="775"/>
      <c r="J182" s="775"/>
      <c r="K182" s="803"/>
      <c r="L182" s="780"/>
      <c r="M182" s="878"/>
      <c r="N182" s="389"/>
      <c r="O182" s="803"/>
    </row>
    <row r="183" spans="1:15" s="781" customFormat="1" ht="20.100000000000001" customHeight="1" x14ac:dyDescent="0.25">
      <c r="A183" s="768"/>
      <c r="B183" s="781" t="s">
        <v>987</v>
      </c>
      <c r="C183" s="780">
        <v>14516.82</v>
      </c>
      <c r="D183" s="780" t="s">
        <v>55</v>
      </c>
      <c r="E183" s="780" t="s">
        <v>769</v>
      </c>
      <c r="F183" s="780"/>
      <c r="G183" s="797"/>
      <c r="H183" s="387"/>
      <c r="I183" s="775"/>
      <c r="J183" s="772"/>
      <c r="K183" s="772"/>
      <c r="L183" s="780"/>
      <c r="M183" s="878"/>
      <c r="N183" s="389"/>
      <c r="O183" s="803"/>
    </row>
    <row r="184" spans="1:15" s="781" customFormat="1" ht="20.100000000000001" customHeight="1" x14ac:dyDescent="0.25">
      <c r="A184" s="768"/>
      <c r="B184" s="781" t="s">
        <v>228</v>
      </c>
      <c r="C184" s="780">
        <v>56996.58</v>
      </c>
      <c r="D184" s="780"/>
      <c r="E184" s="780" t="s">
        <v>769</v>
      </c>
      <c r="F184" s="780"/>
      <c r="G184" s="797"/>
      <c r="H184" s="387"/>
      <c r="I184" s="775"/>
      <c r="J184" s="772"/>
      <c r="K184" s="772"/>
      <c r="L184" s="780"/>
      <c r="M184" s="878"/>
      <c r="N184" s="389"/>
      <c r="O184" s="803"/>
    </row>
    <row r="185" spans="1:15" s="781" customFormat="1" ht="20.100000000000001" customHeight="1" thickBot="1" x14ac:dyDescent="0.3">
      <c r="A185" s="387"/>
      <c r="C185" s="795">
        <f>SUM(C183:C184)</f>
        <v>71513.399999999994</v>
      </c>
      <c r="D185" s="769" t="s">
        <v>55</v>
      </c>
      <c r="E185" s="780"/>
      <c r="F185" s="780"/>
      <c r="G185" s="797"/>
      <c r="H185" s="754"/>
      <c r="I185" s="775"/>
      <c r="J185" s="772"/>
      <c r="K185" s="772"/>
      <c r="L185" s="780"/>
      <c r="M185" s="878"/>
      <c r="N185" s="389"/>
      <c r="O185" s="803"/>
    </row>
    <row r="186" spans="1:15" s="781" customFormat="1" ht="20.100000000000001" customHeight="1" thickTop="1" x14ac:dyDescent="0.25">
      <c r="A186" s="387"/>
      <c r="C186" s="769"/>
      <c r="D186" s="769"/>
      <c r="E186" s="780"/>
      <c r="F186" s="780"/>
      <c r="G186" s="797"/>
      <c r="H186" s="754"/>
      <c r="I186" s="775"/>
      <c r="J186" s="772"/>
      <c r="K186" s="772"/>
      <c r="L186" s="780"/>
      <c r="M186" s="878"/>
      <c r="N186" s="389"/>
      <c r="O186" s="803"/>
    </row>
    <row r="187" spans="1:15" s="781" customFormat="1" ht="20.100000000000001" customHeight="1" x14ac:dyDescent="0.25">
      <c r="A187" s="387"/>
      <c r="C187" s="769"/>
      <c r="D187" s="769"/>
      <c r="E187" s="780"/>
      <c r="F187" s="780"/>
      <c r="G187" s="797"/>
      <c r="H187" s="754"/>
      <c r="I187" s="775"/>
      <c r="J187" s="772"/>
      <c r="K187" s="772"/>
      <c r="L187" s="780"/>
      <c r="M187" s="878"/>
      <c r="N187" s="389"/>
      <c r="O187" s="803"/>
    </row>
    <row r="188" spans="1:15" s="781" customFormat="1" ht="20.100000000000001" customHeight="1" x14ac:dyDescent="0.25">
      <c r="A188" s="226"/>
      <c r="B188" s="366"/>
      <c r="C188" s="366" t="s">
        <v>1176</v>
      </c>
      <c r="D188" s="780"/>
      <c r="E188" s="780"/>
      <c r="F188" s="780"/>
      <c r="G188" s="780"/>
      <c r="H188" s="797"/>
      <c r="I188" s="403"/>
      <c r="J188" s="388"/>
      <c r="K188" s="803"/>
      <c r="L188" s="780"/>
      <c r="M188" s="878"/>
      <c r="N188" s="389"/>
      <c r="O188" s="803"/>
    </row>
    <row r="189" spans="1:15" s="781" customFormat="1" ht="48.75" customHeight="1" thickBot="1" x14ac:dyDescent="0.3">
      <c r="A189" s="390" t="s">
        <v>1014</v>
      </c>
      <c r="B189" s="391" t="s">
        <v>14</v>
      </c>
      <c r="C189" s="390" t="s">
        <v>15</v>
      </c>
      <c r="D189" s="392" t="s">
        <v>16</v>
      </c>
      <c r="E189" s="392" t="s">
        <v>17</v>
      </c>
      <c r="F189" s="392" t="s">
        <v>18</v>
      </c>
      <c r="G189" s="391" t="s">
        <v>19</v>
      </c>
      <c r="H189" s="393" t="s">
        <v>20</v>
      </c>
      <c r="I189" s="394" t="s">
        <v>21</v>
      </c>
      <c r="J189" s="394" t="s">
        <v>22</v>
      </c>
      <c r="K189" s="395" t="s">
        <v>23</v>
      </c>
      <c r="L189" s="780"/>
      <c r="M189" s="878"/>
      <c r="N189" s="389"/>
      <c r="O189" s="803"/>
    </row>
    <row r="190" spans="1:15" s="781" customFormat="1" ht="20.100000000000001" customHeight="1" x14ac:dyDescent="0.25">
      <c r="A190" s="786" t="s">
        <v>216</v>
      </c>
      <c r="B190" s="377"/>
      <c r="C190" s="399" t="s">
        <v>1186</v>
      </c>
      <c r="D190" s="787">
        <v>295360.28999999998</v>
      </c>
      <c r="E190" s="788"/>
      <c r="F190" s="788">
        <v>399.31</v>
      </c>
      <c r="G190" s="787">
        <f>B190+D190-E190-F190</f>
        <v>294960.98</v>
      </c>
      <c r="H190" s="789">
        <v>294960.98</v>
      </c>
      <c r="I190" s="383">
        <f>H190/G190*100</f>
        <v>100</v>
      </c>
      <c r="J190" s="402">
        <f>G190-H190</f>
        <v>0</v>
      </c>
      <c r="K190" s="651">
        <f>J190/G190*100</f>
        <v>0</v>
      </c>
      <c r="L190" s="147"/>
      <c r="M190" s="878"/>
      <c r="N190" s="389"/>
      <c r="O190" s="803"/>
    </row>
    <row r="191" spans="1:15" s="781" customFormat="1" ht="20.100000000000001" customHeight="1" x14ac:dyDescent="0.25">
      <c r="A191" s="786" t="s">
        <v>217</v>
      </c>
      <c r="B191" s="377"/>
      <c r="C191" s="399" t="s">
        <v>1189</v>
      </c>
      <c r="D191" s="787">
        <v>19837.8</v>
      </c>
      <c r="E191" s="788"/>
      <c r="F191" s="788">
        <v>45.92</v>
      </c>
      <c r="G191" s="787">
        <f t="shared" ref="G191:G200" si="41">B191+D191-E191-F191</f>
        <v>19791.88</v>
      </c>
      <c r="H191" s="789">
        <v>19791.88</v>
      </c>
      <c r="I191" s="383">
        <f t="shared" ref="I191:I196" si="42">H191/G191*100</f>
        <v>100</v>
      </c>
      <c r="J191" s="402">
        <f>G191-H191</f>
        <v>0</v>
      </c>
      <c r="K191" s="402">
        <f t="shared" ref="K191:K200" si="43">J191/G191*100</f>
        <v>0</v>
      </c>
      <c r="L191" s="147"/>
      <c r="M191" s="878"/>
      <c r="N191" s="389"/>
      <c r="O191" s="803"/>
    </row>
    <row r="192" spans="1:15" s="781" customFormat="1" ht="20.100000000000001" customHeight="1" x14ac:dyDescent="0.25">
      <c r="A192" s="786" t="s">
        <v>218</v>
      </c>
      <c r="B192" s="377"/>
      <c r="C192" s="399" t="s">
        <v>1189</v>
      </c>
      <c r="D192" s="787">
        <v>192172.96</v>
      </c>
      <c r="E192" s="788"/>
      <c r="F192" s="788">
        <v>0</v>
      </c>
      <c r="G192" s="787">
        <f t="shared" si="41"/>
        <v>192172.96</v>
      </c>
      <c r="H192" s="789">
        <v>192172.96</v>
      </c>
      <c r="I192" s="383">
        <f t="shared" si="42"/>
        <v>100</v>
      </c>
      <c r="J192" s="402">
        <f t="shared" ref="J192:J196" si="44">G192-H192</f>
        <v>0</v>
      </c>
      <c r="K192" s="402">
        <f t="shared" si="43"/>
        <v>0</v>
      </c>
      <c r="L192" s="147"/>
      <c r="M192" s="878"/>
      <c r="N192" s="389"/>
      <c r="O192" s="803"/>
    </row>
    <row r="193" spans="1:15" s="781" customFormat="1" ht="20.100000000000001" customHeight="1" x14ac:dyDescent="0.25">
      <c r="A193" s="380" t="s">
        <v>219</v>
      </c>
      <c r="B193" s="377">
        <v>56996.58</v>
      </c>
      <c r="C193" s="399" t="s">
        <v>1191</v>
      </c>
      <c r="D193" s="787">
        <v>23067554.059999999</v>
      </c>
      <c r="E193" s="788"/>
      <c r="F193" s="788">
        <v>1490021.58</v>
      </c>
      <c r="G193" s="787">
        <f t="shared" si="41"/>
        <v>21634529.059999995</v>
      </c>
      <c r="H193" s="789">
        <v>21059497.850000001</v>
      </c>
      <c r="I193" s="383">
        <f t="shared" si="42"/>
        <v>97.342067357208322</v>
      </c>
      <c r="J193" s="402">
        <f t="shared" si="44"/>
        <v>575031.20999999344</v>
      </c>
      <c r="K193" s="402">
        <f t="shared" si="43"/>
        <v>2.6579326427916872</v>
      </c>
      <c r="L193" s="147"/>
      <c r="M193" s="878"/>
      <c r="N193" s="389"/>
      <c r="O193" s="803"/>
    </row>
    <row r="194" spans="1:15" s="781" customFormat="1" ht="20.100000000000001" customHeight="1" x14ac:dyDescent="0.25">
      <c r="A194" s="379" t="s">
        <v>220</v>
      </c>
      <c r="B194" s="400"/>
      <c r="C194" s="399" t="s">
        <v>1186</v>
      </c>
      <c r="D194" s="787">
        <v>369970.59</v>
      </c>
      <c r="E194" s="788"/>
      <c r="F194" s="788">
        <v>1278.7</v>
      </c>
      <c r="G194" s="787">
        <f t="shared" si="41"/>
        <v>368691.89</v>
      </c>
      <c r="H194" s="789">
        <v>368691.89</v>
      </c>
      <c r="I194" s="383">
        <f t="shared" si="42"/>
        <v>100</v>
      </c>
      <c r="J194" s="402">
        <f t="shared" si="44"/>
        <v>0</v>
      </c>
      <c r="K194" s="402">
        <f t="shared" si="43"/>
        <v>0</v>
      </c>
      <c r="L194" s="147"/>
      <c r="M194" s="878"/>
      <c r="N194" s="389"/>
      <c r="O194" s="803"/>
    </row>
    <row r="195" spans="1:15" s="781" customFormat="1" ht="20.100000000000001" customHeight="1" x14ac:dyDescent="0.25">
      <c r="A195" s="379" t="s">
        <v>221</v>
      </c>
      <c r="B195" s="400"/>
      <c r="C195" s="399" t="s">
        <v>1187</v>
      </c>
      <c r="D195" s="787">
        <v>46290.23</v>
      </c>
      <c r="E195" s="788"/>
      <c r="F195" s="788">
        <v>472.59</v>
      </c>
      <c r="G195" s="787">
        <f t="shared" si="41"/>
        <v>45817.640000000007</v>
      </c>
      <c r="H195" s="789">
        <v>45817.64</v>
      </c>
      <c r="I195" s="383">
        <f t="shared" si="42"/>
        <v>99.999999999999986</v>
      </c>
      <c r="J195" s="402">
        <f t="shared" si="44"/>
        <v>0</v>
      </c>
      <c r="K195" s="402">
        <f t="shared" si="43"/>
        <v>0</v>
      </c>
      <c r="L195" s="147"/>
      <c r="M195" s="878"/>
      <c r="N195" s="389"/>
      <c r="O195" s="803"/>
    </row>
    <row r="196" spans="1:15" s="781" customFormat="1" ht="20.100000000000001" customHeight="1" x14ac:dyDescent="0.25">
      <c r="A196" s="379" t="s">
        <v>222</v>
      </c>
      <c r="B196" s="400"/>
      <c r="C196" s="399" t="s">
        <v>1188</v>
      </c>
      <c r="D196" s="401">
        <v>231901.79</v>
      </c>
      <c r="E196" s="788"/>
      <c r="F196" s="788">
        <v>31977.86</v>
      </c>
      <c r="G196" s="787">
        <f t="shared" si="41"/>
        <v>199923.93</v>
      </c>
      <c r="H196" s="789">
        <v>199923.93</v>
      </c>
      <c r="I196" s="383">
        <f t="shared" si="42"/>
        <v>100</v>
      </c>
      <c r="J196" s="402">
        <f t="shared" si="44"/>
        <v>0</v>
      </c>
      <c r="K196" s="402">
        <f t="shared" si="43"/>
        <v>0</v>
      </c>
      <c r="L196" s="147"/>
      <c r="M196" s="878"/>
      <c r="N196" s="389"/>
      <c r="O196" s="803"/>
    </row>
    <row r="197" spans="1:15" s="781" customFormat="1" ht="20.100000000000001" customHeight="1" x14ac:dyDescent="0.25">
      <c r="A197" s="790" t="s">
        <v>223</v>
      </c>
      <c r="B197" s="400"/>
      <c r="C197" s="399" t="s">
        <v>1190</v>
      </c>
      <c r="D197" s="401">
        <v>117067.42</v>
      </c>
      <c r="E197" s="788"/>
      <c r="F197" s="788">
        <v>666.77</v>
      </c>
      <c r="G197" s="787">
        <f t="shared" si="41"/>
        <v>116400.65</v>
      </c>
      <c r="H197" s="789">
        <v>105529.28</v>
      </c>
      <c r="I197" s="383">
        <v>100</v>
      </c>
      <c r="J197" s="402">
        <v>0</v>
      </c>
      <c r="K197" s="402">
        <f t="shared" si="43"/>
        <v>0</v>
      </c>
      <c r="L197" s="147"/>
      <c r="M197" s="878"/>
      <c r="N197" s="389"/>
      <c r="O197" s="803"/>
    </row>
    <row r="198" spans="1:15" s="781" customFormat="1" ht="20.100000000000001" customHeight="1" x14ac:dyDescent="0.25">
      <c r="A198" s="471" t="s">
        <v>224</v>
      </c>
      <c r="B198" s="400">
        <v>14516.82</v>
      </c>
      <c r="C198" s="399" t="s">
        <v>1194</v>
      </c>
      <c r="D198" s="401">
        <v>309036.87</v>
      </c>
      <c r="E198" s="788"/>
      <c r="F198" s="386">
        <v>8736.51</v>
      </c>
      <c r="G198" s="787">
        <f t="shared" si="41"/>
        <v>314817.18</v>
      </c>
      <c r="H198" s="789">
        <v>314817.18</v>
      </c>
      <c r="I198" s="383">
        <f t="shared" ref="I198:I200" si="45">H198/G198*100</f>
        <v>100</v>
      </c>
      <c r="J198" s="402">
        <f t="shared" ref="J198:J200" si="46">G198-H198</f>
        <v>0</v>
      </c>
      <c r="K198" s="402">
        <f t="shared" si="43"/>
        <v>0</v>
      </c>
      <c r="L198" s="147"/>
      <c r="M198" s="878"/>
      <c r="N198" s="389"/>
      <c r="O198" s="803"/>
    </row>
    <row r="199" spans="1:15" s="781" customFormat="1" ht="20.100000000000001" customHeight="1" x14ac:dyDescent="0.25">
      <c r="A199" s="471" t="s">
        <v>225</v>
      </c>
      <c r="B199" s="400"/>
      <c r="C199" s="399" t="s">
        <v>1193</v>
      </c>
      <c r="D199" s="401">
        <v>837746.75</v>
      </c>
      <c r="E199" s="788"/>
      <c r="F199" s="811">
        <v>59222.02</v>
      </c>
      <c r="G199" s="787">
        <f t="shared" si="41"/>
        <v>778524.73</v>
      </c>
      <c r="H199" s="789">
        <v>778524.73</v>
      </c>
      <c r="I199" s="383">
        <f t="shared" si="45"/>
        <v>100</v>
      </c>
      <c r="J199" s="402">
        <f t="shared" si="46"/>
        <v>0</v>
      </c>
      <c r="K199" s="402">
        <f t="shared" si="43"/>
        <v>0</v>
      </c>
      <c r="L199" s="147"/>
      <c r="M199" s="878"/>
      <c r="N199" s="389"/>
      <c r="O199" s="803"/>
    </row>
    <row r="200" spans="1:15" s="781" customFormat="1" ht="20.100000000000001" customHeight="1" thickBot="1" x14ac:dyDescent="0.3">
      <c r="A200" s="472" t="s">
        <v>226</v>
      </c>
      <c r="B200" s="416"/>
      <c r="C200" s="404" t="s">
        <v>1185</v>
      </c>
      <c r="D200" s="473">
        <v>156419.71</v>
      </c>
      <c r="E200" s="811"/>
      <c r="F200" s="417">
        <v>1440.22</v>
      </c>
      <c r="G200" s="791">
        <f t="shared" si="41"/>
        <v>154979.49</v>
      </c>
      <c r="H200" s="792">
        <v>154979.49</v>
      </c>
      <c r="I200" s="383">
        <f t="shared" si="45"/>
        <v>100</v>
      </c>
      <c r="J200" s="402">
        <f t="shared" si="46"/>
        <v>0</v>
      </c>
      <c r="K200" s="652">
        <f t="shared" si="43"/>
        <v>0</v>
      </c>
      <c r="L200" s="147"/>
      <c r="M200" s="878"/>
      <c r="N200" s="389"/>
      <c r="O200" s="803"/>
    </row>
    <row r="201" spans="1:15" s="358" customFormat="1" ht="20.100000000000001" customHeight="1" thickTop="1" thickBot="1" x14ac:dyDescent="0.3">
      <c r="A201" s="467" t="s">
        <v>36</v>
      </c>
      <c r="B201" s="468">
        <f>SUM(B190:B200)</f>
        <v>71513.399999999994</v>
      </c>
      <c r="C201" s="469"/>
      <c r="D201" s="468">
        <f>SUM(D190:D200)</f>
        <v>25643358.470000003</v>
      </c>
      <c r="E201" s="470"/>
      <c r="F201" s="470">
        <f>SUM(F190:F200)</f>
        <v>1594261.4800000002</v>
      </c>
      <c r="G201" s="468">
        <f>SUM(G190:G200)</f>
        <v>24120610.389999993</v>
      </c>
      <c r="H201" s="420">
        <f>SUM(H190:H200)</f>
        <v>23534707.810000002</v>
      </c>
      <c r="I201" s="465">
        <f>H201/G201*100</f>
        <v>97.570946296438265</v>
      </c>
      <c r="J201" s="466">
        <f>SUM(J190:J200)</f>
        <v>575031.20999999344</v>
      </c>
      <c r="K201" s="466">
        <f>J201/G201*100</f>
        <v>2.3839828292172567</v>
      </c>
      <c r="L201" s="769"/>
      <c r="M201" s="879"/>
      <c r="N201" s="125"/>
      <c r="O201" s="126"/>
    </row>
    <row r="202" spans="1:15" s="781" customFormat="1" ht="20.100000000000001" customHeight="1" thickTop="1" x14ac:dyDescent="0.25">
      <c r="A202" s="793"/>
      <c r="B202" s="794"/>
      <c r="C202" s="369"/>
      <c r="D202" s="794"/>
      <c r="E202" s="362"/>
      <c r="F202" s="362"/>
      <c r="G202" s="794"/>
      <c r="H202" s="365"/>
      <c r="I202" s="396"/>
      <c r="J202" s="396"/>
      <c r="K202" s="397"/>
      <c r="L202" s="780"/>
      <c r="M202" s="878"/>
      <c r="N202" s="389"/>
      <c r="O202" s="803"/>
    </row>
    <row r="203" spans="1:15" s="781" customFormat="1" ht="20.100000000000001" customHeight="1" x14ac:dyDescent="0.25">
      <c r="A203" s="767" t="s">
        <v>37</v>
      </c>
      <c r="B203" s="798"/>
      <c r="C203" s="817"/>
      <c r="D203" s="387"/>
      <c r="E203" s="780"/>
      <c r="F203" s="780"/>
      <c r="G203" s="387"/>
      <c r="H203" s="387"/>
      <c r="I203" s="775"/>
      <c r="J203" s="775"/>
      <c r="K203" s="803"/>
      <c r="L203" s="780"/>
      <c r="M203" s="878"/>
      <c r="N203" s="389"/>
      <c r="O203" s="803"/>
    </row>
    <row r="204" spans="1:15" s="781" customFormat="1" ht="20.100000000000001" customHeight="1" x14ac:dyDescent="0.25">
      <c r="A204" s="768"/>
      <c r="B204" s="781" t="s">
        <v>228</v>
      </c>
      <c r="C204" s="780">
        <v>575031.21</v>
      </c>
      <c r="D204" s="780"/>
      <c r="E204" s="780" t="s">
        <v>769</v>
      </c>
      <c r="F204" s="780"/>
      <c r="G204" s="797"/>
      <c r="H204" s="387"/>
      <c r="I204" s="775"/>
      <c r="J204" s="772"/>
      <c r="K204" s="772"/>
      <c r="L204" s="780"/>
      <c r="M204" s="878"/>
      <c r="N204" s="389"/>
      <c r="O204" s="803"/>
    </row>
    <row r="205" spans="1:15" s="781" customFormat="1" ht="20.100000000000001" customHeight="1" thickBot="1" x14ac:dyDescent="0.3">
      <c r="A205" s="387"/>
      <c r="C205" s="795">
        <f>SUM(C204:C204)</f>
        <v>575031.21</v>
      </c>
      <c r="D205" s="769" t="s">
        <v>55</v>
      </c>
      <c r="E205" s="780"/>
      <c r="F205" s="780"/>
      <c r="G205" s="797"/>
      <c r="H205" s="754"/>
      <c r="I205" s="775"/>
      <c r="J205" s="772"/>
      <c r="K205" s="772"/>
      <c r="L205" s="780"/>
      <c r="M205" s="878"/>
      <c r="N205" s="389"/>
      <c r="O205" s="803"/>
    </row>
    <row r="206" spans="1:15" ht="20.100000000000001" customHeight="1" thickTop="1" x14ac:dyDescent="0.25"/>
    <row r="207" spans="1:15" s="781" customFormat="1" ht="20.100000000000001" customHeight="1" x14ac:dyDescent="0.25">
      <c r="M207" s="803"/>
    </row>
    <row r="208" spans="1:15" s="781" customFormat="1" ht="20.100000000000001" customHeight="1" x14ac:dyDescent="0.25">
      <c r="A208" s="226"/>
      <c r="B208" s="366"/>
      <c r="C208" s="366" t="s">
        <v>1318</v>
      </c>
      <c r="D208" s="780"/>
      <c r="E208" s="780"/>
      <c r="F208" s="780"/>
      <c r="G208" s="780"/>
      <c r="H208" s="797"/>
      <c r="I208" s="403"/>
      <c r="J208" s="388"/>
      <c r="K208" s="803"/>
      <c r="L208" s="780"/>
      <c r="M208" s="878"/>
      <c r="N208" s="389"/>
      <c r="O208" s="803"/>
    </row>
    <row r="209" spans="1:15" s="781" customFormat="1" ht="48.75" customHeight="1" thickBot="1" x14ac:dyDescent="0.3">
      <c r="A209" s="390" t="s">
        <v>1117</v>
      </c>
      <c r="B209" s="391" t="s">
        <v>14</v>
      </c>
      <c r="C209" s="390" t="s">
        <v>15</v>
      </c>
      <c r="D209" s="392" t="s">
        <v>16</v>
      </c>
      <c r="E209" s="392" t="s">
        <v>17</v>
      </c>
      <c r="F209" s="392" t="s">
        <v>18</v>
      </c>
      <c r="G209" s="391" t="s">
        <v>19</v>
      </c>
      <c r="H209" s="393" t="s">
        <v>20</v>
      </c>
      <c r="I209" s="394" t="s">
        <v>21</v>
      </c>
      <c r="J209" s="394" t="s">
        <v>22</v>
      </c>
      <c r="K209" s="395" t="s">
        <v>23</v>
      </c>
      <c r="L209" s="780"/>
      <c r="M209" s="878"/>
      <c r="N209" s="389"/>
      <c r="O209" s="803"/>
    </row>
    <row r="210" spans="1:15" s="781" customFormat="1" ht="20.100000000000001" customHeight="1" x14ac:dyDescent="0.25">
      <c r="A210" s="786" t="s">
        <v>216</v>
      </c>
      <c r="B210" s="377"/>
      <c r="C210" s="399" t="s">
        <v>1319</v>
      </c>
      <c r="D210" s="787">
        <v>1357778.89</v>
      </c>
      <c r="E210" s="788"/>
      <c r="F210" s="788">
        <v>895.1</v>
      </c>
      <c r="G210" s="787">
        <f>B210+D210-E210-F210</f>
        <v>1356883.7899999998</v>
      </c>
      <c r="H210" s="789">
        <v>1356883.79</v>
      </c>
      <c r="I210" s="383">
        <f>H210/G210*100</f>
        <v>100.00000000000003</v>
      </c>
      <c r="J210" s="402">
        <f>G210-H210</f>
        <v>0</v>
      </c>
      <c r="K210" s="651">
        <f>J210/G210*100</f>
        <v>0</v>
      </c>
      <c r="L210" s="147"/>
      <c r="M210" s="878"/>
      <c r="N210" s="389"/>
      <c r="O210" s="803"/>
    </row>
    <row r="211" spans="1:15" s="781" customFormat="1" ht="20.100000000000001" customHeight="1" x14ac:dyDescent="0.25">
      <c r="A211" s="786" t="s">
        <v>217</v>
      </c>
      <c r="B211" s="377"/>
      <c r="C211" s="399" t="s">
        <v>1319</v>
      </c>
      <c r="D211" s="787">
        <v>30858.799999999999</v>
      </c>
      <c r="E211" s="788"/>
      <c r="F211" s="788">
        <v>45.92</v>
      </c>
      <c r="G211" s="787">
        <f t="shared" ref="G211:G220" si="47">B211+D211-E211-F211</f>
        <v>30812.880000000001</v>
      </c>
      <c r="H211" s="789">
        <v>30812.880000000001</v>
      </c>
      <c r="I211" s="383">
        <f t="shared" ref="I211:I216" si="48">H211/G211*100</f>
        <v>100</v>
      </c>
      <c r="J211" s="402">
        <f>G211-H211</f>
        <v>0</v>
      </c>
      <c r="K211" s="402">
        <f t="shared" ref="K211:K220" si="49">J211/G211*100</f>
        <v>0</v>
      </c>
      <c r="L211" s="147"/>
      <c r="M211" s="878"/>
      <c r="N211" s="389"/>
      <c r="O211" s="803"/>
    </row>
    <row r="212" spans="1:15" s="781" customFormat="1" ht="20.100000000000001" customHeight="1" x14ac:dyDescent="0.25">
      <c r="A212" s="786" t="s">
        <v>218</v>
      </c>
      <c r="B212" s="377"/>
      <c r="C212" s="399" t="s">
        <v>1319</v>
      </c>
      <c r="D212" s="787">
        <v>117480.15</v>
      </c>
      <c r="E212" s="788"/>
      <c r="F212" s="788">
        <v>111.45</v>
      </c>
      <c r="G212" s="787">
        <f t="shared" si="47"/>
        <v>117368.7</v>
      </c>
      <c r="H212" s="789">
        <v>117368.7</v>
      </c>
      <c r="I212" s="383">
        <f t="shared" si="48"/>
        <v>100</v>
      </c>
      <c r="J212" s="402">
        <f t="shared" ref="J212:J216" si="50">G212-H212</f>
        <v>0</v>
      </c>
      <c r="K212" s="402">
        <f t="shared" si="49"/>
        <v>0</v>
      </c>
      <c r="L212" s="147"/>
      <c r="M212" s="878"/>
      <c r="N212" s="389"/>
      <c r="O212" s="803"/>
    </row>
    <row r="213" spans="1:15" s="781" customFormat="1" ht="20.100000000000001" customHeight="1" x14ac:dyDescent="0.25">
      <c r="A213" s="380" t="s">
        <v>219</v>
      </c>
      <c r="B213" s="377">
        <v>575031.21</v>
      </c>
      <c r="C213" s="399" t="s">
        <v>1320</v>
      </c>
      <c r="D213" s="787">
        <v>37713305.740000002</v>
      </c>
      <c r="E213" s="788"/>
      <c r="F213" s="788">
        <v>630648.9</v>
      </c>
      <c r="G213" s="787">
        <f t="shared" si="47"/>
        <v>37657688.050000004</v>
      </c>
      <c r="H213" s="789">
        <v>37657688.049999997</v>
      </c>
      <c r="I213" s="383">
        <f t="shared" si="48"/>
        <v>99.999999999999972</v>
      </c>
      <c r="J213" s="402">
        <f t="shared" si="50"/>
        <v>0</v>
      </c>
      <c r="K213" s="402">
        <f t="shared" si="49"/>
        <v>0</v>
      </c>
      <c r="L213" s="147"/>
      <c r="M213" s="878"/>
      <c r="N213" s="389"/>
      <c r="O213" s="803"/>
    </row>
    <row r="214" spans="1:15" s="781" customFormat="1" ht="20.100000000000001" customHeight="1" x14ac:dyDescent="0.25">
      <c r="A214" s="379" t="s">
        <v>220</v>
      </c>
      <c r="B214" s="400"/>
      <c r="C214" s="399" t="s">
        <v>1319</v>
      </c>
      <c r="D214" s="787">
        <v>546001.07999999996</v>
      </c>
      <c r="E214" s="788"/>
      <c r="F214" s="788">
        <v>1218.03</v>
      </c>
      <c r="G214" s="787">
        <f t="shared" si="47"/>
        <v>544783.04999999993</v>
      </c>
      <c r="H214" s="789">
        <v>544783.05000000005</v>
      </c>
      <c r="I214" s="383">
        <f t="shared" si="48"/>
        <v>100.00000000000003</v>
      </c>
      <c r="J214" s="402">
        <f t="shared" si="50"/>
        <v>0</v>
      </c>
      <c r="K214" s="402">
        <f t="shared" si="49"/>
        <v>0</v>
      </c>
      <c r="L214" s="147"/>
      <c r="M214" s="878"/>
      <c r="N214" s="389"/>
      <c r="O214" s="803"/>
    </row>
    <row r="215" spans="1:15" s="781" customFormat="1" ht="20.100000000000001" customHeight="1" x14ac:dyDescent="0.25">
      <c r="A215" s="379" t="s">
        <v>221</v>
      </c>
      <c r="B215" s="400"/>
      <c r="C215" s="399" t="s">
        <v>1321</v>
      </c>
      <c r="D215" s="787">
        <v>87193.52</v>
      </c>
      <c r="E215" s="788"/>
      <c r="F215" s="788">
        <v>863.98</v>
      </c>
      <c r="G215" s="787">
        <f t="shared" si="47"/>
        <v>86329.540000000008</v>
      </c>
      <c r="H215" s="789">
        <v>86329.54</v>
      </c>
      <c r="I215" s="383">
        <f t="shared" si="48"/>
        <v>99.999999999999972</v>
      </c>
      <c r="J215" s="402">
        <f t="shared" si="50"/>
        <v>0</v>
      </c>
      <c r="K215" s="402">
        <f t="shared" si="49"/>
        <v>0</v>
      </c>
      <c r="L215" s="147"/>
      <c r="M215" s="878"/>
      <c r="N215" s="389"/>
      <c r="O215" s="803"/>
    </row>
    <row r="216" spans="1:15" s="781" customFormat="1" ht="20.100000000000001" customHeight="1" x14ac:dyDescent="0.25">
      <c r="A216" s="379" t="s">
        <v>222</v>
      </c>
      <c r="B216" s="400"/>
      <c r="C216" s="399" t="s">
        <v>1322</v>
      </c>
      <c r="D216" s="401">
        <v>675712.53</v>
      </c>
      <c r="E216" s="788"/>
      <c r="F216" s="788">
        <v>8501.07</v>
      </c>
      <c r="G216" s="787">
        <f t="shared" si="47"/>
        <v>667211.46000000008</v>
      </c>
      <c r="H216" s="789">
        <v>667211.46</v>
      </c>
      <c r="I216" s="383">
        <f t="shared" si="48"/>
        <v>99.999999999999972</v>
      </c>
      <c r="J216" s="402">
        <f t="shared" si="50"/>
        <v>0</v>
      </c>
      <c r="K216" s="402">
        <f t="shared" si="49"/>
        <v>0</v>
      </c>
      <c r="L216" s="147"/>
      <c r="M216" s="878"/>
      <c r="N216" s="389"/>
      <c r="O216" s="803"/>
    </row>
    <row r="217" spans="1:15" s="781" customFormat="1" ht="20.100000000000001" customHeight="1" x14ac:dyDescent="0.25">
      <c r="A217" s="790" t="s">
        <v>223</v>
      </c>
      <c r="B217" s="400"/>
      <c r="C217" s="399" t="s">
        <v>1323</v>
      </c>
      <c r="D217" s="401">
        <v>23245.98</v>
      </c>
      <c r="E217" s="788"/>
      <c r="F217" s="788">
        <v>29.6</v>
      </c>
      <c r="G217" s="787">
        <f t="shared" si="47"/>
        <v>23216.38</v>
      </c>
      <c r="H217" s="789">
        <v>232423.34</v>
      </c>
      <c r="I217" s="383">
        <v>100</v>
      </c>
      <c r="J217" s="402">
        <v>0</v>
      </c>
      <c r="K217" s="402">
        <f t="shared" si="49"/>
        <v>0</v>
      </c>
      <c r="L217" s="147"/>
      <c r="M217" s="878"/>
      <c r="N217" s="389"/>
      <c r="O217" s="803"/>
    </row>
    <row r="218" spans="1:15" s="781" customFormat="1" ht="20.100000000000001" customHeight="1" x14ac:dyDescent="0.25">
      <c r="A218" s="471" t="s">
        <v>224</v>
      </c>
      <c r="B218" s="400"/>
      <c r="C218" s="399" t="s">
        <v>1319</v>
      </c>
      <c r="D218" s="401">
        <v>553432.57999999996</v>
      </c>
      <c r="E218" s="788"/>
      <c r="F218" s="386">
        <v>19007.560000000001</v>
      </c>
      <c r="G218" s="787">
        <f t="shared" si="47"/>
        <v>534425.0199999999</v>
      </c>
      <c r="H218" s="789">
        <v>525692.68000000005</v>
      </c>
      <c r="I218" s="383">
        <f t="shared" ref="I218:I220" si="51">H218/G218*100</f>
        <v>98.366030841894371</v>
      </c>
      <c r="J218" s="402">
        <f t="shared" ref="J218:J220" si="52">G218-H218</f>
        <v>8732.339999999851</v>
      </c>
      <c r="K218" s="402">
        <f t="shared" si="49"/>
        <v>1.6339691581056315</v>
      </c>
      <c r="L218" s="147"/>
      <c r="M218" s="878"/>
      <c r="N218" s="389"/>
      <c r="O218" s="803"/>
    </row>
    <row r="219" spans="1:15" s="781" customFormat="1" ht="20.100000000000001" customHeight="1" x14ac:dyDescent="0.25">
      <c r="A219" s="471" t="s">
        <v>225</v>
      </c>
      <c r="B219" s="400"/>
      <c r="C219" s="399" t="s">
        <v>1323</v>
      </c>
      <c r="D219" s="401">
        <v>1022274.91</v>
      </c>
      <c r="E219" s="788"/>
      <c r="F219" s="811">
        <v>15309.3</v>
      </c>
      <c r="G219" s="787">
        <f t="shared" si="47"/>
        <v>1006965.61</v>
      </c>
      <c r="H219" s="789">
        <v>1006965.61</v>
      </c>
      <c r="I219" s="383">
        <f t="shared" si="51"/>
        <v>100</v>
      </c>
      <c r="J219" s="402">
        <f t="shared" si="52"/>
        <v>0</v>
      </c>
      <c r="K219" s="402">
        <f t="shared" si="49"/>
        <v>0</v>
      </c>
      <c r="L219" s="147"/>
      <c r="M219" s="878"/>
      <c r="N219" s="389"/>
      <c r="O219" s="803"/>
    </row>
    <row r="220" spans="1:15" s="781" customFormat="1" ht="20.100000000000001" customHeight="1" thickBot="1" x14ac:dyDescent="0.3">
      <c r="A220" s="472" t="s">
        <v>226</v>
      </c>
      <c r="B220" s="416"/>
      <c r="C220" s="404" t="s">
        <v>1324</v>
      </c>
      <c r="D220" s="473">
        <v>343266.19</v>
      </c>
      <c r="E220" s="811"/>
      <c r="F220" s="417">
        <v>6665.11</v>
      </c>
      <c r="G220" s="791">
        <f t="shared" si="47"/>
        <v>336601.08</v>
      </c>
      <c r="H220" s="792">
        <v>336601.08</v>
      </c>
      <c r="I220" s="383">
        <f t="shared" si="51"/>
        <v>100</v>
      </c>
      <c r="J220" s="402">
        <f t="shared" si="52"/>
        <v>0</v>
      </c>
      <c r="K220" s="652">
        <f t="shared" si="49"/>
        <v>0</v>
      </c>
      <c r="L220" s="147"/>
      <c r="M220" s="878"/>
      <c r="N220" s="389"/>
      <c r="O220" s="803"/>
    </row>
    <row r="221" spans="1:15" s="358" customFormat="1" ht="20.100000000000001" customHeight="1" thickTop="1" thickBot="1" x14ac:dyDescent="0.3">
      <c r="A221" s="467" t="s">
        <v>36</v>
      </c>
      <c r="B221" s="468">
        <f>SUM(B210:B220)</f>
        <v>575031.21</v>
      </c>
      <c r="C221" s="469"/>
      <c r="D221" s="468">
        <f>SUM(D210:D220)</f>
        <v>42470550.36999999</v>
      </c>
      <c r="E221" s="470"/>
      <c r="F221" s="470">
        <f>SUM(F210:F220)</f>
        <v>683296.02</v>
      </c>
      <c r="G221" s="468">
        <f>SUM(G210:G220)</f>
        <v>42362285.560000002</v>
      </c>
      <c r="H221" s="420">
        <f>SUM(H210:H220)</f>
        <v>42562760.179999992</v>
      </c>
      <c r="I221" s="465">
        <f>H221/G221*100</f>
        <v>100.4732384415757</v>
      </c>
      <c r="J221" s="466">
        <f>SUM(J210:J220)</f>
        <v>8732.339999999851</v>
      </c>
      <c r="K221" s="466">
        <f>J221/G221*100</f>
        <v>2.061347702222479E-2</v>
      </c>
      <c r="L221" s="769"/>
      <c r="M221" s="879"/>
      <c r="N221" s="125"/>
      <c r="O221" s="126"/>
    </row>
    <row r="222" spans="1:15" s="781" customFormat="1" ht="20.100000000000001" customHeight="1" thickTop="1" x14ac:dyDescent="0.25">
      <c r="A222" s="793"/>
      <c r="B222" s="794"/>
      <c r="C222" s="369"/>
      <c r="D222" s="794"/>
      <c r="E222" s="362"/>
      <c r="F222" s="362"/>
      <c r="G222" s="794"/>
      <c r="H222" s="365"/>
      <c r="I222" s="396"/>
      <c r="J222" s="396"/>
      <c r="K222" s="397"/>
      <c r="L222" s="780"/>
      <c r="M222" s="878"/>
      <c r="N222" s="389"/>
      <c r="O222" s="803"/>
    </row>
    <row r="223" spans="1:15" s="781" customFormat="1" ht="20.100000000000001" customHeight="1" x14ac:dyDescent="0.25">
      <c r="A223" s="767" t="s">
        <v>37</v>
      </c>
      <c r="B223" s="798"/>
      <c r="C223" s="817"/>
      <c r="D223" s="387"/>
      <c r="E223" s="780"/>
      <c r="F223" s="780"/>
      <c r="G223" s="387"/>
      <c r="H223" s="387"/>
      <c r="I223" s="775"/>
      <c r="J223" s="775"/>
      <c r="K223" s="803"/>
      <c r="L223" s="780"/>
      <c r="M223" s="878"/>
      <c r="N223" s="389"/>
      <c r="O223" s="803"/>
    </row>
    <row r="224" spans="1:15" s="781" customFormat="1" ht="20.100000000000001" customHeight="1" x14ac:dyDescent="0.25">
      <c r="A224" s="768"/>
      <c r="B224" s="781" t="s">
        <v>228</v>
      </c>
      <c r="C224" s="780">
        <v>8732.34</v>
      </c>
      <c r="D224" s="780"/>
      <c r="E224" s="780" t="s">
        <v>769</v>
      </c>
      <c r="F224" s="780"/>
      <c r="G224" s="797"/>
      <c r="H224" s="387"/>
      <c r="I224" s="775"/>
      <c r="J224" s="772"/>
      <c r="K224" s="772"/>
      <c r="L224" s="780"/>
      <c r="M224" s="878"/>
      <c r="N224" s="389"/>
      <c r="O224" s="803"/>
    </row>
    <row r="225" spans="1:15" s="781" customFormat="1" ht="20.100000000000001" customHeight="1" thickBot="1" x14ac:dyDescent="0.3">
      <c r="A225" s="387"/>
      <c r="C225" s="795">
        <f>SUM(C224:C224)</f>
        <v>8732.34</v>
      </c>
      <c r="D225" s="769" t="s">
        <v>55</v>
      </c>
      <c r="E225" s="780"/>
      <c r="F225" s="780"/>
      <c r="G225" s="797"/>
      <c r="H225" s="754"/>
      <c r="I225" s="775"/>
      <c r="J225" s="772"/>
      <c r="K225" s="772"/>
      <c r="L225" s="780"/>
      <c r="M225" s="878"/>
      <c r="N225" s="389"/>
      <c r="O225" s="803"/>
    </row>
    <row r="226" spans="1:15" s="781" customFormat="1" ht="20.100000000000001" customHeight="1" thickTop="1" x14ac:dyDescent="0.25">
      <c r="A226" s="387"/>
      <c r="C226" s="769"/>
      <c r="D226" s="769"/>
      <c r="E226" s="780"/>
      <c r="F226" s="780"/>
      <c r="G226" s="797"/>
      <c r="H226" s="754"/>
      <c r="I226" s="775"/>
      <c r="J226" s="772"/>
      <c r="K226" s="772"/>
      <c r="L226" s="780"/>
      <c r="M226" s="878"/>
      <c r="N226" s="389"/>
      <c r="O226" s="803"/>
    </row>
    <row r="227" spans="1:15" s="781" customFormat="1" ht="20.100000000000001" customHeight="1" x14ac:dyDescent="0.25">
      <c r="A227" s="387"/>
      <c r="C227" s="769"/>
      <c r="D227" s="769"/>
      <c r="E227" s="780"/>
      <c r="F227" s="780"/>
      <c r="G227" s="797"/>
      <c r="H227" s="754"/>
      <c r="I227" s="775"/>
      <c r="J227" s="772"/>
      <c r="K227" s="772"/>
      <c r="L227" s="780"/>
      <c r="M227" s="878"/>
      <c r="N227" s="389"/>
      <c r="O227" s="803"/>
    </row>
    <row r="228" spans="1:15" s="781" customFormat="1" ht="20.100000000000001" customHeight="1" x14ac:dyDescent="0.25">
      <c r="A228" s="387"/>
      <c r="C228" s="769"/>
      <c r="D228" s="769"/>
      <c r="E228" s="780"/>
      <c r="F228" s="780"/>
      <c r="G228" s="797"/>
      <c r="H228" s="754"/>
      <c r="I228" s="775"/>
      <c r="J228" s="772"/>
      <c r="K228" s="772"/>
      <c r="L228" s="780"/>
      <c r="M228" s="878"/>
      <c r="N228" s="389"/>
      <c r="O228" s="803"/>
    </row>
    <row r="229" spans="1:15" s="781" customFormat="1" ht="20.100000000000001" customHeight="1" x14ac:dyDescent="0.25">
      <c r="A229" s="226"/>
      <c r="B229" s="366"/>
      <c r="C229" s="366" t="s">
        <v>1472</v>
      </c>
      <c r="D229" s="780"/>
      <c r="E229" s="780"/>
      <c r="F229" s="780"/>
      <c r="G229" s="780"/>
      <c r="H229" s="797"/>
      <c r="I229" s="403"/>
      <c r="J229" s="388"/>
      <c r="K229" s="803"/>
      <c r="L229" s="780"/>
      <c r="M229" s="878"/>
      <c r="N229" s="389"/>
      <c r="O229" s="803"/>
    </row>
    <row r="230" spans="1:15" s="781" customFormat="1" ht="48.75" customHeight="1" thickBot="1" x14ac:dyDescent="0.3">
      <c r="A230" s="390" t="s">
        <v>1201</v>
      </c>
      <c r="B230" s="391" t="s">
        <v>14</v>
      </c>
      <c r="C230" s="390" t="s">
        <v>15</v>
      </c>
      <c r="D230" s="392" t="s">
        <v>16</v>
      </c>
      <c r="E230" s="392" t="s">
        <v>17</v>
      </c>
      <c r="F230" s="392" t="s">
        <v>18</v>
      </c>
      <c r="G230" s="391" t="s">
        <v>19</v>
      </c>
      <c r="H230" s="393" t="s">
        <v>20</v>
      </c>
      <c r="I230" s="394" t="s">
        <v>21</v>
      </c>
      <c r="J230" s="394" t="s">
        <v>22</v>
      </c>
      <c r="K230" s="395" t="s">
        <v>23</v>
      </c>
      <c r="L230" s="780"/>
      <c r="M230" s="878"/>
      <c r="N230" s="389"/>
      <c r="O230" s="803"/>
    </row>
    <row r="231" spans="1:15" s="781" customFormat="1" ht="20.100000000000001" customHeight="1" thickBot="1" x14ac:dyDescent="0.3">
      <c r="A231" s="786" t="s">
        <v>216</v>
      </c>
      <c r="B231" s="377"/>
      <c r="C231" s="399" t="s">
        <v>1470</v>
      </c>
      <c r="D231" s="787">
        <v>212747.91</v>
      </c>
      <c r="E231" s="788"/>
      <c r="F231" s="788">
        <v>513.55999999999995</v>
      </c>
      <c r="G231" s="787">
        <f>B231+D231-E231-F231</f>
        <v>212234.35</v>
      </c>
      <c r="H231" s="789">
        <v>212234.35</v>
      </c>
      <c r="I231" s="383">
        <f>H231/G231*100</f>
        <v>100</v>
      </c>
      <c r="J231" s="402">
        <f>G231-H231</f>
        <v>0</v>
      </c>
      <c r="K231" s="651">
        <f>J231/G231*100</f>
        <v>0</v>
      </c>
      <c r="L231" s="147"/>
      <c r="M231" s="878"/>
      <c r="N231" s="389"/>
      <c r="O231" s="803"/>
    </row>
    <row r="232" spans="1:15" s="781" customFormat="1" ht="20.100000000000001" customHeight="1" thickBot="1" x14ac:dyDescent="0.3">
      <c r="A232" s="786" t="s">
        <v>217</v>
      </c>
      <c r="B232" s="377"/>
      <c r="C232" s="399" t="s">
        <v>1470</v>
      </c>
      <c r="D232" s="787">
        <v>15429.4</v>
      </c>
      <c r="E232" s="788"/>
      <c r="F232" s="788">
        <v>45.92</v>
      </c>
      <c r="G232" s="787">
        <f t="shared" ref="G232:G241" si="53">B232+D232-E232-F232</f>
        <v>15383.48</v>
      </c>
      <c r="H232" s="789">
        <v>15383.48</v>
      </c>
      <c r="I232" s="383">
        <f t="shared" ref="I232:I241" si="54">H232/G232*100</f>
        <v>100</v>
      </c>
      <c r="J232" s="402">
        <f t="shared" ref="J232:J241" si="55">G232-H232</f>
        <v>0</v>
      </c>
      <c r="K232" s="651">
        <f t="shared" ref="K232:K241" si="56">J232/G232*100</f>
        <v>0</v>
      </c>
      <c r="L232" s="147"/>
      <c r="M232" s="878"/>
      <c r="N232" s="389"/>
      <c r="O232" s="803"/>
    </row>
    <row r="233" spans="1:15" s="781" customFormat="1" ht="20.100000000000001" customHeight="1" thickBot="1" x14ac:dyDescent="0.3">
      <c r="A233" s="786" t="s">
        <v>218</v>
      </c>
      <c r="B233" s="377"/>
      <c r="C233" s="399" t="s">
        <v>1470</v>
      </c>
      <c r="D233" s="787">
        <v>11425.65</v>
      </c>
      <c r="E233" s="788"/>
      <c r="F233" s="788">
        <v>96.3</v>
      </c>
      <c r="G233" s="787">
        <f t="shared" si="53"/>
        <v>11329.35</v>
      </c>
      <c r="H233" s="789">
        <v>11329.35</v>
      </c>
      <c r="I233" s="383">
        <f t="shared" si="54"/>
        <v>100</v>
      </c>
      <c r="J233" s="402">
        <f t="shared" si="55"/>
        <v>0</v>
      </c>
      <c r="K233" s="651">
        <f t="shared" si="56"/>
        <v>0</v>
      </c>
      <c r="L233" s="147"/>
      <c r="M233" s="878"/>
      <c r="N233" s="389"/>
      <c r="O233" s="803"/>
    </row>
    <row r="234" spans="1:15" s="781" customFormat="1" ht="20.100000000000001" customHeight="1" thickBot="1" x14ac:dyDescent="0.3">
      <c r="A234" s="380" t="s">
        <v>219</v>
      </c>
      <c r="B234" s="377"/>
      <c r="C234" s="399" t="s">
        <v>1467</v>
      </c>
      <c r="D234" s="787">
        <v>17100701.66</v>
      </c>
      <c r="E234" s="788"/>
      <c r="F234" s="788">
        <v>449945.32</v>
      </c>
      <c r="G234" s="787">
        <f t="shared" si="53"/>
        <v>16650756.34</v>
      </c>
      <c r="H234" s="789">
        <v>15998855.52</v>
      </c>
      <c r="I234" s="383">
        <f t="shared" si="54"/>
        <v>96.084857608336122</v>
      </c>
      <c r="J234" s="402">
        <f t="shared" si="55"/>
        <v>651900.8200000003</v>
      </c>
      <c r="K234" s="651">
        <f t="shared" si="56"/>
        <v>3.915142391663875</v>
      </c>
      <c r="L234" s="147"/>
      <c r="M234" s="878"/>
      <c r="N234" s="389"/>
      <c r="O234" s="803"/>
    </row>
    <row r="235" spans="1:15" s="781" customFormat="1" ht="20.100000000000001" customHeight="1" thickBot="1" x14ac:dyDescent="0.3">
      <c r="A235" s="379" t="s">
        <v>220</v>
      </c>
      <c r="B235" s="400"/>
      <c r="C235" s="399" t="s">
        <v>1470</v>
      </c>
      <c r="D235" s="787">
        <v>177903.7</v>
      </c>
      <c r="E235" s="788"/>
      <c r="F235" s="788">
        <v>3672.35</v>
      </c>
      <c r="G235" s="787">
        <f t="shared" si="53"/>
        <v>174231.35</v>
      </c>
      <c r="H235" s="789">
        <v>174231.35</v>
      </c>
      <c r="I235" s="383">
        <f t="shared" si="54"/>
        <v>100</v>
      </c>
      <c r="J235" s="402">
        <f t="shared" si="55"/>
        <v>0</v>
      </c>
      <c r="K235" s="651">
        <f t="shared" si="56"/>
        <v>0</v>
      </c>
      <c r="L235" s="147"/>
      <c r="M235" s="878"/>
      <c r="N235" s="389"/>
      <c r="O235" s="803"/>
    </row>
    <row r="236" spans="1:15" s="781" customFormat="1" ht="20.100000000000001" customHeight="1" thickBot="1" x14ac:dyDescent="0.3">
      <c r="A236" s="379" t="s">
        <v>221</v>
      </c>
      <c r="B236" s="400"/>
      <c r="C236" s="399" t="s">
        <v>1469</v>
      </c>
      <c r="D236" s="787">
        <v>21548.35</v>
      </c>
      <c r="E236" s="788"/>
      <c r="F236" s="788">
        <v>330.09</v>
      </c>
      <c r="G236" s="787">
        <f t="shared" si="53"/>
        <v>21218.26</v>
      </c>
      <c r="H236" s="789">
        <v>21218.26</v>
      </c>
      <c r="I236" s="383">
        <f t="shared" si="54"/>
        <v>100</v>
      </c>
      <c r="J236" s="402">
        <f t="shared" si="55"/>
        <v>0</v>
      </c>
      <c r="K236" s="651">
        <f t="shared" si="56"/>
        <v>0</v>
      </c>
      <c r="L236" s="147"/>
      <c r="M236" s="878"/>
      <c r="N236" s="389"/>
      <c r="O236" s="803"/>
    </row>
    <row r="237" spans="1:15" s="781" customFormat="1" ht="20.100000000000001" customHeight="1" thickBot="1" x14ac:dyDescent="0.3">
      <c r="A237" s="379" t="s">
        <v>222</v>
      </c>
      <c r="B237" s="400"/>
      <c r="C237" s="399" t="s">
        <v>1473</v>
      </c>
      <c r="D237" s="401">
        <v>106710.06</v>
      </c>
      <c r="E237" s="788"/>
      <c r="F237" s="788">
        <v>3755.19</v>
      </c>
      <c r="G237" s="787">
        <f t="shared" si="53"/>
        <v>102954.87</v>
      </c>
      <c r="H237" s="789">
        <v>102954.87</v>
      </c>
      <c r="I237" s="383">
        <f t="shared" si="54"/>
        <v>100</v>
      </c>
      <c r="J237" s="402">
        <f t="shared" si="55"/>
        <v>0</v>
      </c>
      <c r="K237" s="651">
        <f t="shared" si="56"/>
        <v>0</v>
      </c>
      <c r="L237" s="147"/>
      <c r="M237" s="878"/>
      <c r="N237" s="389"/>
      <c r="O237" s="803"/>
    </row>
    <row r="238" spans="1:15" s="781" customFormat="1" ht="20.100000000000001" customHeight="1" thickBot="1" x14ac:dyDescent="0.3">
      <c r="A238" s="790" t="s">
        <v>223</v>
      </c>
      <c r="B238" s="400"/>
      <c r="C238" s="399" t="s">
        <v>1471</v>
      </c>
      <c r="D238" s="401">
        <v>70099.320000000007</v>
      </c>
      <c r="E238" s="788"/>
      <c r="F238" s="788">
        <v>330.09</v>
      </c>
      <c r="G238" s="787">
        <f t="shared" si="53"/>
        <v>69769.23000000001</v>
      </c>
      <c r="H238" s="789">
        <v>69769.23</v>
      </c>
      <c r="I238" s="383">
        <f t="shared" si="54"/>
        <v>99.999999999999972</v>
      </c>
      <c r="J238" s="402">
        <f t="shared" si="55"/>
        <v>0</v>
      </c>
      <c r="K238" s="651">
        <f t="shared" si="56"/>
        <v>0</v>
      </c>
      <c r="L238" s="147"/>
      <c r="M238" s="878"/>
      <c r="N238" s="389"/>
      <c r="O238" s="803"/>
    </row>
    <row r="239" spans="1:15" s="781" customFormat="1" ht="20.100000000000001" customHeight="1" thickBot="1" x14ac:dyDescent="0.3">
      <c r="A239" s="471" t="s">
        <v>224</v>
      </c>
      <c r="B239" s="400">
        <v>8722.34</v>
      </c>
      <c r="C239" s="399" t="s">
        <v>1470</v>
      </c>
      <c r="D239" s="401">
        <v>191544.22</v>
      </c>
      <c r="E239" s="788"/>
      <c r="F239" s="386">
        <v>3602.43</v>
      </c>
      <c r="G239" s="787">
        <f t="shared" si="53"/>
        <v>196664.13</v>
      </c>
      <c r="H239" s="789">
        <v>196664.13</v>
      </c>
      <c r="I239" s="383">
        <f t="shared" si="54"/>
        <v>100</v>
      </c>
      <c r="J239" s="402">
        <f t="shared" si="55"/>
        <v>0</v>
      </c>
      <c r="K239" s="651">
        <f t="shared" si="56"/>
        <v>0</v>
      </c>
      <c r="L239" s="147"/>
      <c r="M239" s="878"/>
      <c r="N239" s="389"/>
      <c r="O239" s="803"/>
    </row>
    <row r="240" spans="1:15" s="781" customFormat="1" ht="20.100000000000001" customHeight="1" thickBot="1" x14ac:dyDescent="0.3">
      <c r="A240" s="471" t="s">
        <v>225</v>
      </c>
      <c r="B240" s="400"/>
      <c r="C240" s="399" t="s">
        <v>1471</v>
      </c>
      <c r="D240" s="401">
        <v>684898.1</v>
      </c>
      <c r="E240" s="788"/>
      <c r="F240" s="811">
        <v>5804.8</v>
      </c>
      <c r="G240" s="787">
        <f t="shared" si="53"/>
        <v>679093.29999999993</v>
      </c>
      <c r="H240" s="789">
        <v>679093.3</v>
      </c>
      <c r="I240" s="383">
        <f t="shared" si="54"/>
        <v>100.00000000000003</v>
      </c>
      <c r="J240" s="402">
        <f t="shared" si="55"/>
        <v>0</v>
      </c>
      <c r="K240" s="651">
        <f t="shared" si="56"/>
        <v>0</v>
      </c>
      <c r="L240" s="147"/>
      <c r="M240" s="878"/>
      <c r="N240" s="389"/>
      <c r="O240" s="803"/>
    </row>
    <row r="241" spans="1:15" s="781" customFormat="1" ht="20.100000000000001" customHeight="1" thickBot="1" x14ac:dyDescent="0.3">
      <c r="A241" s="472" t="s">
        <v>226</v>
      </c>
      <c r="B241" s="416"/>
      <c r="C241" s="404" t="s">
        <v>1468</v>
      </c>
      <c r="D241" s="473">
        <v>458183.57</v>
      </c>
      <c r="E241" s="811"/>
      <c r="F241" s="417">
        <v>812.13</v>
      </c>
      <c r="G241" s="791">
        <f t="shared" si="53"/>
        <v>457371.44</v>
      </c>
      <c r="H241" s="792">
        <v>457371.44</v>
      </c>
      <c r="I241" s="383">
        <f t="shared" si="54"/>
        <v>100</v>
      </c>
      <c r="J241" s="402">
        <f t="shared" si="55"/>
        <v>0</v>
      </c>
      <c r="K241" s="651">
        <f t="shared" si="56"/>
        <v>0</v>
      </c>
      <c r="L241" s="147"/>
      <c r="M241" s="878"/>
      <c r="N241" s="389"/>
      <c r="O241" s="803"/>
    </row>
    <row r="242" spans="1:15" s="358" customFormat="1" ht="20.100000000000001" customHeight="1" thickTop="1" thickBot="1" x14ac:dyDescent="0.3">
      <c r="A242" s="467" t="s">
        <v>36</v>
      </c>
      <c r="B242" s="468">
        <f>SUM(B231:B241)</f>
        <v>8722.34</v>
      </c>
      <c r="C242" s="469"/>
      <c r="D242" s="468">
        <f>SUM(D231:D241)</f>
        <v>19051191.940000001</v>
      </c>
      <c r="E242" s="470"/>
      <c r="F242" s="470">
        <f>SUM(F231:F241)</f>
        <v>468908.18000000005</v>
      </c>
      <c r="G242" s="468">
        <f>SUM(G231:G241)</f>
        <v>18591006.100000005</v>
      </c>
      <c r="H242" s="420">
        <f>SUM(H231:H241)</f>
        <v>17939105.280000001</v>
      </c>
      <c r="I242" s="465">
        <f>H242/G242*100</f>
        <v>96.493461319449494</v>
      </c>
      <c r="J242" s="466">
        <f>SUM(J231:J241)</f>
        <v>651900.8200000003</v>
      </c>
      <c r="K242" s="466">
        <f>J242/G242*100</f>
        <v>3.5065386805504848</v>
      </c>
      <c r="L242" s="769"/>
      <c r="M242" s="879"/>
      <c r="N242" s="125"/>
      <c r="O242" s="126"/>
    </row>
    <row r="243" spans="1:15" s="781" customFormat="1" ht="20.100000000000001" customHeight="1" thickTop="1" x14ac:dyDescent="0.25">
      <c r="A243" s="793"/>
      <c r="B243" s="794"/>
      <c r="C243" s="369"/>
      <c r="D243" s="794"/>
      <c r="E243" s="362"/>
      <c r="F243" s="362"/>
      <c r="G243" s="794"/>
      <c r="H243" s="365"/>
      <c r="I243" s="396"/>
      <c r="J243" s="396"/>
      <c r="K243" s="397"/>
      <c r="L243" s="780"/>
      <c r="M243" s="878"/>
      <c r="N243" s="389"/>
      <c r="O243" s="803"/>
    </row>
    <row r="244" spans="1:15" s="781" customFormat="1" ht="20.100000000000001" customHeight="1" x14ac:dyDescent="0.25">
      <c r="A244" s="767" t="s">
        <v>37</v>
      </c>
      <c r="B244" s="798"/>
      <c r="C244" s="817"/>
      <c r="D244" s="387"/>
      <c r="E244" s="780"/>
      <c r="F244" s="780"/>
      <c r="G244" s="387"/>
      <c r="H244" s="387"/>
      <c r="I244" s="775"/>
      <c r="J244" s="775"/>
      <c r="K244" s="803"/>
      <c r="L244" s="780"/>
      <c r="M244" s="878"/>
      <c r="N244" s="389"/>
      <c r="O244" s="803"/>
    </row>
    <row r="245" spans="1:15" s="781" customFormat="1" ht="20.100000000000001" customHeight="1" x14ac:dyDescent="0.25">
      <c r="A245" s="768"/>
      <c r="B245" s="781" t="s">
        <v>228</v>
      </c>
      <c r="C245" s="780">
        <v>651900.81999999995</v>
      </c>
      <c r="D245" s="780"/>
      <c r="E245" s="780" t="s">
        <v>1474</v>
      </c>
      <c r="F245" s="780"/>
      <c r="G245" s="797"/>
      <c r="H245" s="387"/>
      <c r="I245" s="775"/>
      <c r="J245" s="772"/>
      <c r="K245" s="772"/>
      <c r="L245" s="780"/>
      <c r="M245" s="878"/>
      <c r="N245" s="389"/>
      <c r="O245" s="803"/>
    </row>
    <row r="246" spans="1:15" s="781" customFormat="1" ht="20.100000000000001" customHeight="1" thickBot="1" x14ac:dyDescent="0.3">
      <c r="A246" s="387"/>
      <c r="C246" s="795">
        <f>SUM(C245:C245)</f>
        <v>651900.81999999995</v>
      </c>
      <c r="D246" s="769" t="s">
        <v>55</v>
      </c>
      <c r="E246" s="780"/>
      <c r="F246" s="780"/>
      <c r="G246" s="797"/>
      <c r="H246" s="754"/>
      <c r="I246" s="775"/>
      <c r="J246" s="772"/>
      <c r="K246" s="772"/>
      <c r="L246" s="780"/>
      <c r="M246" s="878"/>
      <c r="N246" s="389"/>
      <c r="O246" s="803"/>
    </row>
    <row r="247" spans="1:15" ht="20.100000000000001" customHeight="1" thickTop="1" x14ac:dyDescent="0.25"/>
  </sheetData>
  <printOptions horizontalCentered="1"/>
  <pageMargins left="0.3" right="0.3" top="0.7" bottom="0.7" header="0.3" footer="0.3"/>
  <pageSetup scale="48" fitToHeight="0" orientation="landscape" r:id="rId1"/>
  <headerFooter>
    <oddHeader>&amp;F</oddHeader>
    <oddFooter>&amp;A&amp;RPage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4"/>
  <sheetViews>
    <sheetView topLeftCell="A141" zoomScaleNormal="100" workbookViewId="0">
      <selection activeCell="G147" sqref="G147"/>
    </sheetView>
  </sheetViews>
  <sheetFormatPr defaultColWidth="13.85546875" defaultRowHeight="16.5" x14ac:dyDescent="0.25"/>
  <cols>
    <col min="1" max="1" width="28.42578125" style="354" customWidth="1"/>
    <col min="2" max="2" width="20.7109375" style="354" customWidth="1"/>
    <col min="3" max="3" width="20.7109375" style="357" customWidth="1"/>
    <col min="4" max="5" width="20.7109375" style="355" customWidth="1"/>
    <col min="6" max="6" width="20.7109375" style="357" customWidth="1"/>
    <col min="7" max="7" width="20.7109375" style="355" customWidth="1"/>
    <col min="8" max="8" width="20.7109375" style="356" customWidth="1"/>
    <col min="9" max="10" width="20.7109375" style="25" customWidth="1"/>
    <col min="11" max="16384" width="13.85546875" style="354"/>
  </cols>
  <sheetData>
    <row r="1" spans="1:12" ht="21.75" customHeight="1" x14ac:dyDescent="0.25">
      <c r="A1" s="163"/>
      <c r="B1" s="163"/>
      <c r="C1" s="165" t="s">
        <v>95</v>
      </c>
      <c r="D1" s="165"/>
      <c r="E1" s="165"/>
      <c r="F1" s="165"/>
      <c r="G1" s="166"/>
      <c r="H1" s="167"/>
      <c r="I1" s="168"/>
      <c r="J1" s="163"/>
      <c r="K1" s="371"/>
      <c r="L1" s="368"/>
    </row>
    <row r="2" spans="1:12" ht="21.75" customHeight="1" thickBot="1" x14ac:dyDescent="0.3">
      <c r="A2" s="357"/>
      <c r="B2" s="226"/>
      <c r="C2" s="226"/>
      <c r="D2" s="357"/>
      <c r="E2" s="357"/>
      <c r="F2" s="226"/>
      <c r="G2" s="357"/>
      <c r="H2" s="354"/>
      <c r="I2" s="354"/>
      <c r="J2" s="354"/>
      <c r="K2" s="368"/>
      <c r="L2" s="368"/>
    </row>
    <row r="3" spans="1:12" ht="57.75" customHeight="1" thickBot="1" x14ac:dyDescent="0.3">
      <c r="A3" s="169" t="s">
        <v>13</v>
      </c>
      <c r="B3" s="170" t="s">
        <v>14</v>
      </c>
      <c r="C3" s="171" t="s">
        <v>58</v>
      </c>
      <c r="D3" s="171" t="s">
        <v>17</v>
      </c>
      <c r="E3" s="171" t="s">
        <v>18</v>
      </c>
      <c r="F3" s="170" t="s">
        <v>19</v>
      </c>
      <c r="G3" s="172" t="s">
        <v>20</v>
      </c>
      <c r="H3" s="172" t="s">
        <v>21</v>
      </c>
      <c r="I3" s="172" t="s">
        <v>22</v>
      </c>
      <c r="J3" s="171" t="s">
        <v>23</v>
      </c>
      <c r="K3" s="120"/>
      <c r="L3" s="368"/>
    </row>
    <row r="4" spans="1:12" ht="21.75" customHeight="1" x14ac:dyDescent="0.25">
      <c r="A4" s="378" t="s">
        <v>47</v>
      </c>
      <c r="B4" s="374">
        <v>79988.709999999963</v>
      </c>
      <c r="C4" s="372">
        <v>1201916.95</v>
      </c>
      <c r="D4" s="373">
        <v>0</v>
      </c>
      <c r="E4" s="373">
        <v>0</v>
      </c>
      <c r="F4" s="372">
        <f>B4+C4-D4-E4</f>
        <v>1281905.6599999999</v>
      </c>
      <c r="G4" s="374">
        <f>1168313.05-E4</f>
        <v>1168313.05</v>
      </c>
      <c r="H4" s="374">
        <f>G4/F4*100</f>
        <v>91.138769915408602</v>
      </c>
      <c r="I4" s="374">
        <f>F4-G4</f>
        <v>113592.60999999987</v>
      </c>
      <c r="J4" s="373">
        <f>I4/F4*100</f>
        <v>8.8612300845913943</v>
      </c>
      <c r="K4" s="384"/>
      <c r="L4" s="368"/>
    </row>
    <row r="5" spans="1:12" ht="21.75" customHeight="1" thickBot="1" x14ac:dyDescent="0.3">
      <c r="A5" s="381" t="s">
        <v>50</v>
      </c>
      <c r="B5" s="198">
        <v>0</v>
      </c>
      <c r="C5" s="197">
        <f>394465.34+2749730.81</f>
        <v>3144196.15</v>
      </c>
      <c r="D5" s="382">
        <v>0</v>
      </c>
      <c r="E5" s="382">
        <v>0</v>
      </c>
      <c r="F5" s="197">
        <f>B5+C5-D5-E5</f>
        <v>3144196.15</v>
      </c>
      <c r="G5" s="198">
        <v>2494232.27</v>
      </c>
      <c r="H5" s="198">
        <f>G5/F5*100</f>
        <v>79.328138290608877</v>
      </c>
      <c r="I5" s="198">
        <f>F5-G5</f>
        <v>649963.87999999989</v>
      </c>
      <c r="J5" s="382">
        <f>I5/F5*100</f>
        <v>20.671861709391123</v>
      </c>
      <c r="K5" s="371"/>
      <c r="L5" s="368"/>
    </row>
    <row r="6" spans="1:12" ht="21.75" customHeight="1" thickTop="1" thickBot="1" x14ac:dyDescent="0.3">
      <c r="A6" s="200" t="s">
        <v>36</v>
      </c>
      <c r="B6" s="420">
        <f>SUM(B4:B5)</f>
        <v>79988.709999999963</v>
      </c>
      <c r="C6" s="420">
        <f>SUM(C4:C5)</f>
        <v>4346113.0999999996</v>
      </c>
      <c r="D6" s="201">
        <v>0</v>
      </c>
      <c r="E6" s="201">
        <f>SUM(E4:E5)</f>
        <v>0</v>
      </c>
      <c r="F6" s="420">
        <f>SUM(F4:F5)</f>
        <v>4426101.8099999996</v>
      </c>
      <c r="G6" s="420">
        <f>SUM(G4:G5)</f>
        <v>3662545.3200000003</v>
      </c>
      <c r="H6" s="203">
        <f>G6/F6*100</f>
        <v>82.748781596598675</v>
      </c>
      <c r="I6" s="420">
        <f>SUM(I4:I5)</f>
        <v>763556.48999999976</v>
      </c>
      <c r="J6" s="201">
        <f>I6/F6*100</f>
        <v>17.251218403401342</v>
      </c>
      <c r="K6" s="371"/>
      <c r="L6" s="368"/>
    </row>
    <row r="7" spans="1:12" ht="21.75" customHeight="1" thickTop="1" x14ac:dyDescent="0.25">
      <c r="A7" s="360"/>
      <c r="B7" s="361"/>
      <c r="C7" s="361"/>
      <c r="D7" s="362"/>
      <c r="E7" s="362"/>
      <c r="F7" s="361"/>
      <c r="G7" s="365"/>
      <c r="H7" s="365"/>
      <c r="I7" s="365"/>
      <c r="J7" s="362"/>
      <c r="K7" s="371"/>
      <c r="L7" s="368"/>
    </row>
    <row r="8" spans="1:12" ht="21.75" customHeight="1" x14ac:dyDescent="0.25">
      <c r="A8" s="363" t="s">
        <v>37</v>
      </c>
      <c r="B8" s="226"/>
      <c r="D8" s="357"/>
      <c r="E8" s="357"/>
      <c r="F8" s="354"/>
      <c r="G8" s="354"/>
      <c r="H8" s="354"/>
      <c r="I8" s="354"/>
      <c r="J8" s="354"/>
      <c r="K8" s="371"/>
      <c r="L8" s="368"/>
    </row>
    <row r="9" spans="1:12" ht="21.75" customHeight="1" x14ac:dyDescent="0.25">
      <c r="A9" s="31" t="s">
        <v>96</v>
      </c>
      <c r="B9" s="367" t="s">
        <v>97</v>
      </c>
      <c r="C9" s="371">
        <v>113592.61</v>
      </c>
      <c r="D9" s="357" t="s">
        <v>55</v>
      </c>
      <c r="E9" s="357" t="s">
        <v>661</v>
      </c>
      <c r="F9" s="354"/>
      <c r="G9" s="354"/>
      <c r="H9" s="354"/>
      <c r="I9" s="354"/>
      <c r="J9" s="354"/>
      <c r="K9" s="368"/>
      <c r="L9" s="368"/>
    </row>
    <row r="10" spans="1:12" ht="21.75" customHeight="1" x14ac:dyDescent="0.25">
      <c r="A10" s="367"/>
      <c r="B10" s="367" t="s">
        <v>98</v>
      </c>
      <c r="C10" s="371">
        <v>255498.54</v>
      </c>
      <c r="D10" s="357" t="s">
        <v>55</v>
      </c>
      <c r="E10" s="357" t="s">
        <v>99</v>
      </c>
      <c r="F10" s="354"/>
      <c r="G10" s="354"/>
      <c r="H10" s="354"/>
      <c r="I10" s="354"/>
      <c r="J10" s="354"/>
      <c r="K10" s="368"/>
      <c r="L10" s="368"/>
    </row>
    <row r="11" spans="1:12" ht="21.75" customHeight="1" x14ac:dyDescent="0.25">
      <c r="A11" s="367"/>
      <c r="B11" s="367" t="s">
        <v>98</v>
      </c>
      <c r="C11" s="371">
        <v>394465.34</v>
      </c>
      <c r="D11" s="357" t="s">
        <v>55</v>
      </c>
      <c r="E11" s="357" t="s">
        <v>661</v>
      </c>
      <c r="F11" s="354"/>
      <c r="G11" s="354"/>
      <c r="H11" s="354"/>
      <c r="I11" s="354"/>
      <c r="J11" s="354"/>
      <c r="K11" s="368"/>
      <c r="L11" s="368"/>
    </row>
    <row r="12" spans="1:12" ht="21.75" customHeight="1" thickBot="1" x14ac:dyDescent="0.3">
      <c r="B12" s="226"/>
      <c r="C12" s="225">
        <f>SUM(C9:C11)</f>
        <v>763556.49</v>
      </c>
      <c r="D12" s="370" t="s">
        <v>55</v>
      </c>
      <c r="E12" s="357"/>
      <c r="F12" s="354"/>
      <c r="G12" s="354"/>
      <c r="H12" s="354"/>
      <c r="I12" s="354"/>
      <c r="J12" s="354"/>
      <c r="K12" s="368"/>
      <c r="L12" s="368"/>
    </row>
    <row r="13" spans="1:12" ht="21.75" customHeight="1" thickTop="1" x14ac:dyDescent="0.25">
      <c r="B13" s="367"/>
      <c r="D13" s="357"/>
      <c r="E13" s="357"/>
      <c r="F13" s="354"/>
      <c r="G13" s="354"/>
      <c r="H13" s="354"/>
      <c r="I13" s="354"/>
      <c r="J13" s="354"/>
    </row>
    <row r="14" spans="1:12" ht="21.75" customHeight="1" x14ac:dyDescent="0.3">
      <c r="B14" s="78"/>
      <c r="C14" s="48"/>
      <c r="D14" s="370"/>
      <c r="E14" s="357"/>
      <c r="F14" s="354"/>
      <c r="G14" s="354"/>
      <c r="H14" s="354"/>
      <c r="I14" s="354"/>
      <c r="J14" s="354"/>
    </row>
    <row r="15" spans="1:12" ht="21.75" customHeight="1" x14ac:dyDescent="0.25">
      <c r="A15" s="163"/>
      <c r="B15" s="163"/>
      <c r="C15" s="165" t="s">
        <v>318</v>
      </c>
      <c r="D15" s="165"/>
      <c r="E15" s="165"/>
      <c r="F15" s="165"/>
      <c r="G15" s="166"/>
      <c r="H15" s="167"/>
      <c r="I15" s="168"/>
      <c r="J15" s="163"/>
      <c r="K15" s="371"/>
      <c r="L15" s="368"/>
    </row>
    <row r="16" spans="1:12" ht="21.75" customHeight="1" thickBot="1" x14ac:dyDescent="0.3">
      <c r="A16" s="357"/>
      <c r="B16"/>
      <c r="C16"/>
      <c r="D16" s="357"/>
      <c r="E16" s="357"/>
      <c r="F16"/>
      <c r="G16" s="357"/>
      <c r="H16" s="354"/>
      <c r="I16" s="354"/>
      <c r="J16" s="354"/>
      <c r="K16" s="368"/>
      <c r="L16" s="368"/>
    </row>
    <row r="17" spans="1:12" ht="57.75" customHeight="1" thickBot="1" x14ac:dyDescent="0.3">
      <c r="A17" s="169" t="s">
        <v>263</v>
      </c>
      <c r="B17" s="170" t="s">
        <v>14</v>
      </c>
      <c r="C17" s="171" t="s">
        <v>253</v>
      </c>
      <c r="D17" s="171" t="s">
        <v>17</v>
      </c>
      <c r="E17" s="171" t="s">
        <v>18</v>
      </c>
      <c r="F17" s="170" t="s">
        <v>19</v>
      </c>
      <c r="G17" s="172" t="s">
        <v>20</v>
      </c>
      <c r="H17" s="172" t="s">
        <v>21</v>
      </c>
      <c r="I17" s="172" t="s">
        <v>22</v>
      </c>
      <c r="J17" s="171" t="s">
        <v>23</v>
      </c>
      <c r="K17" s="120"/>
      <c r="L17" s="368"/>
    </row>
    <row r="18" spans="1:12" ht="21.75" customHeight="1" x14ac:dyDescent="0.25">
      <c r="A18" s="378" t="s">
        <v>47</v>
      </c>
      <c r="B18" s="374">
        <v>113592.60999999987</v>
      </c>
      <c r="C18" s="372">
        <v>1455462.72</v>
      </c>
      <c r="D18" s="373">
        <v>0</v>
      </c>
      <c r="E18" s="373">
        <v>0</v>
      </c>
      <c r="F18" s="372">
        <f>B18+C18-D18-E18</f>
        <v>1569055.3299999998</v>
      </c>
      <c r="G18" s="374">
        <f>1569055.33-E18</f>
        <v>1569055.33</v>
      </c>
      <c r="H18" s="374">
        <f>G18/F18*100</f>
        <v>100.00000000000003</v>
      </c>
      <c r="I18" s="374">
        <f>F18-G18</f>
        <v>0</v>
      </c>
      <c r="J18" s="373">
        <f>I18/F18*100</f>
        <v>0</v>
      </c>
      <c r="K18" s="384"/>
      <c r="L18" s="368"/>
    </row>
    <row r="19" spans="1:12" ht="21.75" customHeight="1" thickBot="1" x14ac:dyDescent="0.3">
      <c r="A19" s="381" t="s">
        <v>50</v>
      </c>
      <c r="B19" s="198">
        <v>649963.87999999989</v>
      </c>
      <c r="C19" s="197">
        <v>2665050.29</v>
      </c>
      <c r="D19" s="382">
        <v>0</v>
      </c>
      <c r="E19" s="382">
        <v>0</v>
      </c>
      <c r="F19" s="197">
        <f>B19+C19-D19-E19</f>
        <v>3315014.17</v>
      </c>
      <c r="G19" s="198">
        <v>3315014.17</v>
      </c>
      <c r="H19" s="198">
        <f>G19/F19*100</f>
        <v>100</v>
      </c>
      <c r="I19" s="198">
        <f>F19-G19</f>
        <v>0</v>
      </c>
      <c r="J19" s="382">
        <f>I19/F19*100</f>
        <v>0</v>
      </c>
      <c r="K19" s="371"/>
      <c r="L19" s="368"/>
    </row>
    <row r="20" spans="1:12" ht="21.75" customHeight="1" thickTop="1" thickBot="1" x14ac:dyDescent="0.3">
      <c r="A20" s="200" t="s">
        <v>36</v>
      </c>
      <c r="B20" s="420">
        <f>SUM(B18:B19)</f>
        <v>763556.48999999976</v>
      </c>
      <c r="C20" s="420">
        <f>SUM(C18:C19)</f>
        <v>4120513.01</v>
      </c>
      <c r="D20" s="201">
        <v>0</v>
      </c>
      <c r="E20" s="201">
        <f>SUM(E18:E19)</f>
        <v>0</v>
      </c>
      <c r="F20" s="420">
        <f>SUM(F18:F19)</f>
        <v>4884069.5</v>
      </c>
      <c r="G20" s="420">
        <f>SUM(G18:G19)</f>
        <v>4884069.5</v>
      </c>
      <c r="H20" s="203">
        <f>G20/F20*100</f>
        <v>100</v>
      </c>
      <c r="I20" s="420">
        <f>SUM(I18:I19)</f>
        <v>0</v>
      </c>
      <c r="J20" s="201">
        <f>I20/F20*100</f>
        <v>0</v>
      </c>
      <c r="K20" s="371"/>
      <c r="L20" s="368"/>
    </row>
    <row r="21" spans="1:12" ht="21.75" customHeight="1" thickTop="1" x14ac:dyDescent="0.25">
      <c r="A21" s="358"/>
      <c r="B21" s="57"/>
      <c r="D21" s="68"/>
      <c r="E21" s="68"/>
      <c r="G21" s="57"/>
      <c r="H21" s="57"/>
      <c r="I21" s="57"/>
      <c r="J21" s="68"/>
      <c r="K21" s="100"/>
      <c r="L21" s="385"/>
    </row>
    <row r="22" spans="1:12" ht="21.75" customHeight="1" x14ac:dyDescent="0.25">
      <c r="A22" s="358"/>
      <c r="B22" s="57"/>
      <c r="D22" s="68"/>
      <c r="E22" s="68"/>
      <c r="G22" s="57"/>
      <c r="H22" s="57"/>
      <c r="I22" s="57"/>
      <c r="J22" s="68"/>
      <c r="K22" s="100"/>
      <c r="L22" s="385"/>
    </row>
    <row r="23" spans="1:12" ht="21.75" customHeight="1" x14ac:dyDescent="0.25">
      <c r="A23" s="163"/>
      <c r="B23" s="163"/>
      <c r="C23" s="165" t="s">
        <v>447</v>
      </c>
      <c r="D23" s="165"/>
      <c r="E23" s="165"/>
      <c r="F23" s="165"/>
      <c r="G23" s="166"/>
      <c r="H23" s="167"/>
      <c r="I23" s="168"/>
      <c r="J23" s="163"/>
      <c r="K23" s="371"/>
      <c r="L23" s="368"/>
    </row>
    <row r="24" spans="1:12" ht="21.75" customHeight="1" thickBot="1" x14ac:dyDescent="0.3">
      <c r="A24" s="357"/>
      <c r="B24"/>
      <c r="C24"/>
      <c r="D24" s="357"/>
      <c r="E24" s="357"/>
      <c r="F24"/>
      <c r="G24" s="357"/>
      <c r="H24" s="354"/>
      <c r="I24" s="354"/>
      <c r="J24" s="354"/>
      <c r="K24" s="368"/>
      <c r="L24" s="368"/>
    </row>
    <row r="25" spans="1:12" ht="57.75" customHeight="1" thickBot="1" x14ac:dyDescent="0.3">
      <c r="A25" s="169" t="s">
        <v>373</v>
      </c>
      <c r="B25" s="170" t="s">
        <v>14</v>
      </c>
      <c r="C25" s="171" t="s">
        <v>335</v>
      </c>
      <c r="D25" s="171" t="s">
        <v>17</v>
      </c>
      <c r="E25" s="171" t="s">
        <v>18</v>
      </c>
      <c r="F25" s="170" t="s">
        <v>19</v>
      </c>
      <c r="G25" s="172" t="s">
        <v>20</v>
      </c>
      <c r="H25" s="172" t="s">
        <v>21</v>
      </c>
      <c r="I25" s="172" t="s">
        <v>22</v>
      </c>
      <c r="J25" s="171" t="s">
        <v>23</v>
      </c>
      <c r="K25" s="120"/>
      <c r="L25" s="368"/>
    </row>
    <row r="26" spans="1:12" ht="21.75" customHeight="1" x14ac:dyDescent="0.25">
      <c r="A26" s="378" t="s">
        <v>47</v>
      </c>
      <c r="B26" s="374">
        <v>0</v>
      </c>
      <c r="C26" s="372">
        <v>800544.52</v>
      </c>
      <c r="D26" s="373">
        <v>0</v>
      </c>
      <c r="E26" s="373">
        <v>0</v>
      </c>
      <c r="F26" s="372">
        <f>B26+C26-D26-E26</f>
        <v>800544.52</v>
      </c>
      <c r="G26" s="374">
        <f>698227.95-E26</f>
        <v>698227.95</v>
      </c>
      <c r="H26" s="374">
        <f>G26/F26*100</f>
        <v>87.219128050492429</v>
      </c>
      <c r="I26" s="374">
        <f>F26-G26</f>
        <v>102316.57000000007</v>
      </c>
      <c r="J26" s="373">
        <f>I26/F26*100</f>
        <v>12.780871949507574</v>
      </c>
      <c r="K26" s="384"/>
      <c r="L26" s="368"/>
    </row>
    <row r="27" spans="1:12" ht="21.75" customHeight="1" thickBot="1" x14ac:dyDescent="0.3">
      <c r="A27" s="381" t="s">
        <v>50</v>
      </c>
      <c r="B27" s="374">
        <v>0</v>
      </c>
      <c r="C27" s="197">
        <v>1545609.46</v>
      </c>
      <c r="D27" s="382">
        <v>0</v>
      </c>
      <c r="E27" s="382">
        <v>8760.64</v>
      </c>
      <c r="F27" s="372">
        <f>B27+C27-D27-E27</f>
        <v>1536848.82</v>
      </c>
      <c r="G27" s="374">
        <f>1340719.51-E27</f>
        <v>1331958.8700000001</v>
      </c>
      <c r="H27" s="374">
        <f>G27/F27*100</f>
        <v>86.668177940885556</v>
      </c>
      <c r="I27" s="374">
        <f>F27-G27</f>
        <v>204889.94999999995</v>
      </c>
      <c r="J27" s="373">
        <f>I27/F27*100</f>
        <v>13.331822059114437</v>
      </c>
      <c r="K27" s="371"/>
      <c r="L27" s="368"/>
    </row>
    <row r="28" spans="1:12" ht="21.75" customHeight="1" thickTop="1" thickBot="1" x14ac:dyDescent="0.3">
      <c r="A28" s="200" t="s">
        <v>36</v>
      </c>
      <c r="B28" s="420">
        <f>SUM(B26:B27)</f>
        <v>0</v>
      </c>
      <c r="C28" s="420">
        <f>SUM(C26:C27)</f>
        <v>2346153.98</v>
      </c>
      <c r="D28" s="201">
        <v>0</v>
      </c>
      <c r="E28" s="201">
        <f>SUM(E26:E27)</f>
        <v>8760.64</v>
      </c>
      <c r="F28" s="420">
        <f>SUM(F26:F27)</f>
        <v>2337393.34</v>
      </c>
      <c r="G28" s="420">
        <f>SUM(G26:G27)</f>
        <v>2030186.82</v>
      </c>
      <c r="H28" s="203">
        <f>G28/F28*100</f>
        <v>86.856875360139441</v>
      </c>
      <c r="I28" s="420">
        <f>SUM(I26:I27)</f>
        <v>307206.52</v>
      </c>
      <c r="J28" s="201">
        <f>I28/F28*100</f>
        <v>13.143124639860574</v>
      </c>
      <c r="K28" s="371"/>
      <c r="L28" s="368"/>
    </row>
    <row r="29" spans="1:12" ht="17.25" thickTop="1" x14ac:dyDescent="0.25">
      <c r="D29" s="357"/>
      <c r="E29" s="357"/>
      <c r="J29" s="354"/>
      <c r="K29" s="371"/>
      <c r="L29" s="368"/>
    </row>
    <row r="30" spans="1:12" x14ac:dyDescent="0.25">
      <c r="A30" s="363" t="s">
        <v>37</v>
      </c>
      <c r="B30"/>
      <c r="D30" s="357"/>
      <c r="E30" s="357"/>
      <c r="J30" s="354"/>
      <c r="K30" s="371"/>
      <c r="L30" s="368"/>
    </row>
    <row r="31" spans="1:12" x14ac:dyDescent="0.25">
      <c r="A31" s="367" t="s">
        <v>96</v>
      </c>
      <c r="B31" s="367" t="s">
        <v>97</v>
      </c>
      <c r="C31" s="371">
        <v>102316.57</v>
      </c>
      <c r="D31" s="357" t="s">
        <v>55</v>
      </c>
      <c r="E31" s="357" t="s">
        <v>660</v>
      </c>
      <c r="J31" s="354"/>
      <c r="K31" s="371"/>
      <c r="L31" s="368"/>
    </row>
    <row r="32" spans="1:12" x14ac:dyDescent="0.25">
      <c r="A32" s="367"/>
      <c r="B32" s="367" t="s">
        <v>98</v>
      </c>
      <c r="C32" s="371">
        <v>204889.95</v>
      </c>
      <c r="D32" s="357" t="s">
        <v>55</v>
      </c>
      <c r="E32" s="357" t="s">
        <v>660</v>
      </c>
      <c r="J32" s="354"/>
      <c r="K32" s="371"/>
      <c r="L32" s="368"/>
    </row>
    <row r="33" spans="1:12" ht="17.25" thickBot="1" x14ac:dyDescent="0.3">
      <c r="B33"/>
      <c r="C33" s="225">
        <f>SUM(C31:C32)</f>
        <v>307206.52</v>
      </c>
      <c r="D33" s="370" t="s">
        <v>55</v>
      </c>
      <c r="E33" s="357"/>
      <c r="J33" s="354"/>
      <c r="K33" s="371"/>
      <c r="L33" s="368"/>
    </row>
    <row r="34" spans="1:12" ht="20.25" customHeight="1" thickTop="1" x14ac:dyDescent="0.25">
      <c r="A34" s="72"/>
      <c r="B34" s="72"/>
      <c r="C34" s="73"/>
      <c r="D34" s="73"/>
      <c r="E34" s="73"/>
      <c r="F34" s="72"/>
      <c r="G34" s="74"/>
      <c r="H34" s="74"/>
      <c r="I34" s="74"/>
      <c r="J34" s="73"/>
    </row>
    <row r="35" spans="1:12" ht="21.75" customHeight="1" x14ac:dyDescent="0.25">
      <c r="A35" s="358"/>
      <c r="B35" s="57"/>
      <c r="D35" s="68"/>
      <c r="E35" s="68"/>
      <c r="G35" s="57"/>
      <c r="H35" s="57"/>
      <c r="I35" s="57"/>
      <c r="J35" s="68"/>
    </row>
    <row r="36" spans="1:12" ht="21.75" customHeight="1" x14ac:dyDescent="0.25">
      <c r="A36" s="163"/>
      <c r="B36" s="163"/>
      <c r="C36" s="165" t="s">
        <v>489</v>
      </c>
      <c r="D36" s="165"/>
      <c r="E36" s="165"/>
      <c r="F36" s="165"/>
      <c r="G36" s="166"/>
      <c r="H36" s="167"/>
      <c r="I36" s="168"/>
      <c r="J36" s="163"/>
      <c r="K36" s="371"/>
      <c r="L36" s="368"/>
    </row>
    <row r="37" spans="1:12" ht="21.75" customHeight="1" thickBot="1" x14ac:dyDescent="0.3">
      <c r="A37" s="357"/>
      <c r="B37"/>
      <c r="C37"/>
      <c r="D37" s="357"/>
      <c r="E37" s="357"/>
      <c r="F37"/>
      <c r="G37" s="357"/>
      <c r="H37" s="354"/>
      <c r="I37" s="354"/>
      <c r="J37" s="354"/>
      <c r="K37" s="368"/>
      <c r="L37" s="368"/>
    </row>
    <row r="38" spans="1:12" ht="57.75" customHeight="1" thickBot="1" x14ac:dyDescent="0.3">
      <c r="A38" s="169" t="s">
        <v>470</v>
      </c>
      <c r="B38" s="170" t="s">
        <v>14</v>
      </c>
      <c r="C38" s="171" t="s">
        <v>405</v>
      </c>
      <c r="D38" s="171" t="s">
        <v>17</v>
      </c>
      <c r="E38" s="171" t="s">
        <v>18</v>
      </c>
      <c r="F38" s="170" t="s">
        <v>19</v>
      </c>
      <c r="G38" s="172" t="s">
        <v>20</v>
      </c>
      <c r="H38" s="172" t="s">
        <v>21</v>
      </c>
      <c r="I38" s="172" t="s">
        <v>22</v>
      </c>
      <c r="J38" s="171" t="s">
        <v>23</v>
      </c>
      <c r="K38" s="120"/>
      <c r="L38" s="368"/>
    </row>
    <row r="39" spans="1:12" ht="21.75" customHeight="1" x14ac:dyDescent="0.25">
      <c r="A39" s="378" t="s">
        <v>47</v>
      </c>
      <c r="B39" s="374">
        <v>102316.57000000007</v>
      </c>
      <c r="C39" s="372">
        <f>648864.62-1717.52</f>
        <v>647147.1</v>
      </c>
      <c r="D39" s="373">
        <v>0</v>
      </c>
      <c r="E39" s="373">
        <v>0</v>
      </c>
      <c r="F39" s="372">
        <f>B39+C39-D39-E39</f>
        <v>749463.67</v>
      </c>
      <c r="G39" s="374">
        <f>743446.05-E39</f>
        <v>743446.05</v>
      </c>
      <c r="H39" s="374">
        <f>G39/F39*100</f>
        <v>99.197076490712348</v>
      </c>
      <c r="I39" s="374">
        <f>F39-G39</f>
        <v>6017.6199999999953</v>
      </c>
      <c r="J39" s="373">
        <f>I39/F39*100</f>
        <v>0.80292350928764766</v>
      </c>
      <c r="K39" s="384"/>
      <c r="L39" s="368"/>
    </row>
    <row r="40" spans="1:12" ht="21.75" customHeight="1" x14ac:dyDescent="0.25">
      <c r="A40" s="381" t="s">
        <v>50</v>
      </c>
      <c r="B40" s="374">
        <v>204889.94999999995</v>
      </c>
      <c r="C40" s="197">
        <v>1817030.16</v>
      </c>
      <c r="D40" s="382">
        <v>0</v>
      </c>
      <c r="E40" s="382">
        <v>0</v>
      </c>
      <c r="F40" s="372">
        <f>B40+C40-D40-E40</f>
        <v>2021920.1099999999</v>
      </c>
      <c r="G40" s="374">
        <f>1490032.73-E40</f>
        <v>1490032.73</v>
      </c>
      <c r="H40" s="374">
        <f>G40/F40*100</f>
        <v>73.69394679001438</v>
      </c>
      <c r="I40" s="374">
        <f>F40-G40</f>
        <v>531887.37999999989</v>
      </c>
      <c r="J40" s="373">
        <f>I40/F40*100</f>
        <v>26.306053209985624</v>
      </c>
      <c r="K40" s="371"/>
      <c r="L40" s="368"/>
    </row>
    <row r="41" spans="1:12" ht="21.75" customHeight="1" thickBot="1" x14ac:dyDescent="0.3">
      <c r="A41" s="375" t="s">
        <v>36</v>
      </c>
      <c r="B41" s="571">
        <f>SUM(B39:B40)</f>
        <v>307206.52</v>
      </c>
      <c r="C41" s="571">
        <f>SUM(C39:C40)</f>
        <v>2464177.2599999998</v>
      </c>
      <c r="D41" s="186">
        <v>0</v>
      </c>
      <c r="E41" s="186">
        <f>SUM(E39:E40)</f>
        <v>0</v>
      </c>
      <c r="F41" s="571">
        <f>SUM(F39:F40)</f>
        <v>2771383.78</v>
      </c>
      <c r="G41" s="571">
        <f>SUM(G39:G40)</f>
        <v>2233478.7800000003</v>
      </c>
      <c r="H41" s="187">
        <f>G41/F41*100</f>
        <v>80.590743011420827</v>
      </c>
      <c r="I41" s="571">
        <f>SUM(I39:I40)</f>
        <v>537904.99999999988</v>
      </c>
      <c r="J41" s="186">
        <f>I41/F41*100</f>
        <v>19.40925698857918</v>
      </c>
      <c r="K41" s="371"/>
      <c r="L41" s="368"/>
    </row>
    <row r="42" spans="1:12" ht="17.25" thickTop="1" x14ac:dyDescent="0.25">
      <c r="D42" s="357"/>
      <c r="E42" s="357"/>
      <c r="I42" s="598"/>
      <c r="J42" s="354"/>
      <c r="K42" s="371"/>
      <c r="L42" s="368"/>
    </row>
    <row r="43" spans="1:12" x14ac:dyDescent="0.25">
      <c r="A43" s="363" t="s">
        <v>37</v>
      </c>
      <c r="B43"/>
      <c r="D43" s="357"/>
      <c r="E43" s="357"/>
      <c r="J43" s="354"/>
      <c r="K43" s="371"/>
      <c r="L43" s="368"/>
    </row>
    <row r="44" spans="1:12" x14ac:dyDescent="0.25">
      <c r="A44" s="367" t="s">
        <v>96</v>
      </c>
      <c r="B44" s="367" t="s">
        <v>97</v>
      </c>
      <c r="C44" s="371">
        <v>6017.62</v>
      </c>
      <c r="D44" s="357" t="s">
        <v>55</v>
      </c>
      <c r="E44" s="357" t="s">
        <v>659</v>
      </c>
      <c r="J44" s="354"/>
      <c r="K44" s="371"/>
      <c r="L44" s="368"/>
    </row>
    <row r="45" spans="1:12" x14ac:dyDescent="0.25">
      <c r="A45" s="367"/>
      <c r="B45" s="367" t="s">
        <v>98</v>
      </c>
      <c r="C45" s="371">
        <v>531887.38</v>
      </c>
      <c r="D45" s="357" t="s">
        <v>55</v>
      </c>
      <c r="E45" s="357" t="s">
        <v>659</v>
      </c>
      <c r="J45" s="354"/>
      <c r="K45" s="371"/>
      <c r="L45" s="368"/>
    </row>
    <row r="46" spans="1:12" ht="17.25" thickBot="1" x14ac:dyDescent="0.3">
      <c r="B46"/>
      <c r="C46" s="225">
        <f>SUM(C44:C45)</f>
        <v>537905</v>
      </c>
      <c r="D46" s="370" t="s">
        <v>55</v>
      </c>
      <c r="E46" s="357"/>
      <c r="J46" s="354"/>
      <c r="K46" s="371"/>
      <c r="L46" s="368"/>
    </row>
    <row r="47" spans="1:12" ht="21.75" customHeight="1" thickTop="1" x14ac:dyDescent="0.25">
      <c r="A47" s="33"/>
      <c r="B47" s="33"/>
      <c r="C47" s="366"/>
      <c r="D47" s="366"/>
      <c r="E47" s="366"/>
      <c r="F47" s="366"/>
      <c r="J47" s="33"/>
      <c r="K47" s="100"/>
      <c r="L47" s="385"/>
    </row>
    <row r="48" spans="1:12" ht="21.75" customHeight="1" x14ac:dyDescent="0.3">
      <c r="A48" s="357"/>
      <c r="B48" s="78"/>
      <c r="C48" s="78"/>
      <c r="D48" s="357"/>
      <c r="E48" s="357"/>
      <c r="F48" s="78"/>
      <c r="G48" s="357"/>
      <c r="H48" s="354"/>
      <c r="I48" s="354"/>
      <c r="J48" s="354"/>
      <c r="K48" s="385"/>
      <c r="L48" s="385"/>
    </row>
    <row r="49" spans="1:12" ht="21.75" customHeight="1" x14ac:dyDescent="0.25">
      <c r="A49" s="163"/>
      <c r="B49" s="163"/>
      <c r="C49" s="165" t="s">
        <v>662</v>
      </c>
      <c r="D49" s="165"/>
      <c r="E49" s="165"/>
      <c r="F49" s="165"/>
      <c r="G49" s="166"/>
      <c r="H49" s="167"/>
      <c r="I49" s="168"/>
      <c r="J49" s="163"/>
      <c r="K49" s="371"/>
      <c r="L49" s="368"/>
    </row>
    <row r="50" spans="1:12" ht="21.75" customHeight="1" thickBot="1" x14ac:dyDescent="0.3">
      <c r="A50" s="357"/>
      <c r="B50"/>
      <c r="C50"/>
      <c r="D50" s="357"/>
      <c r="E50" s="357"/>
      <c r="F50"/>
      <c r="G50" s="357"/>
      <c r="H50" s="354"/>
      <c r="I50" s="354"/>
      <c r="J50" s="354"/>
      <c r="K50" s="368"/>
      <c r="L50" s="368"/>
    </row>
    <row r="51" spans="1:12" ht="57.75" customHeight="1" thickBot="1" x14ac:dyDescent="0.3">
      <c r="A51" s="169" t="s">
        <v>587</v>
      </c>
      <c r="B51" s="170" t="s">
        <v>14</v>
      </c>
      <c r="C51" s="171" t="s">
        <v>532</v>
      </c>
      <c r="D51" s="171" t="s">
        <v>17</v>
      </c>
      <c r="E51" s="171" t="s">
        <v>18</v>
      </c>
      <c r="F51" s="170" t="s">
        <v>19</v>
      </c>
      <c r="G51" s="172" t="s">
        <v>20</v>
      </c>
      <c r="H51" s="172" t="s">
        <v>21</v>
      </c>
      <c r="I51" s="172" t="s">
        <v>22</v>
      </c>
      <c r="J51" s="171" t="s">
        <v>23</v>
      </c>
      <c r="K51" s="120"/>
      <c r="L51" s="368"/>
    </row>
    <row r="52" spans="1:12" ht="21.75" customHeight="1" x14ac:dyDescent="0.25">
      <c r="A52" s="378" t="s">
        <v>47</v>
      </c>
      <c r="B52" s="374">
        <v>6017.6199999999953</v>
      </c>
      <c r="C52" s="372">
        <v>1626077.04</v>
      </c>
      <c r="D52" s="373">
        <v>0</v>
      </c>
      <c r="E52" s="373">
        <v>504.5</v>
      </c>
      <c r="F52" s="372">
        <f>B52+C52-D52-E52</f>
        <v>1631590.1600000001</v>
      </c>
      <c r="G52" s="374">
        <f>1510425.17-E52</f>
        <v>1509920.67</v>
      </c>
      <c r="H52" s="374">
        <f>G52/F52*100</f>
        <v>92.542888956868907</v>
      </c>
      <c r="I52" s="374">
        <f>F52-G52</f>
        <v>121669.49000000022</v>
      </c>
      <c r="J52" s="373">
        <f>I52/F52*100</f>
        <v>7.4571110431310901</v>
      </c>
      <c r="K52" s="384"/>
      <c r="L52" s="368"/>
    </row>
    <row r="53" spans="1:12" ht="21.75" customHeight="1" x14ac:dyDescent="0.25">
      <c r="A53" s="381" t="s">
        <v>50</v>
      </c>
      <c r="B53" s="374">
        <v>531887.37999999989</v>
      </c>
      <c r="C53" s="197">
        <v>2190105.08</v>
      </c>
      <c r="D53" s="382">
        <v>0</v>
      </c>
      <c r="E53" s="382">
        <v>0</v>
      </c>
      <c r="F53" s="372">
        <f>B53+C53-D53-E53</f>
        <v>2721992.46</v>
      </c>
      <c r="G53" s="374">
        <f>2721992.46-E53</f>
        <v>2721992.46</v>
      </c>
      <c r="H53" s="374">
        <f>G53/F53*100</f>
        <v>100</v>
      </c>
      <c r="I53" s="374">
        <f>F53-G53</f>
        <v>0</v>
      </c>
      <c r="J53" s="373">
        <f>I53/F53*100</f>
        <v>0</v>
      </c>
      <c r="K53" s="371"/>
      <c r="L53" s="368"/>
    </row>
    <row r="54" spans="1:12" ht="21.75" customHeight="1" thickBot="1" x14ac:dyDescent="0.3">
      <c r="A54" s="375" t="s">
        <v>36</v>
      </c>
      <c r="B54" s="376">
        <f>SUM(B52:B53)</f>
        <v>537904.99999999988</v>
      </c>
      <c r="C54" s="376">
        <f>SUM(C52:C53)</f>
        <v>3816182.12</v>
      </c>
      <c r="D54" s="186">
        <v>0</v>
      </c>
      <c r="E54" s="186">
        <f>SUM(E52:E53)</f>
        <v>504.5</v>
      </c>
      <c r="F54" s="376">
        <f>SUM(F52:F53)</f>
        <v>4353582.62</v>
      </c>
      <c r="G54" s="187">
        <f>SUM(G52:G53)</f>
        <v>4231913.13</v>
      </c>
      <c r="H54" s="187">
        <f>G54/F54*100</f>
        <v>97.205301917527407</v>
      </c>
      <c r="I54" s="571">
        <f>SUM(I52:I53)</f>
        <v>121669.49000000022</v>
      </c>
      <c r="J54" s="186">
        <f>I54/F54*100</f>
        <v>2.7946980824725962</v>
      </c>
      <c r="K54" s="371"/>
      <c r="L54" s="368"/>
    </row>
    <row r="55" spans="1:12" ht="17.25" thickTop="1" x14ac:dyDescent="0.25">
      <c r="D55" s="357"/>
      <c r="E55" s="357"/>
      <c r="J55" s="354"/>
      <c r="K55" s="371"/>
      <c r="L55" s="368"/>
    </row>
    <row r="56" spans="1:12" x14ac:dyDescent="0.25">
      <c r="A56" s="363" t="s">
        <v>37</v>
      </c>
      <c r="B56"/>
      <c r="D56" s="357"/>
      <c r="E56" s="357"/>
      <c r="J56" s="354"/>
      <c r="K56" s="371"/>
      <c r="L56" s="368"/>
    </row>
    <row r="57" spans="1:12" x14ac:dyDescent="0.25">
      <c r="A57" s="367" t="s">
        <v>96</v>
      </c>
      <c r="B57" s="367" t="s">
        <v>97</v>
      </c>
      <c r="C57" s="371">
        <v>121669.49</v>
      </c>
      <c r="D57" s="357" t="s">
        <v>55</v>
      </c>
      <c r="E57" s="357" t="s">
        <v>663</v>
      </c>
      <c r="J57" s="354"/>
      <c r="K57" s="371"/>
      <c r="L57" s="368"/>
    </row>
    <row r="58" spans="1:12" ht="17.25" thickBot="1" x14ac:dyDescent="0.3">
      <c r="B58"/>
      <c r="C58" s="225">
        <f>SUM(C57:C57)</f>
        <v>121669.49</v>
      </c>
      <c r="D58" s="370" t="s">
        <v>55</v>
      </c>
      <c r="E58" s="357"/>
      <c r="J58" s="354"/>
      <c r="K58" s="371"/>
      <c r="L58" s="368"/>
    </row>
    <row r="59" spans="1:12" ht="17.25" thickTop="1" x14ac:dyDescent="0.25">
      <c r="D59" s="357"/>
      <c r="E59" s="357"/>
      <c r="J59" s="354"/>
      <c r="K59" s="371"/>
      <c r="L59" s="368"/>
    </row>
    <row r="60" spans="1:12" ht="21.75" customHeight="1" x14ac:dyDescent="0.25">
      <c r="A60" s="367"/>
      <c r="B60" s="367"/>
      <c r="D60" s="357"/>
      <c r="E60" s="357"/>
      <c r="H60" s="355"/>
      <c r="I60" s="356"/>
      <c r="J60" s="354"/>
    </row>
    <row r="61" spans="1:12" ht="21.75" customHeight="1" x14ac:dyDescent="0.25">
      <c r="A61" s="616"/>
      <c r="B61" s="616"/>
      <c r="C61" s="617" t="s">
        <v>734</v>
      </c>
      <c r="D61" s="617"/>
      <c r="E61" s="617"/>
      <c r="F61" s="617"/>
      <c r="G61" s="623"/>
      <c r="H61" s="624"/>
      <c r="I61" s="625"/>
      <c r="J61" s="616"/>
      <c r="K61" s="646"/>
      <c r="L61" s="647"/>
    </row>
    <row r="62" spans="1:12" ht="11.25" customHeight="1" thickBot="1" x14ac:dyDescent="0.3">
      <c r="A62" s="622"/>
      <c r="B62" s="615"/>
      <c r="C62" s="615"/>
      <c r="D62" s="622"/>
      <c r="E62" s="622"/>
      <c r="F62" s="615"/>
      <c r="G62" s="622"/>
      <c r="H62" s="621"/>
      <c r="I62" s="621"/>
      <c r="J62" s="621"/>
      <c r="K62" s="647"/>
      <c r="L62" s="647"/>
    </row>
    <row r="63" spans="1:12" ht="57.75" customHeight="1" thickBot="1" x14ac:dyDescent="0.3">
      <c r="A63" s="619" t="s">
        <v>696</v>
      </c>
      <c r="B63" s="620" t="s">
        <v>14</v>
      </c>
      <c r="C63" s="618" t="s">
        <v>690</v>
      </c>
      <c r="D63" s="618" t="s">
        <v>17</v>
      </c>
      <c r="E63" s="618" t="s">
        <v>18</v>
      </c>
      <c r="F63" s="620" t="s">
        <v>19</v>
      </c>
      <c r="G63" s="626" t="s">
        <v>20</v>
      </c>
      <c r="H63" s="626" t="s">
        <v>21</v>
      </c>
      <c r="I63" s="626" t="s">
        <v>22</v>
      </c>
      <c r="J63" s="618" t="s">
        <v>23</v>
      </c>
      <c r="K63" s="648"/>
      <c r="L63" s="647"/>
    </row>
    <row r="64" spans="1:12" ht="21.75" customHeight="1" x14ac:dyDescent="0.25">
      <c r="A64" s="630" t="s">
        <v>47</v>
      </c>
      <c r="B64" s="633">
        <v>121669.49000000022</v>
      </c>
      <c r="C64" s="631">
        <v>811120</v>
      </c>
      <c r="D64" s="632">
        <v>0</v>
      </c>
      <c r="E64" s="632">
        <v>0</v>
      </c>
      <c r="F64" s="631">
        <v>932789.49000000022</v>
      </c>
      <c r="G64" s="633">
        <v>797144.69</v>
      </c>
      <c r="H64" s="633">
        <v>85.458155194265728</v>
      </c>
      <c r="I64" s="633">
        <v>135644.80000000028</v>
      </c>
      <c r="J64" s="632">
        <v>14.541844805734277</v>
      </c>
      <c r="K64" s="649"/>
      <c r="L64" s="647"/>
    </row>
    <row r="65" spans="1:12" ht="21.75" customHeight="1" x14ac:dyDescent="0.25">
      <c r="A65" s="634" t="s">
        <v>50</v>
      </c>
      <c r="B65" s="633">
        <v>0</v>
      </c>
      <c r="C65" s="635">
        <v>3001328.54</v>
      </c>
      <c r="D65" s="636">
        <v>0</v>
      </c>
      <c r="E65" s="636">
        <v>0</v>
      </c>
      <c r="F65" s="631">
        <v>3001328.54</v>
      </c>
      <c r="G65" s="633">
        <v>2125894.79</v>
      </c>
      <c r="H65" s="633">
        <v>70.831792043666098</v>
      </c>
      <c r="I65" s="633">
        <v>875433.75</v>
      </c>
      <c r="J65" s="632">
        <v>29.168207956333898</v>
      </c>
      <c r="K65" s="646"/>
      <c r="L65" s="647"/>
    </row>
    <row r="66" spans="1:12" s="621" customFormat="1" ht="21.75" customHeight="1" thickBot="1" x14ac:dyDescent="0.3">
      <c r="A66" s="637" t="s">
        <v>36</v>
      </c>
      <c r="B66" s="638">
        <f>SUM(B64:B65)</f>
        <v>121669.49000000022</v>
      </c>
      <c r="C66" s="638">
        <f>SUM(C64:C65)</f>
        <v>3812448.54</v>
      </c>
      <c r="D66" s="639">
        <v>0</v>
      </c>
      <c r="E66" s="639">
        <f>SUM(E64:E65)</f>
        <v>0</v>
      </c>
      <c r="F66" s="638">
        <f>SUM(F64:F65)</f>
        <v>3934118.0300000003</v>
      </c>
      <c r="G66" s="640">
        <f>SUM(G64:G65)</f>
        <v>2923039.48</v>
      </c>
      <c r="H66" s="640">
        <f>G66/F66*100</f>
        <v>74.299740315620369</v>
      </c>
      <c r="I66" s="645">
        <f>SUM(I64:I65)</f>
        <v>1011078.5500000003</v>
      </c>
      <c r="J66" s="639">
        <f>I66/F66*100</f>
        <v>25.700259684379635</v>
      </c>
      <c r="K66" s="646"/>
      <c r="L66" s="647"/>
    </row>
    <row r="67" spans="1:12" ht="21.75" customHeight="1" thickTop="1" x14ac:dyDescent="0.25">
      <c r="A67" s="621"/>
      <c r="B67" s="621"/>
      <c r="C67" s="622"/>
      <c r="D67" s="622"/>
      <c r="E67" s="622"/>
      <c r="F67" s="622"/>
      <c r="G67" s="627"/>
      <c r="H67" s="628"/>
      <c r="I67" s="629"/>
      <c r="J67" s="621"/>
      <c r="K67" s="646"/>
      <c r="L67" s="647"/>
    </row>
    <row r="68" spans="1:12" ht="21.75" customHeight="1" x14ac:dyDescent="0.25">
      <c r="A68" s="641" t="s">
        <v>37</v>
      </c>
      <c r="B68" s="615"/>
      <c r="C68" s="622"/>
      <c r="D68" s="622"/>
      <c r="E68" s="622"/>
      <c r="F68" s="622"/>
      <c r="G68" s="627"/>
      <c r="H68" s="628"/>
      <c r="I68" s="629"/>
      <c r="J68" s="621"/>
      <c r="K68" s="646"/>
      <c r="L68" s="647"/>
    </row>
    <row r="69" spans="1:12" ht="21.75" customHeight="1" x14ac:dyDescent="0.25">
      <c r="A69" s="642" t="s">
        <v>96</v>
      </c>
      <c r="B69" s="642" t="s">
        <v>97</v>
      </c>
      <c r="C69" s="646">
        <v>135644.79999999999</v>
      </c>
      <c r="D69" s="622" t="s">
        <v>55</v>
      </c>
      <c r="E69" s="622" t="s">
        <v>735</v>
      </c>
      <c r="F69" s="622"/>
      <c r="G69" s="627"/>
      <c r="H69" s="628"/>
      <c r="I69" s="629"/>
      <c r="J69" s="621"/>
      <c r="K69" s="646"/>
      <c r="L69" s="647"/>
    </row>
    <row r="70" spans="1:12" ht="21.75" customHeight="1" x14ac:dyDescent="0.25">
      <c r="A70" s="642"/>
      <c r="B70" s="642" t="s">
        <v>98</v>
      </c>
      <c r="C70" s="646">
        <v>875433.75</v>
      </c>
      <c r="D70" s="622" t="s">
        <v>55</v>
      </c>
      <c r="E70" s="622" t="s">
        <v>735</v>
      </c>
      <c r="F70" s="622"/>
      <c r="G70" s="627"/>
      <c r="H70" s="628"/>
      <c r="I70" s="629"/>
      <c r="J70" s="621"/>
      <c r="K70" s="646"/>
      <c r="L70" s="647"/>
    </row>
    <row r="71" spans="1:12" ht="21.75" customHeight="1" thickBot="1" x14ac:dyDescent="0.3">
      <c r="A71" s="621"/>
      <c r="B71" s="615"/>
      <c r="C71" s="644">
        <v>1011078.55</v>
      </c>
      <c r="D71" s="643" t="s">
        <v>55</v>
      </c>
      <c r="E71" s="622"/>
      <c r="F71" s="622"/>
      <c r="G71" s="627"/>
      <c r="H71" s="628"/>
      <c r="I71" s="629"/>
      <c r="J71" s="621"/>
      <c r="K71" s="646"/>
      <c r="L71" s="647"/>
    </row>
    <row r="72" spans="1:12" ht="21.75" customHeight="1" thickTop="1" x14ac:dyDescent="0.25">
      <c r="A72" s="367"/>
      <c r="B72" s="367"/>
      <c r="C72" s="384"/>
      <c r="D72" s="357"/>
      <c r="E72" s="357"/>
      <c r="F72" s="354"/>
      <c r="G72" s="354"/>
      <c r="H72" s="354"/>
      <c r="I72" s="354"/>
      <c r="J72" s="354"/>
      <c r="K72" s="121"/>
      <c r="L72" s="368"/>
    </row>
    <row r="73" spans="1:12" ht="21.75" customHeight="1" x14ac:dyDescent="0.25">
      <c r="B73" s="367"/>
      <c r="C73" s="371"/>
      <c r="D73" s="357"/>
      <c r="E73" s="357"/>
      <c r="F73" s="354"/>
      <c r="G73" s="354"/>
      <c r="H73" s="354"/>
      <c r="I73" s="354"/>
      <c r="J73" s="354"/>
      <c r="K73" s="368"/>
      <c r="L73" s="368"/>
    </row>
    <row r="74" spans="1:12" s="621" customFormat="1" ht="21.75" customHeight="1" x14ac:dyDescent="0.25">
      <c r="A74" s="616"/>
      <c r="B74" s="616"/>
      <c r="C74" s="617" t="s">
        <v>901</v>
      </c>
      <c r="D74" s="617"/>
      <c r="E74" s="617"/>
      <c r="F74" s="617"/>
      <c r="G74" s="623"/>
      <c r="H74" s="624"/>
      <c r="I74" s="625"/>
      <c r="J74" s="616"/>
      <c r="K74" s="646"/>
      <c r="L74" s="647"/>
    </row>
    <row r="75" spans="1:12" s="621" customFormat="1" ht="21.75" customHeight="1" thickBot="1" x14ac:dyDescent="0.3">
      <c r="A75" s="622"/>
      <c r="B75" s="615"/>
      <c r="C75" s="615"/>
      <c r="D75" s="622"/>
      <c r="E75" s="622"/>
      <c r="F75" s="615"/>
      <c r="G75" s="622"/>
      <c r="K75" s="647"/>
      <c r="L75" s="647"/>
    </row>
    <row r="76" spans="1:12" s="621" customFormat="1" ht="57.75" customHeight="1" thickBot="1" x14ac:dyDescent="0.3">
      <c r="A76" s="619" t="s">
        <v>800</v>
      </c>
      <c r="B76" s="620" t="s">
        <v>14</v>
      </c>
      <c r="C76" s="618" t="s">
        <v>848</v>
      </c>
      <c r="D76" s="618" t="s">
        <v>17</v>
      </c>
      <c r="E76" s="618" t="s">
        <v>18</v>
      </c>
      <c r="F76" s="620" t="s">
        <v>19</v>
      </c>
      <c r="G76" s="626" t="s">
        <v>20</v>
      </c>
      <c r="H76" s="626" t="s">
        <v>21</v>
      </c>
      <c r="I76" s="626" t="s">
        <v>22</v>
      </c>
      <c r="J76" s="618" t="s">
        <v>23</v>
      </c>
      <c r="K76" s="648"/>
      <c r="L76" s="647"/>
    </row>
    <row r="77" spans="1:12" s="621" customFormat="1" ht="21.75" customHeight="1" x14ac:dyDescent="0.25">
      <c r="A77" s="630" t="s">
        <v>47</v>
      </c>
      <c r="B77" s="633">
        <v>135644.80000000028</v>
      </c>
      <c r="C77" s="631">
        <v>765537.04</v>
      </c>
      <c r="D77" s="632">
        <v>0</v>
      </c>
      <c r="E77" s="632">
        <v>1394.53</v>
      </c>
      <c r="F77" s="631">
        <f>B77+C77-D77-E77</f>
        <v>899787.31000000029</v>
      </c>
      <c r="G77" s="633">
        <f>827809.34-E77</f>
        <v>826414.80999999994</v>
      </c>
      <c r="H77" s="633">
        <f>G77/F77*100</f>
        <v>91.845572927673274</v>
      </c>
      <c r="I77" s="633">
        <f>F77-G77</f>
        <v>73372.500000000349</v>
      </c>
      <c r="J77" s="632">
        <f>I77/F77*100</f>
        <v>8.1544270723267172</v>
      </c>
      <c r="K77" s="649"/>
      <c r="L77" s="647"/>
    </row>
    <row r="78" spans="1:12" s="621" customFormat="1" ht="21.75" customHeight="1" x14ac:dyDescent="0.25">
      <c r="A78" s="634" t="s">
        <v>50</v>
      </c>
      <c r="B78" s="633">
        <v>875433.75</v>
      </c>
      <c r="C78" s="635">
        <v>2120844.85</v>
      </c>
      <c r="D78" s="636">
        <v>0</v>
      </c>
      <c r="E78" s="636">
        <v>0</v>
      </c>
      <c r="F78" s="631">
        <f>B78+C78-D78-E78</f>
        <v>2996278.6</v>
      </c>
      <c r="G78" s="633">
        <f>2502033.25-E78</f>
        <v>2502033.25</v>
      </c>
      <c r="H78" s="633">
        <f>G78/F78*100</f>
        <v>83.504693121660978</v>
      </c>
      <c r="I78" s="633">
        <f>F78-G78</f>
        <v>494245.35000000009</v>
      </c>
      <c r="J78" s="632">
        <f>I78/F78*100</f>
        <v>16.495306878339019</v>
      </c>
      <c r="K78" s="646"/>
      <c r="L78" s="647"/>
    </row>
    <row r="79" spans="1:12" s="621" customFormat="1" ht="21.75" customHeight="1" thickBot="1" x14ac:dyDescent="0.3">
      <c r="A79" s="637" t="s">
        <v>36</v>
      </c>
      <c r="B79" s="638">
        <f t="shared" ref="B79:G79" si="0">SUM(B77:B78)</f>
        <v>1011078.5500000003</v>
      </c>
      <c r="C79" s="638">
        <f t="shared" si="0"/>
        <v>2886381.89</v>
      </c>
      <c r="D79" s="638">
        <f t="shared" si="0"/>
        <v>0</v>
      </c>
      <c r="E79" s="638">
        <f t="shared" si="0"/>
        <v>1394.53</v>
      </c>
      <c r="F79" s="638">
        <f t="shared" si="0"/>
        <v>3896065.91</v>
      </c>
      <c r="G79" s="638">
        <f t="shared" si="0"/>
        <v>3328448.06</v>
      </c>
      <c r="H79" s="640">
        <f>G79/F79*100</f>
        <v>85.430999805647531</v>
      </c>
      <c r="I79" s="638">
        <f>SUM(I77:I78)</f>
        <v>567617.85000000044</v>
      </c>
      <c r="J79" s="639">
        <f>I79/F79*100</f>
        <v>14.569000194352471</v>
      </c>
      <c r="K79" s="646"/>
      <c r="L79" s="647"/>
    </row>
    <row r="80" spans="1:12" s="621" customFormat="1" ht="17.25" thickTop="1" x14ac:dyDescent="0.25">
      <c r="C80" s="622"/>
      <c r="D80" s="622"/>
      <c r="E80" s="622"/>
      <c r="F80" s="622"/>
      <c r="G80" s="627"/>
      <c r="H80" s="628"/>
      <c r="I80" s="629"/>
      <c r="K80" s="646"/>
      <c r="L80" s="647"/>
    </row>
    <row r="81" spans="1:12" s="621" customFormat="1" x14ac:dyDescent="0.25">
      <c r="A81" s="641" t="s">
        <v>37</v>
      </c>
      <c r="B81" s="615"/>
      <c r="C81" s="622"/>
      <c r="D81" s="622"/>
      <c r="E81" s="622"/>
      <c r="F81" s="622"/>
      <c r="G81" s="627"/>
      <c r="H81" s="628"/>
      <c r="I81" s="629"/>
      <c r="K81" s="646"/>
      <c r="L81" s="647"/>
    </row>
    <row r="82" spans="1:12" s="621" customFormat="1" x14ac:dyDescent="0.25">
      <c r="A82" s="642" t="s">
        <v>96</v>
      </c>
      <c r="B82" s="642" t="s">
        <v>97</v>
      </c>
      <c r="C82" s="649">
        <v>73372.5</v>
      </c>
      <c r="D82" s="622" t="s">
        <v>55</v>
      </c>
      <c r="E82" s="622" t="s">
        <v>902</v>
      </c>
      <c r="F82" s="622"/>
      <c r="G82" s="627"/>
      <c r="H82" s="628"/>
      <c r="I82" s="629"/>
      <c r="K82" s="646"/>
      <c r="L82" s="647"/>
    </row>
    <row r="83" spans="1:12" s="621" customFormat="1" x14ac:dyDescent="0.25">
      <c r="A83" s="642"/>
      <c r="B83" s="642" t="s">
        <v>98</v>
      </c>
      <c r="C83" s="646">
        <v>494245.35</v>
      </c>
      <c r="D83" s="622" t="s">
        <v>55</v>
      </c>
      <c r="E83" s="622" t="s">
        <v>902</v>
      </c>
      <c r="F83" s="622"/>
      <c r="G83" s="627"/>
      <c r="H83" s="628"/>
      <c r="I83" s="629"/>
      <c r="K83" s="646"/>
      <c r="L83" s="647"/>
    </row>
    <row r="84" spans="1:12" s="621" customFormat="1" ht="17.25" thickBot="1" x14ac:dyDescent="0.3">
      <c r="B84" s="615"/>
      <c r="C84" s="644">
        <f>SUM(C82:C83)</f>
        <v>567617.85</v>
      </c>
      <c r="D84" s="643" t="s">
        <v>55</v>
      </c>
      <c r="E84" s="622"/>
      <c r="F84" s="622"/>
      <c r="G84" s="627"/>
      <c r="H84" s="628"/>
      <c r="I84" s="629"/>
      <c r="K84" s="646"/>
      <c r="L84" s="647"/>
    </row>
    <row r="85" spans="1:12" s="781" customFormat="1" ht="17.25" thickTop="1" x14ac:dyDescent="0.25">
      <c r="B85" s="776"/>
      <c r="C85" s="48"/>
      <c r="D85" s="769"/>
      <c r="E85" s="780"/>
      <c r="F85" s="780"/>
      <c r="G85" s="797"/>
      <c r="H85" s="754"/>
      <c r="I85" s="755"/>
      <c r="K85" s="772"/>
      <c r="L85" s="803"/>
    </row>
    <row r="86" spans="1:12" ht="21.75" customHeight="1" x14ac:dyDescent="0.25">
      <c r="A86" s="360"/>
      <c r="B86" s="361"/>
      <c r="C86" s="361"/>
      <c r="D86" s="362"/>
      <c r="E86" s="362"/>
      <c r="F86" s="361"/>
      <c r="G86" s="365"/>
      <c r="H86" s="365"/>
      <c r="I86" s="365"/>
      <c r="J86" s="362"/>
      <c r="K86" s="371"/>
      <c r="L86" s="368"/>
    </row>
    <row r="87" spans="1:12" ht="21.75" customHeight="1" x14ac:dyDescent="0.25">
      <c r="A87" s="742"/>
      <c r="B87" s="742"/>
      <c r="C87" s="743" t="s">
        <v>1002</v>
      </c>
      <c r="D87" s="743"/>
      <c r="E87" s="743"/>
      <c r="F87" s="743"/>
      <c r="G87" s="749"/>
      <c r="H87" s="750"/>
      <c r="I87" s="751"/>
      <c r="J87" s="742"/>
      <c r="K87" s="772"/>
      <c r="L87" s="773"/>
    </row>
    <row r="88" spans="1:12" ht="21.75" customHeight="1" thickBot="1" x14ac:dyDescent="0.3">
      <c r="A88" s="748"/>
      <c r="B88" s="741"/>
      <c r="C88" s="741"/>
      <c r="D88" s="748"/>
      <c r="E88" s="748"/>
      <c r="F88" s="741"/>
      <c r="G88" s="748"/>
      <c r="H88" s="747"/>
      <c r="I88" s="747"/>
      <c r="J88" s="747"/>
      <c r="K88" s="773"/>
      <c r="L88" s="773"/>
    </row>
    <row r="89" spans="1:12" ht="50.25" thickBot="1" x14ac:dyDescent="0.3">
      <c r="A89" s="745" t="s">
        <v>944</v>
      </c>
      <c r="B89" s="746" t="s">
        <v>14</v>
      </c>
      <c r="C89" s="744" t="s">
        <v>962</v>
      </c>
      <c r="D89" s="744" t="s">
        <v>17</v>
      </c>
      <c r="E89" s="744" t="s">
        <v>18</v>
      </c>
      <c r="F89" s="746" t="s">
        <v>19</v>
      </c>
      <c r="G89" s="752" t="s">
        <v>20</v>
      </c>
      <c r="H89" s="752" t="s">
        <v>21</v>
      </c>
      <c r="I89" s="752" t="s">
        <v>22</v>
      </c>
      <c r="J89" s="744" t="s">
        <v>23</v>
      </c>
      <c r="K89" s="774"/>
      <c r="L89" s="773"/>
    </row>
    <row r="90" spans="1:12" ht="21.75" customHeight="1" x14ac:dyDescent="0.25">
      <c r="A90" s="756" t="s">
        <v>47</v>
      </c>
      <c r="B90" s="759">
        <v>73372.500000000349</v>
      </c>
      <c r="C90" s="757">
        <v>820253.67</v>
      </c>
      <c r="D90" s="758">
        <v>0</v>
      </c>
      <c r="E90" s="758">
        <v>697.04</v>
      </c>
      <c r="F90" s="757">
        <v>892929.13000000035</v>
      </c>
      <c r="G90" s="759">
        <v>671204.19</v>
      </c>
      <c r="H90" s="759">
        <v>75.168808749693241</v>
      </c>
      <c r="I90" s="759">
        <v>221724.94000000041</v>
      </c>
      <c r="J90" s="758">
        <v>24.831191250306766</v>
      </c>
      <c r="K90" s="775"/>
      <c r="L90" s="773"/>
    </row>
    <row r="91" spans="1:12" ht="21.75" customHeight="1" x14ac:dyDescent="0.25">
      <c r="A91" s="760" t="s">
        <v>50</v>
      </c>
      <c r="B91" s="759">
        <v>494245.35000000009</v>
      </c>
      <c r="C91" s="761">
        <v>1651275</v>
      </c>
      <c r="D91" s="762">
        <v>0</v>
      </c>
      <c r="E91" s="762">
        <v>0</v>
      </c>
      <c r="F91" s="757">
        <v>2145520.35</v>
      </c>
      <c r="G91" s="759">
        <v>1670263.4</v>
      </c>
      <c r="H91" s="759">
        <v>77.848872419224548</v>
      </c>
      <c r="I91" s="759">
        <v>475256.95000000019</v>
      </c>
      <c r="J91" s="758">
        <v>22.151127580775459</v>
      </c>
      <c r="K91" s="772"/>
      <c r="L91" s="773"/>
    </row>
    <row r="92" spans="1:12" ht="17.25" thickBot="1" x14ac:dyDescent="0.3">
      <c r="A92" s="763" t="s">
        <v>36</v>
      </c>
      <c r="B92" s="764">
        <v>567617.85000000044</v>
      </c>
      <c r="C92" s="764">
        <v>2471528.67</v>
      </c>
      <c r="D92" s="765">
        <v>0</v>
      </c>
      <c r="E92" s="765">
        <v>697.04</v>
      </c>
      <c r="F92" s="764">
        <v>3038449.4800000004</v>
      </c>
      <c r="G92" s="766">
        <v>2341467.59</v>
      </c>
      <c r="H92" s="766">
        <v>77.061264484147344</v>
      </c>
      <c r="I92" s="771">
        <v>696981.8900000006</v>
      </c>
      <c r="J92" s="765">
        <v>22.93873551585266</v>
      </c>
      <c r="K92" s="772"/>
      <c r="L92" s="773"/>
    </row>
    <row r="93" spans="1:12" ht="17.25" thickTop="1" x14ac:dyDescent="0.25">
      <c r="A93" s="747"/>
      <c r="B93" s="747"/>
      <c r="C93" s="748"/>
      <c r="D93" s="748"/>
      <c r="E93" s="748"/>
      <c r="F93" s="748"/>
      <c r="G93" s="753"/>
      <c r="H93" s="754"/>
      <c r="I93" s="755"/>
      <c r="J93" s="747"/>
      <c r="K93" s="772"/>
      <c r="L93" s="773"/>
    </row>
    <row r="94" spans="1:12" ht="21.75" customHeight="1" x14ac:dyDescent="0.25">
      <c r="A94" s="767" t="s">
        <v>37</v>
      </c>
      <c r="B94" s="741"/>
      <c r="C94" s="748"/>
      <c r="D94" s="748"/>
      <c r="E94" s="748"/>
      <c r="F94" s="748"/>
      <c r="G94" s="753"/>
      <c r="H94" s="754"/>
      <c r="I94" s="755"/>
      <c r="J94" s="747"/>
      <c r="K94" s="772"/>
      <c r="L94" s="773"/>
    </row>
    <row r="95" spans="1:12" x14ac:dyDescent="0.25">
      <c r="A95" s="768" t="s">
        <v>96</v>
      </c>
      <c r="B95" s="768" t="s">
        <v>97</v>
      </c>
      <c r="C95" s="775">
        <v>157891.04999999999</v>
      </c>
      <c r="D95" s="748" t="s">
        <v>55</v>
      </c>
      <c r="E95" s="748" t="s">
        <v>1003</v>
      </c>
      <c r="F95" s="748"/>
      <c r="G95" s="753"/>
      <c r="H95" s="754"/>
      <c r="I95" s="755"/>
      <c r="J95" s="747"/>
      <c r="K95" s="772"/>
      <c r="L95" s="773"/>
    </row>
    <row r="96" spans="1:12" x14ac:dyDescent="0.25">
      <c r="A96" s="768"/>
      <c r="B96" s="768" t="s">
        <v>97</v>
      </c>
      <c r="C96" s="775">
        <v>63833.89</v>
      </c>
      <c r="D96" s="748"/>
      <c r="E96" s="748" t="s">
        <v>1004</v>
      </c>
      <c r="F96" s="748"/>
      <c r="G96" s="753"/>
      <c r="H96" s="754"/>
      <c r="I96" s="755"/>
      <c r="J96" s="747"/>
      <c r="K96" s="772"/>
      <c r="L96" s="773"/>
    </row>
    <row r="97" spans="1:12" x14ac:dyDescent="0.25">
      <c r="A97" s="768"/>
      <c r="B97" s="768" t="s">
        <v>98</v>
      </c>
      <c r="C97" s="772">
        <v>475265.95</v>
      </c>
      <c r="D97" s="748" t="s">
        <v>55</v>
      </c>
      <c r="E97" s="748" t="s">
        <v>1003</v>
      </c>
      <c r="F97" s="748"/>
      <c r="G97" s="753"/>
      <c r="H97" s="754"/>
      <c r="I97" s="755"/>
      <c r="J97" s="747"/>
      <c r="K97" s="772"/>
      <c r="L97" s="773"/>
    </row>
    <row r="98" spans="1:12" ht="17.25" thickBot="1" x14ac:dyDescent="0.3">
      <c r="A98" s="747"/>
      <c r="B98" s="741"/>
      <c r="C98" s="770">
        <v>696990.89</v>
      </c>
      <c r="D98" s="769" t="s">
        <v>55</v>
      </c>
      <c r="E98" s="748"/>
      <c r="F98" s="748"/>
      <c r="G98" s="753"/>
      <c r="H98" s="754"/>
      <c r="I98" s="755"/>
      <c r="J98" s="747"/>
      <c r="K98" s="772"/>
      <c r="L98" s="773"/>
    </row>
    <row r="99" spans="1:12" ht="21.75" customHeight="1" thickTop="1" x14ac:dyDescent="0.25">
      <c r="A99" s="358"/>
      <c r="B99" s="57"/>
      <c r="D99" s="68"/>
      <c r="E99" s="68"/>
      <c r="G99" s="57"/>
      <c r="H99" s="57"/>
      <c r="I99" s="57"/>
      <c r="J99" s="68"/>
      <c r="K99" s="371"/>
      <c r="L99" s="368"/>
    </row>
    <row r="100" spans="1:12" ht="21.75" customHeight="1" x14ac:dyDescent="0.25">
      <c r="A100" s="360"/>
      <c r="B100" s="77"/>
      <c r="C100" s="361"/>
      <c r="D100" s="362"/>
      <c r="E100" s="362"/>
      <c r="F100" s="361"/>
      <c r="G100" s="365"/>
      <c r="H100" s="365"/>
      <c r="I100" s="77"/>
      <c r="J100" s="362"/>
      <c r="K100" s="371"/>
      <c r="L100" s="368"/>
    </row>
    <row r="101" spans="1:12" s="781" customFormat="1" ht="21.75" customHeight="1" x14ac:dyDescent="0.25">
      <c r="A101" s="827"/>
      <c r="B101" s="827"/>
      <c r="C101" s="828" t="s">
        <v>1124</v>
      </c>
      <c r="D101" s="828"/>
      <c r="E101" s="828"/>
      <c r="F101" s="828"/>
      <c r="G101" s="804"/>
      <c r="H101" s="750"/>
      <c r="I101" s="751"/>
      <c r="J101" s="827"/>
      <c r="K101" s="772"/>
      <c r="L101" s="803"/>
    </row>
    <row r="102" spans="1:12" s="781" customFormat="1" ht="21.75" customHeight="1" thickBot="1" x14ac:dyDescent="0.3">
      <c r="A102" s="780"/>
      <c r="B102" s="776"/>
      <c r="C102" s="776"/>
      <c r="D102" s="780"/>
      <c r="E102" s="780"/>
      <c r="F102" s="776"/>
      <c r="G102" s="780"/>
      <c r="K102" s="803"/>
      <c r="L102" s="803"/>
    </row>
    <row r="103" spans="1:12" s="781" customFormat="1" ht="57.75" customHeight="1" thickBot="1" x14ac:dyDescent="0.3">
      <c r="A103" s="783" t="s">
        <v>1074</v>
      </c>
      <c r="B103" s="784" t="s">
        <v>14</v>
      </c>
      <c r="C103" s="785" t="s">
        <v>965</v>
      </c>
      <c r="D103" s="785" t="s">
        <v>17</v>
      </c>
      <c r="E103" s="785" t="s">
        <v>18</v>
      </c>
      <c r="F103" s="784" t="s">
        <v>19</v>
      </c>
      <c r="G103" s="752" t="s">
        <v>20</v>
      </c>
      <c r="H103" s="752" t="s">
        <v>21</v>
      </c>
      <c r="I103" s="752" t="s">
        <v>22</v>
      </c>
      <c r="J103" s="785" t="s">
        <v>23</v>
      </c>
      <c r="K103" s="774"/>
      <c r="L103" s="803"/>
    </row>
    <row r="104" spans="1:12" s="781" customFormat="1" ht="21.75" customHeight="1" x14ac:dyDescent="0.25">
      <c r="A104" s="786" t="s">
        <v>47</v>
      </c>
      <c r="B104" s="789">
        <v>221724.94000000041</v>
      </c>
      <c r="C104" s="787">
        <v>677321.11</v>
      </c>
      <c r="D104" s="788">
        <v>0</v>
      </c>
      <c r="E104" s="788">
        <v>0</v>
      </c>
      <c r="F104" s="787">
        <f>B104+C104-D104-E104</f>
        <v>899046.0500000004</v>
      </c>
      <c r="G104" s="789">
        <f>690158.36-E104</f>
        <v>690158.36</v>
      </c>
      <c r="H104" s="789">
        <f>G104/F104*100</f>
        <v>76.765629524761238</v>
      </c>
      <c r="I104" s="789">
        <f>F104-G104</f>
        <v>208887.69000000041</v>
      </c>
      <c r="J104" s="788">
        <f>I104/F104*100</f>
        <v>23.234370475238762</v>
      </c>
      <c r="K104" s="775"/>
      <c r="L104" s="803"/>
    </row>
    <row r="105" spans="1:12" s="781" customFormat="1" ht="21.75" customHeight="1" x14ac:dyDescent="0.25">
      <c r="A105" s="790" t="s">
        <v>50</v>
      </c>
      <c r="B105" s="789">
        <v>475256.95000000019</v>
      </c>
      <c r="C105" s="791">
        <v>1960610.97</v>
      </c>
      <c r="D105" s="811">
        <v>0</v>
      </c>
      <c r="E105" s="811">
        <v>0</v>
      </c>
      <c r="F105" s="787">
        <f>B105+C105-D105-E105</f>
        <v>2435867.92</v>
      </c>
      <c r="G105" s="789">
        <f>862665.7-E105</f>
        <v>862665.7</v>
      </c>
      <c r="H105" s="789">
        <f>G105/F105*100</f>
        <v>35.415126284843886</v>
      </c>
      <c r="I105" s="789">
        <f>F105-G105</f>
        <v>1573202.22</v>
      </c>
      <c r="J105" s="788">
        <f>I105/F105*100</f>
        <v>64.584873715156121</v>
      </c>
      <c r="K105" s="772"/>
      <c r="L105" s="803"/>
    </row>
    <row r="106" spans="1:12" s="781" customFormat="1" ht="21.75" customHeight="1" thickBot="1" x14ac:dyDescent="0.3">
      <c r="A106" s="763" t="s">
        <v>36</v>
      </c>
      <c r="B106" s="764">
        <f>SUM(B104:B105)</f>
        <v>696981.8900000006</v>
      </c>
      <c r="C106" s="764">
        <f>SUM(C104:C105)</f>
        <v>2637932.08</v>
      </c>
      <c r="D106" s="765">
        <v>0</v>
      </c>
      <c r="E106" s="765">
        <f>SUM(E104:E105)</f>
        <v>0</v>
      </c>
      <c r="F106" s="764">
        <f>SUM(F104:F105)</f>
        <v>3334913.97</v>
      </c>
      <c r="G106" s="766">
        <f>SUM(G104:G105)</f>
        <v>1552824.06</v>
      </c>
      <c r="H106" s="766">
        <f>G106/F106*100</f>
        <v>46.562642214125837</v>
      </c>
      <c r="I106" s="771">
        <f>SUM(I104:I105)</f>
        <v>1782089.9100000004</v>
      </c>
      <c r="J106" s="765">
        <f>I106/F106*100</f>
        <v>53.437357785874163</v>
      </c>
      <c r="K106" s="772"/>
      <c r="L106" s="803"/>
    </row>
    <row r="107" spans="1:12" s="781" customFormat="1" ht="17.25" thickTop="1" x14ac:dyDescent="0.25">
      <c r="C107" s="780"/>
      <c r="D107" s="780"/>
      <c r="E107" s="780"/>
      <c r="F107" s="780"/>
      <c r="G107" s="797"/>
      <c r="H107" s="754"/>
      <c r="I107" s="755"/>
      <c r="K107" s="772"/>
      <c r="L107" s="803"/>
    </row>
    <row r="108" spans="1:12" s="781" customFormat="1" x14ac:dyDescent="0.25">
      <c r="A108" s="767" t="s">
        <v>37</v>
      </c>
      <c r="B108" s="776"/>
      <c r="C108" s="780"/>
      <c r="D108" s="780"/>
      <c r="E108" s="780"/>
      <c r="F108" s="780"/>
      <c r="G108" s="797"/>
      <c r="H108" s="754"/>
      <c r="I108" s="755"/>
      <c r="K108" s="772"/>
      <c r="L108" s="803"/>
    </row>
    <row r="109" spans="1:12" s="781" customFormat="1" x14ac:dyDescent="0.25">
      <c r="A109" s="768" t="s">
        <v>96</v>
      </c>
      <c r="B109" s="768" t="s">
        <v>97</v>
      </c>
      <c r="C109" s="775">
        <v>190619.36</v>
      </c>
      <c r="D109" s="780" t="s">
        <v>55</v>
      </c>
      <c r="E109" s="780" t="s">
        <v>1125</v>
      </c>
      <c r="F109" s="780"/>
      <c r="G109" s="797"/>
      <c r="H109" s="754"/>
      <c r="I109" s="755"/>
      <c r="K109" s="772"/>
      <c r="L109" s="803"/>
    </row>
    <row r="110" spans="1:12" s="781" customFormat="1" x14ac:dyDescent="0.25">
      <c r="A110" s="768"/>
      <c r="B110" s="768" t="s">
        <v>97</v>
      </c>
      <c r="C110" s="775">
        <v>18268.330000000002</v>
      </c>
      <c r="D110" s="780" t="s">
        <v>55</v>
      </c>
      <c r="E110" s="780" t="s">
        <v>1126</v>
      </c>
      <c r="F110" s="780"/>
      <c r="G110" s="797"/>
      <c r="H110" s="754"/>
      <c r="I110" s="755"/>
      <c r="K110" s="772"/>
      <c r="L110" s="803"/>
    </row>
    <row r="111" spans="1:12" s="781" customFormat="1" x14ac:dyDescent="0.25">
      <c r="A111" s="768"/>
      <c r="B111" s="768" t="s">
        <v>98</v>
      </c>
      <c r="C111" s="772">
        <v>417907.16</v>
      </c>
      <c r="D111" s="780" t="s">
        <v>55</v>
      </c>
      <c r="E111" s="780" t="s">
        <v>1127</v>
      </c>
      <c r="F111" s="780"/>
      <c r="G111" s="797"/>
      <c r="H111" s="754"/>
      <c r="I111" s="755"/>
      <c r="K111" s="772"/>
      <c r="L111" s="803"/>
    </row>
    <row r="112" spans="1:12" s="781" customFormat="1" x14ac:dyDescent="0.25">
      <c r="A112" s="768"/>
      <c r="B112" s="768" t="s">
        <v>98</v>
      </c>
      <c r="C112" s="772">
        <v>1155295.06</v>
      </c>
      <c r="D112" s="780" t="s">
        <v>55</v>
      </c>
      <c r="E112" s="780" t="s">
        <v>1126</v>
      </c>
      <c r="F112" s="780"/>
      <c r="G112" s="797"/>
      <c r="H112" s="754"/>
      <c r="I112" s="755"/>
      <c r="K112" s="772"/>
      <c r="L112" s="803"/>
    </row>
    <row r="113" spans="1:12" s="781" customFormat="1" ht="17.25" thickBot="1" x14ac:dyDescent="0.3">
      <c r="B113" s="776"/>
      <c r="C113" s="770">
        <f>SUM(C109:C112)</f>
        <v>1782089.9100000001</v>
      </c>
      <c r="D113" s="769" t="s">
        <v>55</v>
      </c>
      <c r="E113" s="780"/>
      <c r="F113" s="780"/>
      <c r="G113" s="797"/>
      <c r="H113" s="754"/>
      <c r="I113" s="755"/>
      <c r="K113" s="772"/>
      <c r="L113" s="803"/>
    </row>
    <row r="114" spans="1:12" ht="21.75" customHeight="1" thickTop="1" x14ac:dyDescent="0.25">
      <c r="A114" s="360"/>
      <c r="B114" s="361"/>
      <c r="C114" s="361"/>
      <c r="D114" s="362"/>
      <c r="E114" s="362"/>
      <c r="F114" s="361"/>
      <c r="G114" s="365"/>
      <c r="H114" s="365"/>
      <c r="I114" s="365"/>
      <c r="J114" s="362"/>
      <c r="K114" s="371"/>
      <c r="L114" s="368"/>
    </row>
    <row r="115" spans="1:12" ht="21.75" customHeight="1" x14ac:dyDescent="0.3">
      <c r="A115" s="363"/>
      <c r="B115" s="78"/>
      <c r="D115" s="357"/>
      <c r="E115" s="357"/>
      <c r="F115" s="354"/>
      <c r="G115" s="354"/>
      <c r="H115" s="354"/>
      <c r="I115" s="354"/>
      <c r="J115" s="354"/>
      <c r="K115" s="371"/>
      <c r="L115" s="368"/>
    </row>
    <row r="116" spans="1:12" s="781" customFormat="1" ht="21.75" customHeight="1" x14ac:dyDescent="0.25">
      <c r="A116" s="827"/>
      <c r="B116" s="827"/>
      <c r="C116" s="828" t="s">
        <v>1275</v>
      </c>
      <c r="D116" s="828"/>
      <c r="E116" s="828"/>
      <c r="F116" s="828"/>
      <c r="G116" s="804"/>
      <c r="H116" s="750"/>
      <c r="I116" s="751"/>
      <c r="J116" s="827"/>
      <c r="K116" s="772"/>
      <c r="L116" s="803"/>
    </row>
    <row r="117" spans="1:12" s="781" customFormat="1" ht="21.75" customHeight="1" thickBot="1" x14ac:dyDescent="0.3">
      <c r="A117" s="780"/>
      <c r="B117" s="776"/>
      <c r="C117" s="776"/>
      <c r="D117" s="780"/>
      <c r="E117" s="780"/>
      <c r="F117" s="776"/>
      <c r="G117" s="780"/>
      <c r="K117" s="803"/>
      <c r="L117" s="803"/>
    </row>
    <row r="118" spans="1:12" s="781" customFormat="1" ht="57.75" customHeight="1" thickBot="1" x14ac:dyDescent="0.3">
      <c r="A118" s="783" t="s">
        <v>1169</v>
      </c>
      <c r="B118" s="784" t="s">
        <v>14</v>
      </c>
      <c r="C118" s="785" t="s">
        <v>1262</v>
      </c>
      <c r="D118" s="785" t="s">
        <v>17</v>
      </c>
      <c r="E118" s="785" t="s">
        <v>18</v>
      </c>
      <c r="F118" s="784" t="s">
        <v>19</v>
      </c>
      <c r="G118" s="752" t="s">
        <v>20</v>
      </c>
      <c r="H118" s="752" t="s">
        <v>21</v>
      </c>
      <c r="I118" s="752" t="s">
        <v>22</v>
      </c>
      <c r="J118" s="785" t="s">
        <v>23</v>
      </c>
      <c r="K118" s="774"/>
      <c r="L118" s="803"/>
    </row>
    <row r="119" spans="1:12" s="781" customFormat="1" ht="21.75" customHeight="1" x14ac:dyDescent="0.25">
      <c r="A119" s="786" t="s">
        <v>47</v>
      </c>
      <c r="B119" s="789">
        <v>208887.69000000041</v>
      </c>
      <c r="C119" s="787">
        <v>647994.32999999996</v>
      </c>
      <c r="D119" s="788">
        <v>0</v>
      </c>
      <c r="E119" s="788">
        <v>5846.32</v>
      </c>
      <c r="F119" s="787">
        <f>B119+C119-D119-E119</f>
        <v>851035.70000000042</v>
      </c>
      <c r="G119" s="789">
        <f>782290.12-E119</f>
        <v>776443.8</v>
      </c>
      <c r="H119" s="789">
        <f>G119/F119*100</f>
        <v>91.235162050193637</v>
      </c>
      <c r="I119" s="789">
        <f>F119-G119</f>
        <v>74591.900000000373</v>
      </c>
      <c r="J119" s="788">
        <f>I119/F119*100</f>
        <v>8.7648379498063758</v>
      </c>
      <c r="K119" s="775"/>
      <c r="L119" s="803"/>
    </row>
    <row r="120" spans="1:12" s="781" customFormat="1" ht="21.75" customHeight="1" x14ac:dyDescent="0.25">
      <c r="A120" s="790" t="s">
        <v>50</v>
      </c>
      <c r="B120" s="789">
        <v>1573202.22</v>
      </c>
      <c r="C120" s="791">
        <v>1906568.55</v>
      </c>
      <c r="D120" s="811">
        <v>0</v>
      </c>
      <c r="E120" s="811">
        <v>0</v>
      </c>
      <c r="F120" s="787">
        <f>B120+C120-D120-E120</f>
        <v>3479770.77</v>
      </c>
      <c r="G120" s="789">
        <f>2944147.69-E120</f>
        <v>2944147.69</v>
      </c>
      <c r="H120" s="789">
        <f>G120/F120*100</f>
        <v>84.607518270521027</v>
      </c>
      <c r="I120" s="789">
        <f>F120-G120</f>
        <v>535623.08000000007</v>
      </c>
      <c r="J120" s="788">
        <f>I120/F120*100</f>
        <v>15.392481729478982</v>
      </c>
      <c r="K120" s="772"/>
      <c r="L120" s="803"/>
    </row>
    <row r="121" spans="1:12" s="781" customFormat="1" ht="21.75" customHeight="1" thickBot="1" x14ac:dyDescent="0.3">
      <c r="A121" s="763" t="s">
        <v>36</v>
      </c>
      <c r="B121" s="764">
        <f>SUM(B119:B120)</f>
        <v>1782089.9100000004</v>
      </c>
      <c r="C121" s="764">
        <f>SUM(C119:C120)</f>
        <v>2554562.88</v>
      </c>
      <c r="D121" s="765">
        <v>0</v>
      </c>
      <c r="E121" s="765">
        <f>SUM(E119:E120)</f>
        <v>5846.32</v>
      </c>
      <c r="F121" s="764">
        <f>SUM(F119:F120)</f>
        <v>4330806.4700000007</v>
      </c>
      <c r="G121" s="766">
        <f>SUM(G119:G120)</f>
        <v>3720591.49</v>
      </c>
      <c r="H121" s="766">
        <f>G121/F121*100</f>
        <v>85.909899594289641</v>
      </c>
      <c r="I121" s="771">
        <f>SUM(I119:I120)</f>
        <v>610214.98000000045</v>
      </c>
      <c r="J121" s="765">
        <f>I121/F121*100</f>
        <v>14.090100405710357</v>
      </c>
      <c r="K121" s="772"/>
      <c r="L121" s="803"/>
    </row>
    <row r="122" spans="1:12" s="781" customFormat="1" ht="17.25" thickTop="1" x14ac:dyDescent="0.25">
      <c r="C122" s="780"/>
      <c r="D122" s="780"/>
      <c r="E122" s="780"/>
      <c r="F122" s="780"/>
      <c r="G122" s="797"/>
      <c r="H122" s="754"/>
      <c r="I122" s="755"/>
      <c r="K122" s="772"/>
      <c r="L122" s="803"/>
    </row>
    <row r="123" spans="1:12" s="781" customFormat="1" x14ac:dyDescent="0.25">
      <c r="A123" s="767" t="s">
        <v>37</v>
      </c>
      <c r="B123" s="776"/>
      <c r="C123" s="780"/>
      <c r="D123" s="780"/>
      <c r="E123" s="780"/>
      <c r="F123" s="780"/>
      <c r="G123" s="797"/>
      <c r="H123" s="754"/>
      <c r="I123" s="755"/>
      <c r="K123" s="772"/>
      <c r="L123" s="803"/>
    </row>
    <row r="124" spans="1:12" s="781" customFormat="1" x14ac:dyDescent="0.25">
      <c r="A124" s="768" t="s">
        <v>96</v>
      </c>
      <c r="B124" s="768" t="s">
        <v>97</v>
      </c>
      <c r="C124" s="775">
        <f>I119</f>
        <v>74591.900000000373</v>
      </c>
      <c r="D124" s="780" t="s">
        <v>55</v>
      </c>
      <c r="E124" s="780" t="s">
        <v>1276</v>
      </c>
      <c r="F124" s="780"/>
      <c r="G124" s="797"/>
      <c r="H124" s="754"/>
      <c r="I124" s="755"/>
      <c r="K124" s="772"/>
      <c r="L124" s="803"/>
    </row>
    <row r="125" spans="1:12" s="781" customFormat="1" x14ac:dyDescent="0.25">
      <c r="A125" s="768"/>
      <c r="B125" s="768" t="s">
        <v>98</v>
      </c>
      <c r="C125" s="772">
        <f>I120</f>
        <v>535623.08000000007</v>
      </c>
      <c r="D125" s="780" t="s">
        <v>55</v>
      </c>
      <c r="E125" s="780" t="s">
        <v>1276</v>
      </c>
      <c r="F125" s="780"/>
      <c r="G125" s="797"/>
      <c r="H125" s="754"/>
      <c r="I125" s="755"/>
      <c r="K125" s="772"/>
      <c r="L125" s="803"/>
    </row>
    <row r="126" spans="1:12" s="781" customFormat="1" ht="17.25" thickBot="1" x14ac:dyDescent="0.3">
      <c r="B126" s="776"/>
      <c r="C126" s="770">
        <f>SUM(C124:C125)</f>
        <v>610214.98000000045</v>
      </c>
      <c r="D126" s="769" t="s">
        <v>55</v>
      </c>
      <c r="E126" s="780"/>
      <c r="F126" s="780"/>
      <c r="G126" s="797"/>
      <c r="H126" s="754"/>
      <c r="I126" s="755"/>
      <c r="K126" s="772"/>
      <c r="L126" s="803"/>
    </row>
    <row r="127" spans="1:12" s="781" customFormat="1" ht="17.25" thickTop="1" x14ac:dyDescent="0.25">
      <c r="C127" s="780"/>
      <c r="D127" s="780"/>
      <c r="E127" s="780"/>
      <c r="F127" s="780"/>
      <c r="G127" s="797"/>
      <c r="H127" s="754"/>
      <c r="I127" s="755"/>
      <c r="K127" s="772"/>
      <c r="L127" s="803"/>
    </row>
    <row r="128" spans="1:12" s="781" customFormat="1" x14ac:dyDescent="0.25">
      <c r="C128" s="780"/>
      <c r="D128" s="780"/>
      <c r="E128" s="780"/>
      <c r="F128" s="780"/>
      <c r="G128" s="797"/>
      <c r="H128" s="754"/>
      <c r="I128" s="755"/>
      <c r="K128" s="772"/>
      <c r="L128" s="803"/>
    </row>
    <row r="129" spans="1:12" s="781" customFormat="1" ht="21.75" customHeight="1" x14ac:dyDescent="0.25">
      <c r="A129" s="827"/>
      <c r="B129" s="827"/>
      <c r="C129" s="828" t="s">
        <v>1351</v>
      </c>
      <c r="D129" s="828"/>
      <c r="E129" s="828"/>
      <c r="F129" s="828"/>
      <c r="G129" s="804"/>
      <c r="H129" s="750"/>
      <c r="I129" s="751"/>
      <c r="J129" s="827"/>
      <c r="K129" s="772"/>
      <c r="L129" s="803"/>
    </row>
    <row r="130" spans="1:12" s="781" customFormat="1" ht="21.75" customHeight="1" thickBot="1" x14ac:dyDescent="0.3">
      <c r="A130" s="780"/>
      <c r="B130" s="776"/>
      <c r="C130" s="776"/>
      <c r="D130" s="780"/>
      <c r="E130" s="780"/>
      <c r="F130" s="776"/>
      <c r="G130" s="780"/>
      <c r="K130" s="803"/>
      <c r="L130" s="803"/>
    </row>
    <row r="131" spans="1:12" s="781" customFormat="1" ht="57.75" customHeight="1" thickBot="1" x14ac:dyDescent="0.3">
      <c r="A131" s="783" t="s">
        <v>1286</v>
      </c>
      <c r="B131" s="784" t="s">
        <v>14</v>
      </c>
      <c r="C131" s="785" t="s">
        <v>1334</v>
      </c>
      <c r="D131" s="785" t="s">
        <v>17</v>
      </c>
      <c r="E131" s="785" t="s">
        <v>18</v>
      </c>
      <c r="F131" s="784" t="s">
        <v>19</v>
      </c>
      <c r="G131" s="752" t="s">
        <v>20</v>
      </c>
      <c r="H131" s="752" t="s">
        <v>21</v>
      </c>
      <c r="I131" s="752" t="s">
        <v>22</v>
      </c>
      <c r="J131" s="785" t="s">
        <v>23</v>
      </c>
      <c r="K131" s="774"/>
      <c r="L131" s="803"/>
    </row>
    <row r="132" spans="1:12" s="781" customFormat="1" ht="21.75" customHeight="1" x14ac:dyDescent="0.25">
      <c r="A132" s="786" t="s">
        <v>47</v>
      </c>
      <c r="B132" s="789">
        <v>74591.900000000373</v>
      </c>
      <c r="C132" s="787">
        <v>733217.84</v>
      </c>
      <c r="D132" s="788">
        <v>0</v>
      </c>
      <c r="E132" s="788">
        <v>0</v>
      </c>
      <c r="F132" s="787">
        <f>B132+C132-D132-E132</f>
        <v>807809.74000000034</v>
      </c>
      <c r="G132" s="789">
        <f>724294.87-E132</f>
        <v>724294.87</v>
      </c>
      <c r="H132" s="789">
        <f>G132/F132*100</f>
        <v>89.661566843697599</v>
      </c>
      <c r="I132" s="789">
        <f>F132-G132</f>
        <v>83514.870000000345</v>
      </c>
      <c r="J132" s="788">
        <f>I132/F132*100</f>
        <v>10.338433156302413</v>
      </c>
      <c r="K132" s="775"/>
      <c r="L132" s="803"/>
    </row>
    <row r="133" spans="1:12" s="781" customFormat="1" ht="21.75" customHeight="1" x14ac:dyDescent="0.25">
      <c r="A133" s="790" t="s">
        <v>50</v>
      </c>
      <c r="B133" s="789">
        <v>535623.08000000007</v>
      </c>
      <c r="C133" s="791">
        <v>1922025.14</v>
      </c>
      <c r="D133" s="811">
        <v>0</v>
      </c>
      <c r="E133" s="811">
        <v>0</v>
      </c>
      <c r="F133" s="787">
        <f>B133+C133-D133-E133</f>
        <v>2457648.2199999997</v>
      </c>
      <c r="G133" s="789">
        <f>1701414.1-E133</f>
        <v>1701414.1</v>
      </c>
      <c r="H133" s="789">
        <f>G133/F133*100</f>
        <v>69.229358626435172</v>
      </c>
      <c r="I133" s="789">
        <f>F133-G133</f>
        <v>756234.11999999965</v>
      </c>
      <c r="J133" s="788">
        <f>I133/F133*100</f>
        <v>30.770641373564832</v>
      </c>
      <c r="K133" s="772"/>
      <c r="L133" s="803"/>
    </row>
    <row r="134" spans="1:12" s="781" customFormat="1" ht="21.75" customHeight="1" thickBot="1" x14ac:dyDescent="0.3">
      <c r="A134" s="763" t="s">
        <v>36</v>
      </c>
      <c r="B134" s="764">
        <f>SUM(B132:B133)</f>
        <v>610214.98000000045</v>
      </c>
      <c r="C134" s="764">
        <f>SUM(C132:C133)</f>
        <v>2655242.98</v>
      </c>
      <c r="D134" s="765">
        <v>0</v>
      </c>
      <c r="E134" s="765">
        <f>SUM(E132:E133)</f>
        <v>0</v>
      </c>
      <c r="F134" s="764">
        <f>SUM(F132:F133)</f>
        <v>3265457.96</v>
      </c>
      <c r="G134" s="766">
        <f>SUM(G132:G133)</f>
        <v>2425708.9700000002</v>
      </c>
      <c r="H134" s="766">
        <f>G134/F134*100</f>
        <v>74.283882987120137</v>
      </c>
      <c r="I134" s="771">
        <f>SUM(I132:I133)</f>
        <v>839748.99</v>
      </c>
      <c r="J134" s="765">
        <f>I134/F134*100</f>
        <v>25.716117012879874</v>
      </c>
      <c r="K134" s="772"/>
      <c r="L134" s="803"/>
    </row>
    <row r="135" spans="1:12" s="781" customFormat="1" ht="17.25" thickTop="1" x14ac:dyDescent="0.25">
      <c r="C135" s="780"/>
      <c r="D135" s="780"/>
      <c r="E135" s="780"/>
      <c r="F135" s="780"/>
      <c r="G135" s="797"/>
      <c r="H135" s="754"/>
      <c r="I135" s="755"/>
      <c r="K135" s="772"/>
      <c r="L135" s="803"/>
    </row>
    <row r="136" spans="1:12" s="781" customFormat="1" x14ac:dyDescent="0.25">
      <c r="A136" s="767" t="s">
        <v>37</v>
      </c>
      <c r="B136" s="776"/>
      <c r="C136" s="780"/>
      <c r="D136" s="780"/>
      <c r="E136" s="780"/>
      <c r="F136" s="780"/>
      <c r="G136" s="797"/>
      <c r="H136" s="754"/>
      <c r="I136" s="755"/>
      <c r="K136" s="772"/>
      <c r="L136" s="803"/>
    </row>
    <row r="137" spans="1:12" s="781" customFormat="1" x14ac:dyDescent="0.25">
      <c r="A137" s="768" t="s">
        <v>96</v>
      </c>
      <c r="B137" s="768" t="s">
        <v>97</v>
      </c>
      <c r="C137" s="775">
        <f>I132</f>
        <v>83514.870000000345</v>
      </c>
      <c r="D137" s="780" t="s">
        <v>55</v>
      </c>
      <c r="E137" s="780" t="s">
        <v>1352</v>
      </c>
      <c r="F137" s="780"/>
      <c r="G137" s="797"/>
      <c r="H137" s="754"/>
      <c r="I137" s="755"/>
      <c r="K137" s="772"/>
      <c r="L137" s="803"/>
    </row>
    <row r="138" spans="1:12" s="781" customFormat="1" x14ac:dyDescent="0.25">
      <c r="A138" s="768"/>
      <c r="B138" s="768" t="s">
        <v>98</v>
      </c>
      <c r="C138" s="772">
        <f>I133</f>
        <v>756234.11999999965</v>
      </c>
      <c r="D138" s="780" t="s">
        <v>55</v>
      </c>
      <c r="E138" s="780" t="s">
        <v>1353</v>
      </c>
      <c r="F138" s="780"/>
      <c r="G138" s="797"/>
      <c r="H138" s="754"/>
      <c r="I138" s="755"/>
      <c r="K138" s="772"/>
      <c r="L138" s="803"/>
    </row>
    <row r="139" spans="1:12" s="781" customFormat="1" ht="17.25" thickBot="1" x14ac:dyDescent="0.3">
      <c r="B139" s="776"/>
      <c r="C139" s="770">
        <f>SUM(C137:C138)</f>
        <v>839748.99</v>
      </c>
      <c r="D139" s="769" t="s">
        <v>55</v>
      </c>
      <c r="E139" s="780"/>
      <c r="F139" s="780"/>
      <c r="G139" s="797"/>
      <c r="H139" s="754"/>
      <c r="I139" s="755"/>
      <c r="K139" s="772"/>
      <c r="L139" s="803"/>
    </row>
    <row r="140" spans="1:12" ht="21.75" customHeight="1" thickTop="1" x14ac:dyDescent="0.25">
      <c r="A140" s="367"/>
      <c r="B140" s="367"/>
      <c r="C140" s="371"/>
      <c r="D140" s="357"/>
      <c r="E140" s="357"/>
      <c r="F140" s="354"/>
      <c r="G140" s="354"/>
      <c r="H140" s="354"/>
      <c r="I140" s="354"/>
      <c r="J140" s="354"/>
      <c r="K140" s="368"/>
      <c r="L140" s="368"/>
    </row>
    <row r="141" spans="1:12" ht="21.75" customHeight="1" x14ac:dyDescent="0.25">
      <c r="A141" s="367"/>
      <c r="B141" s="367"/>
      <c r="C141" s="371"/>
      <c r="D141" s="357"/>
      <c r="E141" s="357"/>
      <c r="F141" s="354"/>
      <c r="G141" s="354"/>
      <c r="H141" s="354"/>
      <c r="I141" s="354"/>
      <c r="J141" s="354"/>
      <c r="K141" s="368"/>
      <c r="L141" s="368"/>
    </row>
    <row r="142" spans="1:12" s="781" customFormat="1" ht="21.75" customHeight="1" x14ac:dyDescent="0.25">
      <c r="A142" s="827"/>
      <c r="B142" s="827"/>
      <c r="C142" s="828" t="s">
        <v>1413</v>
      </c>
      <c r="D142" s="828"/>
      <c r="E142" s="828"/>
      <c r="F142" s="828"/>
      <c r="G142" s="804"/>
      <c r="H142" s="750"/>
      <c r="I142" s="751"/>
      <c r="J142" s="827"/>
      <c r="K142" s="772"/>
      <c r="L142" s="803"/>
    </row>
    <row r="143" spans="1:12" s="781" customFormat="1" ht="21.75" customHeight="1" thickBot="1" x14ac:dyDescent="0.3">
      <c r="A143" s="780"/>
      <c r="B143" s="776"/>
      <c r="C143" s="776"/>
      <c r="D143" s="780"/>
      <c r="E143" s="780"/>
      <c r="F143" s="776"/>
      <c r="G143" s="780"/>
      <c r="K143" s="803"/>
      <c r="L143" s="803"/>
    </row>
    <row r="144" spans="1:12" s="781" customFormat="1" ht="57.75" customHeight="1" thickBot="1" x14ac:dyDescent="0.3">
      <c r="A144" s="783" t="s">
        <v>1398</v>
      </c>
      <c r="B144" s="784" t="s">
        <v>14</v>
      </c>
      <c r="C144" s="785" t="s">
        <v>1414</v>
      </c>
      <c r="D144" s="785" t="s">
        <v>17</v>
      </c>
      <c r="E144" s="785" t="s">
        <v>18</v>
      </c>
      <c r="F144" s="784" t="s">
        <v>19</v>
      </c>
      <c r="G144" s="752" t="s">
        <v>20</v>
      </c>
      <c r="H144" s="752" t="s">
        <v>21</v>
      </c>
      <c r="I144" s="752" t="s">
        <v>22</v>
      </c>
      <c r="J144" s="785" t="s">
        <v>23</v>
      </c>
      <c r="K144" s="774"/>
      <c r="L144" s="803"/>
    </row>
    <row r="145" spans="1:12" s="781" customFormat="1" ht="21.75" customHeight="1" x14ac:dyDescent="0.25">
      <c r="A145" s="786" t="s">
        <v>47</v>
      </c>
      <c r="B145" s="789">
        <v>83514.870000000345</v>
      </c>
      <c r="C145" s="787">
        <v>892926.55</v>
      </c>
      <c r="D145" s="788">
        <v>0</v>
      </c>
      <c r="E145" s="788">
        <v>4155.6400000000003</v>
      </c>
      <c r="F145" s="787">
        <f>B145+C145-D145-E145</f>
        <v>972285.78000000038</v>
      </c>
      <c r="G145" s="789">
        <f>879245.33-E145</f>
        <v>875089.69</v>
      </c>
      <c r="H145" s="789">
        <f>G145/F145*100</f>
        <v>90.003341404417085</v>
      </c>
      <c r="I145" s="789">
        <f>F145-G145</f>
        <v>97196.090000000433</v>
      </c>
      <c r="J145" s="788">
        <f>I145/F145*100</f>
        <v>9.9966585955829146</v>
      </c>
      <c r="K145" s="775"/>
      <c r="L145" s="803"/>
    </row>
    <row r="146" spans="1:12" s="781" customFormat="1" ht="21.75" customHeight="1" x14ac:dyDescent="0.25">
      <c r="A146" s="790" t="s">
        <v>50</v>
      </c>
      <c r="B146" s="789">
        <v>756234.11999999965</v>
      </c>
      <c r="C146" s="791">
        <v>2173297.92</v>
      </c>
      <c r="D146" s="811">
        <v>0</v>
      </c>
      <c r="E146" s="811">
        <v>0</v>
      </c>
      <c r="F146" s="787">
        <f>B146+C146-D146-E146</f>
        <v>2929532.0399999996</v>
      </c>
      <c r="G146" s="789">
        <f>2737438.6-E146</f>
        <v>2737438.6</v>
      </c>
      <c r="H146" s="789">
        <f>G146/F146*100</f>
        <v>93.442862635494521</v>
      </c>
      <c r="I146" s="789">
        <f>F146-G146</f>
        <v>192093.43999999948</v>
      </c>
      <c r="J146" s="788">
        <f>I146/F146*100</f>
        <v>6.5571373645054765</v>
      </c>
      <c r="K146" s="772"/>
      <c r="L146" s="803"/>
    </row>
    <row r="147" spans="1:12" s="781" customFormat="1" ht="21.75" customHeight="1" thickBot="1" x14ac:dyDescent="0.3">
      <c r="A147" s="763" t="s">
        <v>36</v>
      </c>
      <c r="B147" s="764">
        <f>SUM(B145:B146)</f>
        <v>839748.99</v>
      </c>
      <c r="C147" s="764">
        <f>SUM(C145:C146)</f>
        <v>3066224.4699999997</v>
      </c>
      <c r="D147" s="765">
        <v>0</v>
      </c>
      <c r="E147" s="765">
        <f>SUM(E145:E146)</f>
        <v>4155.6400000000003</v>
      </c>
      <c r="F147" s="764">
        <f>SUM(F145:F146)</f>
        <v>3901817.82</v>
      </c>
      <c r="G147" s="766">
        <f>SUM(G145:G146)</f>
        <v>3612528.29</v>
      </c>
      <c r="H147" s="766">
        <f>G147/F147*100</f>
        <v>92.585775570628769</v>
      </c>
      <c r="I147" s="771">
        <f>SUM(I145:I146)</f>
        <v>289289.52999999991</v>
      </c>
      <c r="J147" s="765">
        <f>I147/F147*100</f>
        <v>7.4142244293712283</v>
      </c>
      <c r="K147" s="772"/>
      <c r="L147" s="803"/>
    </row>
    <row r="148" spans="1:12" s="781" customFormat="1" ht="17.25" thickTop="1" x14ac:dyDescent="0.25">
      <c r="C148" s="780"/>
      <c r="D148" s="780"/>
      <c r="E148" s="780"/>
      <c r="F148" s="780"/>
      <c r="G148" s="797"/>
      <c r="H148" s="754"/>
      <c r="I148" s="755"/>
      <c r="K148" s="772"/>
      <c r="L148" s="803"/>
    </row>
    <row r="149" spans="1:12" s="781" customFormat="1" x14ac:dyDescent="0.25">
      <c r="A149" s="767" t="s">
        <v>37</v>
      </c>
      <c r="B149" s="776"/>
      <c r="C149" s="780"/>
      <c r="D149" s="780"/>
      <c r="E149" s="780"/>
      <c r="F149" s="780"/>
      <c r="G149" s="797"/>
      <c r="H149" s="754"/>
      <c r="I149" s="755"/>
      <c r="K149" s="772"/>
      <c r="L149" s="803"/>
    </row>
    <row r="150" spans="1:12" s="781" customFormat="1" x14ac:dyDescent="0.25">
      <c r="A150" s="768" t="s">
        <v>96</v>
      </c>
      <c r="B150" s="768" t="s">
        <v>97</v>
      </c>
      <c r="C150" s="775">
        <v>97196.09</v>
      </c>
      <c r="D150" s="780" t="s">
        <v>55</v>
      </c>
      <c r="E150" s="780" t="s">
        <v>1415</v>
      </c>
      <c r="F150" s="780"/>
      <c r="G150" s="797"/>
      <c r="H150" s="754"/>
      <c r="I150" s="755"/>
      <c r="K150" s="772"/>
      <c r="L150" s="803"/>
    </row>
    <row r="151" spans="1:12" s="781" customFormat="1" x14ac:dyDescent="0.25">
      <c r="A151" s="768"/>
      <c r="B151" s="768" t="s">
        <v>98</v>
      </c>
      <c r="C151" s="772">
        <v>192093.44</v>
      </c>
      <c r="D151" s="780" t="s">
        <v>55</v>
      </c>
      <c r="E151" s="780" t="s">
        <v>1416</v>
      </c>
      <c r="F151" s="780"/>
      <c r="G151" s="797"/>
      <c r="H151" s="754"/>
      <c r="I151" s="755"/>
      <c r="K151" s="772"/>
      <c r="L151" s="803"/>
    </row>
    <row r="152" spans="1:12" s="781" customFormat="1" ht="17.25" thickBot="1" x14ac:dyDescent="0.3">
      <c r="B152" s="776"/>
      <c r="C152" s="770">
        <f>SUM(C150:C151)</f>
        <v>289289.53000000003</v>
      </c>
      <c r="D152" s="769" t="s">
        <v>55</v>
      </c>
      <c r="E152" s="780"/>
      <c r="F152" s="780"/>
      <c r="G152" s="797"/>
      <c r="H152" s="754"/>
      <c r="I152" s="755"/>
      <c r="K152" s="772"/>
      <c r="L152" s="803"/>
    </row>
    <row r="153" spans="1:12" ht="21.75" customHeight="1" thickTop="1" x14ac:dyDescent="0.25">
      <c r="A153" s="367"/>
      <c r="B153" s="367"/>
      <c r="C153" s="371"/>
      <c r="D153" s="357"/>
      <c r="E153" s="357"/>
      <c r="F153" s="354"/>
      <c r="G153" s="354"/>
      <c r="H153" s="354"/>
      <c r="I153" s="354"/>
      <c r="J153" s="354"/>
      <c r="K153" s="368"/>
      <c r="L153" s="368"/>
    </row>
    <row r="154" spans="1:12" ht="21.75" customHeight="1" x14ac:dyDescent="0.25">
      <c r="A154" s="367"/>
      <c r="B154" s="367"/>
      <c r="C154" s="371"/>
      <c r="D154" s="357"/>
      <c r="E154" s="357"/>
      <c r="F154" s="354"/>
      <c r="G154" s="354"/>
      <c r="H154" s="354"/>
      <c r="I154" s="354"/>
      <c r="J154" s="354"/>
      <c r="K154" s="368"/>
      <c r="L154" s="368"/>
    </row>
    <row r="155" spans="1:12" ht="21.75" customHeight="1" x14ac:dyDescent="0.3">
      <c r="B155" s="78"/>
      <c r="C155" s="48"/>
      <c r="D155" s="370"/>
      <c r="E155" s="357"/>
      <c r="F155" s="354"/>
      <c r="G155" s="354"/>
      <c r="H155" s="354"/>
      <c r="I155" s="354"/>
      <c r="J155" s="354"/>
      <c r="K155" s="368"/>
      <c r="L155" s="368"/>
    </row>
    <row r="156" spans="1:12" ht="21.75" customHeight="1" x14ac:dyDescent="0.25">
      <c r="A156" s="358"/>
      <c r="B156" s="57"/>
      <c r="D156" s="68"/>
      <c r="E156" s="68"/>
      <c r="G156" s="57"/>
      <c r="H156" s="57"/>
      <c r="I156" s="57"/>
      <c r="J156" s="68"/>
    </row>
    <row r="157" spans="1:12" ht="21.75" customHeight="1" x14ac:dyDescent="0.25">
      <c r="A157" s="360"/>
      <c r="B157" s="77"/>
      <c r="C157" s="361"/>
      <c r="D157" s="362"/>
      <c r="E157" s="362"/>
      <c r="F157" s="361"/>
      <c r="G157" s="365"/>
      <c r="H157" s="365"/>
      <c r="I157" s="77"/>
      <c r="J157" s="362"/>
    </row>
    <row r="158" spans="1:12" ht="21.75" customHeight="1" x14ac:dyDescent="0.25">
      <c r="A158" s="33"/>
      <c r="B158" s="33"/>
      <c r="C158" s="366"/>
      <c r="D158" s="366"/>
      <c r="E158" s="366"/>
      <c r="F158" s="366"/>
      <c r="J158" s="33"/>
      <c r="K158" s="371"/>
      <c r="L158" s="368"/>
    </row>
    <row r="159" spans="1:12" ht="21.75" customHeight="1" x14ac:dyDescent="0.3">
      <c r="A159" s="357"/>
      <c r="B159" s="78"/>
      <c r="C159" s="78"/>
      <c r="D159" s="357"/>
      <c r="E159" s="357"/>
      <c r="F159" s="78"/>
      <c r="G159" s="357"/>
      <c r="H159" s="354"/>
      <c r="I159" s="354"/>
      <c r="J159" s="354"/>
      <c r="K159" s="368"/>
      <c r="L159" s="368"/>
    </row>
    <row r="160" spans="1:12" ht="57.75" customHeight="1" x14ac:dyDescent="0.25">
      <c r="A160" s="72"/>
      <c r="B160" s="72"/>
      <c r="C160" s="73"/>
      <c r="D160" s="73"/>
      <c r="E160" s="73"/>
      <c r="F160" s="72"/>
      <c r="G160" s="74"/>
      <c r="H160" s="74"/>
      <c r="I160" s="74"/>
      <c r="J160" s="73"/>
      <c r="K160" s="120"/>
      <c r="L160" s="368"/>
    </row>
    <row r="161" spans="1:12" ht="21.75" customHeight="1" x14ac:dyDescent="0.25">
      <c r="A161" s="358"/>
      <c r="B161" s="57"/>
      <c r="D161" s="68"/>
      <c r="E161" s="68"/>
      <c r="G161" s="57"/>
      <c r="H161" s="57"/>
      <c r="I161" s="57"/>
      <c r="J161" s="68"/>
      <c r="K161" s="384"/>
      <c r="L161" s="368"/>
    </row>
    <row r="162" spans="1:12" ht="21.75" customHeight="1" x14ac:dyDescent="0.25">
      <c r="A162" s="358"/>
      <c r="B162" s="57"/>
      <c r="D162" s="68"/>
      <c r="E162" s="68"/>
      <c r="G162" s="57"/>
      <c r="H162" s="57"/>
      <c r="I162" s="57"/>
      <c r="J162" s="68"/>
      <c r="K162" s="371"/>
      <c r="L162" s="368"/>
    </row>
    <row r="163" spans="1:12" ht="21.75" customHeight="1" x14ac:dyDescent="0.25">
      <c r="A163" s="360"/>
      <c r="B163" s="77"/>
      <c r="C163" s="361"/>
      <c r="D163" s="362"/>
      <c r="E163" s="362"/>
      <c r="F163" s="361"/>
      <c r="G163" s="365"/>
      <c r="H163" s="365"/>
      <c r="I163" s="365"/>
      <c r="J163" s="362"/>
      <c r="K163" s="371"/>
      <c r="L163" s="368"/>
    </row>
    <row r="164" spans="1:12" ht="21.75" customHeight="1" x14ac:dyDescent="0.25">
      <c r="A164" s="360"/>
      <c r="B164" s="361"/>
      <c r="C164" s="361"/>
      <c r="D164" s="362"/>
      <c r="E164" s="362"/>
      <c r="F164" s="361"/>
      <c r="G164" s="365"/>
      <c r="H164" s="365"/>
      <c r="I164" s="365"/>
      <c r="J164" s="362"/>
      <c r="K164" s="371"/>
      <c r="L164" s="368"/>
    </row>
    <row r="165" spans="1:12" ht="21.75" customHeight="1" x14ac:dyDescent="0.3">
      <c r="A165" s="363"/>
      <c r="B165" s="78"/>
      <c r="D165" s="357"/>
      <c r="E165" s="357"/>
      <c r="F165" s="354"/>
      <c r="G165" s="354"/>
      <c r="H165" s="354"/>
      <c r="I165" s="354"/>
      <c r="J165" s="354"/>
      <c r="K165" s="371"/>
      <c r="L165" s="368"/>
    </row>
    <row r="166" spans="1:12" ht="21.75" customHeight="1" x14ac:dyDescent="0.25">
      <c r="A166" s="367"/>
      <c r="B166" s="367"/>
      <c r="C166" s="371"/>
      <c r="D166" s="357"/>
      <c r="E166" s="357"/>
      <c r="F166" s="354"/>
      <c r="G166" s="354"/>
      <c r="H166" s="354"/>
      <c r="I166" s="354"/>
      <c r="J166" s="354"/>
      <c r="K166" s="368"/>
      <c r="L166" s="368"/>
    </row>
    <row r="167" spans="1:12" ht="21.75" customHeight="1" x14ac:dyDescent="0.3">
      <c r="B167" s="78"/>
      <c r="C167" s="48"/>
      <c r="D167" s="370"/>
      <c r="E167" s="357"/>
      <c r="F167" s="354"/>
      <c r="G167" s="354"/>
      <c r="H167" s="354"/>
      <c r="I167" s="354"/>
      <c r="J167" s="354"/>
      <c r="K167" s="368"/>
      <c r="L167" s="368"/>
    </row>
    <row r="168" spans="1:12" ht="57.75" customHeight="1" x14ac:dyDescent="0.25">
      <c r="A168" s="72"/>
      <c r="B168" s="72"/>
      <c r="C168" s="73"/>
      <c r="D168" s="73"/>
      <c r="E168" s="73"/>
      <c r="F168" s="72"/>
      <c r="G168" s="74"/>
      <c r="H168" s="74"/>
      <c r="I168" s="74"/>
      <c r="J168" s="73"/>
    </row>
    <row r="169" spans="1:12" ht="21.75" customHeight="1" x14ac:dyDescent="0.25">
      <c r="A169" s="358"/>
      <c r="B169" s="57"/>
      <c r="D169" s="68"/>
      <c r="E169" s="68"/>
      <c r="G169" s="57"/>
      <c r="H169" s="57"/>
      <c r="I169" s="57"/>
      <c r="J169" s="68"/>
    </row>
    <row r="170" spans="1:12" ht="21.75" customHeight="1" x14ac:dyDescent="0.25">
      <c r="A170" s="358"/>
      <c r="B170" s="57"/>
      <c r="D170" s="68"/>
      <c r="E170" s="68"/>
      <c r="G170" s="57"/>
      <c r="H170" s="57"/>
      <c r="I170" s="57"/>
      <c r="J170" s="68"/>
    </row>
    <row r="171" spans="1:12" ht="21.75" customHeight="1" x14ac:dyDescent="0.25">
      <c r="A171" s="358"/>
      <c r="B171" s="57"/>
      <c r="D171" s="68"/>
      <c r="E171" s="68"/>
      <c r="G171" s="57"/>
      <c r="H171" s="57"/>
      <c r="I171" s="57"/>
      <c r="J171" s="68"/>
    </row>
    <row r="172" spans="1:12" ht="21.75" customHeight="1" x14ac:dyDescent="0.25">
      <c r="A172" s="358"/>
      <c r="B172" s="57"/>
      <c r="D172" s="68"/>
      <c r="E172" s="68"/>
      <c r="G172" s="57"/>
      <c r="H172" s="57"/>
      <c r="I172" s="57"/>
      <c r="J172" s="68"/>
    </row>
    <row r="173" spans="1:12" ht="21.75" customHeight="1" x14ac:dyDescent="0.25">
      <c r="A173" s="360"/>
      <c r="B173" s="77"/>
      <c r="C173" s="361"/>
      <c r="D173" s="362"/>
      <c r="E173" s="362"/>
      <c r="F173" s="361"/>
      <c r="G173" s="365"/>
      <c r="H173" s="365"/>
      <c r="I173" s="77"/>
      <c r="J173" s="362"/>
    </row>
    <row r="174" spans="1:12" ht="21.75" customHeight="1" x14ac:dyDescent="0.25">
      <c r="A174" s="360"/>
      <c r="B174" s="361"/>
      <c r="C174" s="361"/>
      <c r="D174" s="362"/>
      <c r="E174" s="362"/>
      <c r="F174" s="361"/>
      <c r="G174" s="365"/>
      <c r="H174" s="365"/>
      <c r="I174" s="365"/>
      <c r="J174" s="362"/>
    </row>
    <row r="175" spans="1:12" ht="21.75" customHeight="1" x14ac:dyDescent="0.3">
      <c r="A175" s="363"/>
      <c r="B175" s="78"/>
      <c r="D175" s="357"/>
      <c r="E175" s="357"/>
      <c r="F175" s="354"/>
      <c r="G175" s="354"/>
      <c r="H175" s="354"/>
      <c r="I175" s="354"/>
      <c r="J175" s="354"/>
    </row>
    <row r="176" spans="1:12" ht="21.75" customHeight="1" x14ac:dyDescent="0.25">
      <c r="A176" s="367"/>
      <c r="B176" s="367"/>
      <c r="D176" s="357"/>
      <c r="E176" s="357"/>
      <c r="F176" s="354"/>
      <c r="G176" s="354"/>
      <c r="H176" s="354"/>
      <c r="I176" s="354"/>
      <c r="J176" s="354"/>
    </row>
    <row r="177" spans="1:10" ht="21.75" customHeight="1" x14ac:dyDescent="0.25">
      <c r="B177" s="367"/>
      <c r="D177" s="357"/>
      <c r="E177" s="357"/>
      <c r="F177" s="354"/>
      <c r="G177" s="354"/>
      <c r="H177" s="354"/>
      <c r="I177" s="354"/>
      <c r="J177" s="354"/>
    </row>
    <row r="178" spans="1:10" ht="21.75" customHeight="1" x14ac:dyDescent="0.25">
      <c r="B178" s="367"/>
      <c r="D178" s="357"/>
      <c r="E178" s="357"/>
      <c r="F178" s="354"/>
      <c r="G178" s="354"/>
      <c r="H178" s="354"/>
      <c r="I178" s="354"/>
      <c r="J178" s="354"/>
    </row>
    <row r="179" spans="1:10" ht="21.75" customHeight="1" x14ac:dyDescent="0.3">
      <c r="B179" s="78"/>
      <c r="C179" s="48"/>
      <c r="D179" s="370"/>
      <c r="E179" s="357"/>
      <c r="F179" s="354"/>
      <c r="G179" s="354"/>
      <c r="H179" s="354"/>
      <c r="I179" s="354"/>
      <c r="J179" s="354"/>
    </row>
    <row r="182" spans="1:10" ht="21.75" customHeight="1" x14ac:dyDescent="0.25">
      <c r="A182" s="33"/>
      <c r="B182" s="33"/>
      <c r="C182" s="366"/>
      <c r="D182" s="366"/>
      <c r="E182" s="366"/>
      <c r="F182" s="366"/>
      <c r="J182" s="33"/>
    </row>
    <row r="183" spans="1:10" ht="21.75" customHeight="1" x14ac:dyDescent="0.3">
      <c r="A183" s="357"/>
      <c r="B183" s="78"/>
      <c r="C183" s="78"/>
      <c r="D183" s="357"/>
      <c r="E183" s="357"/>
      <c r="F183" s="78"/>
      <c r="G183" s="357"/>
      <c r="H183" s="354"/>
      <c r="I183" s="354"/>
      <c r="J183" s="354"/>
    </row>
    <row r="184" spans="1:10" ht="57.75" customHeight="1" x14ac:dyDescent="0.25">
      <c r="A184" s="72"/>
      <c r="B184" s="72"/>
      <c r="C184" s="73"/>
      <c r="D184" s="73"/>
      <c r="E184" s="73"/>
      <c r="F184" s="72"/>
      <c r="G184" s="74"/>
      <c r="H184" s="74"/>
      <c r="I184" s="74"/>
      <c r="J184" s="73"/>
    </row>
    <row r="185" spans="1:10" ht="21.75" customHeight="1" x14ac:dyDescent="0.25">
      <c r="A185" s="358"/>
      <c r="B185" s="57"/>
      <c r="D185" s="68"/>
      <c r="E185" s="68"/>
      <c r="G185" s="57"/>
      <c r="H185" s="57"/>
      <c r="I185" s="57"/>
      <c r="J185" s="68"/>
    </row>
    <row r="186" spans="1:10" ht="21.75" customHeight="1" x14ac:dyDescent="0.25">
      <c r="A186" s="358"/>
      <c r="B186" s="57"/>
      <c r="D186" s="68"/>
      <c r="E186" s="68"/>
      <c r="G186" s="57"/>
      <c r="H186" s="57"/>
      <c r="I186" s="57"/>
      <c r="J186" s="68"/>
    </row>
    <row r="187" spans="1:10" ht="21.75" customHeight="1" x14ac:dyDescent="0.25">
      <c r="A187" s="358"/>
      <c r="B187" s="57"/>
      <c r="D187" s="68"/>
      <c r="E187" s="68"/>
      <c r="G187" s="57"/>
      <c r="H187" s="57"/>
      <c r="I187" s="57"/>
      <c r="J187" s="68"/>
    </row>
    <row r="188" spans="1:10" ht="21.75" customHeight="1" x14ac:dyDescent="0.25">
      <c r="A188" s="360"/>
      <c r="B188" s="77"/>
      <c r="C188" s="361"/>
      <c r="D188" s="362"/>
      <c r="E188" s="362"/>
      <c r="F188" s="361"/>
      <c r="G188" s="365"/>
      <c r="H188" s="365"/>
      <c r="I188" s="77"/>
      <c r="J188" s="362"/>
    </row>
    <row r="189" spans="1:10" ht="21.75" customHeight="1" x14ac:dyDescent="0.25">
      <c r="A189" s="360"/>
      <c r="B189" s="361"/>
      <c r="C189" s="361"/>
      <c r="D189" s="362"/>
      <c r="E189" s="362"/>
      <c r="F189" s="361"/>
      <c r="G189" s="365"/>
      <c r="H189" s="365"/>
      <c r="I189" s="365"/>
      <c r="J189" s="362"/>
    </row>
    <row r="190" spans="1:10" ht="21.75" customHeight="1" x14ac:dyDescent="0.3">
      <c r="A190" s="363"/>
      <c r="B190" s="78"/>
      <c r="D190" s="357"/>
      <c r="E190" s="357"/>
      <c r="F190" s="354"/>
      <c r="G190" s="354"/>
      <c r="H190" s="354"/>
      <c r="I190" s="354"/>
      <c r="J190" s="354"/>
    </row>
    <row r="191" spans="1:10" ht="21.75" customHeight="1" x14ac:dyDescent="0.25">
      <c r="A191" s="367"/>
      <c r="B191" s="367"/>
      <c r="D191" s="357"/>
      <c r="E191" s="357"/>
      <c r="F191" s="354"/>
      <c r="G191" s="354"/>
      <c r="H191" s="354"/>
      <c r="I191" s="354"/>
      <c r="J191" s="354"/>
    </row>
    <row r="192" spans="1:10" ht="21.75" customHeight="1" x14ac:dyDescent="0.25">
      <c r="B192" s="367"/>
      <c r="D192" s="357"/>
      <c r="E192" s="357"/>
      <c r="F192" s="354"/>
      <c r="G192" s="354"/>
      <c r="H192" s="354"/>
      <c r="I192" s="354"/>
      <c r="J192" s="354"/>
    </row>
    <row r="193" spans="2:10" ht="21.75" customHeight="1" x14ac:dyDescent="0.25">
      <c r="B193" s="367"/>
      <c r="D193" s="357"/>
      <c r="E193" s="357"/>
      <c r="F193" s="354"/>
      <c r="G193" s="354"/>
      <c r="H193" s="354"/>
      <c r="I193" s="354"/>
      <c r="J193" s="354"/>
    </row>
    <row r="194" spans="2:10" ht="21.75" customHeight="1" x14ac:dyDescent="0.3">
      <c r="B194" s="78"/>
      <c r="C194" s="48"/>
      <c r="D194" s="370"/>
      <c r="E194" s="357"/>
      <c r="F194" s="354"/>
      <c r="G194" s="354"/>
      <c r="H194" s="354"/>
      <c r="I194" s="354"/>
      <c r="J194" s="354"/>
    </row>
  </sheetData>
  <printOptions horizontalCentered="1"/>
  <pageMargins left="0.3" right="0.3" top="0.7" bottom="0.7" header="0.3" footer="0.3"/>
  <pageSetup scale="53" fitToHeight="0" orientation="landscape" verticalDpi="200" r:id="rId1"/>
  <headerFooter>
    <oddHeader>&amp;F</oddHeader>
    <oddFooter>&amp;A&amp;RPage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6"/>
  <sheetViews>
    <sheetView topLeftCell="A208" zoomScaleNormal="100" workbookViewId="0">
      <selection activeCell="G230" sqref="G230"/>
    </sheetView>
  </sheetViews>
  <sheetFormatPr defaultColWidth="13.85546875" defaultRowHeight="20.100000000000001" customHeight="1" x14ac:dyDescent="0.25"/>
  <cols>
    <col min="1" max="1" width="25.140625" style="18" customWidth="1"/>
    <col min="2" max="2" width="20.7109375" style="18" customWidth="1"/>
    <col min="3" max="3" width="20.7109375" style="21" customWidth="1"/>
    <col min="4" max="5" width="20.7109375" style="19" customWidth="1"/>
    <col min="6" max="6" width="20.7109375" style="21" customWidth="1"/>
    <col min="7" max="7" width="20.7109375" style="19" customWidth="1"/>
    <col min="8" max="8" width="20.7109375" style="20" customWidth="1"/>
    <col min="9" max="10" width="20.7109375" style="25" customWidth="1"/>
    <col min="11" max="16384" width="13.85546875" style="18"/>
  </cols>
  <sheetData>
    <row r="1" spans="1:11" s="354" customFormat="1" ht="20.100000000000001" customHeight="1" x14ac:dyDescent="0.25">
      <c r="A1" s="899" t="s">
        <v>251</v>
      </c>
      <c r="B1" s="899"/>
      <c r="C1" s="899"/>
      <c r="D1" s="899"/>
      <c r="E1" s="899"/>
      <c r="F1" s="899"/>
      <c r="G1" s="899"/>
      <c r="H1" s="899"/>
      <c r="I1" s="899"/>
      <c r="J1" s="899"/>
    </row>
    <row r="2" spans="1:11" s="354" customFormat="1" ht="20.100000000000001" customHeight="1" thickBot="1" x14ac:dyDescent="0.3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33"/>
    </row>
    <row r="3" spans="1:11" s="354" customFormat="1" ht="51.75" customHeight="1" thickBot="1" x14ac:dyDescent="0.3">
      <c r="A3" s="169" t="s">
        <v>252</v>
      </c>
      <c r="B3" s="170" t="s">
        <v>14</v>
      </c>
      <c r="C3" s="171" t="s">
        <v>253</v>
      </c>
      <c r="D3" s="171" t="s">
        <v>17</v>
      </c>
      <c r="E3" s="171" t="s">
        <v>18</v>
      </c>
      <c r="F3" s="170" t="s">
        <v>19</v>
      </c>
      <c r="G3" s="172" t="s">
        <v>20</v>
      </c>
      <c r="H3" s="325" t="s">
        <v>21</v>
      </c>
      <c r="I3" s="172" t="s">
        <v>22</v>
      </c>
      <c r="J3" s="171" t="s">
        <v>23</v>
      </c>
      <c r="K3" s="357"/>
    </row>
    <row r="4" spans="1:11" s="354" customFormat="1" ht="20.100000000000001" customHeight="1" x14ac:dyDescent="0.25">
      <c r="A4" s="378" t="s">
        <v>47</v>
      </c>
      <c r="B4" s="373">
        <v>527132.1100000001</v>
      </c>
      <c r="C4" s="326">
        <v>615503.26</v>
      </c>
      <c r="D4" s="372">
        <v>146187.94</v>
      </c>
      <c r="E4" s="372">
        <v>616.74</v>
      </c>
      <c r="F4" s="327">
        <f>B4+C4-D4-E4</f>
        <v>995830.69000000018</v>
      </c>
      <c r="G4" s="372">
        <v>2448.06</v>
      </c>
      <c r="H4" s="372">
        <f>G4/F4*100</f>
        <v>0.24583094541904502</v>
      </c>
      <c r="I4" s="373">
        <f>F4-G4</f>
        <v>993382.63000000012</v>
      </c>
      <c r="J4" s="327">
        <f>I4/F4*100</f>
        <v>99.754169054580956</v>
      </c>
      <c r="K4" s="357"/>
    </row>
    <row r="5" spans="1:11" s="354" customFormat="1" ht="20.100000000000001" customHeight="1" x14ac:dyDescent="0.25">
      <c r="A5" s="381" t="s">
        <v>50</v>
      </c>
      <c r="B5" s="373">
        <v>22469.260000000006</v>
      </c>
      <c r="C5" s="181">
        <v>38304</v>
      </c>
      <c r="D5" s="197">
        <v>2993.75</v>
      </c>
      <c r="E5" s="197">
        <v>0</v>
      </c>
      <c r="F5" s="372">
        <f>B5+C5-D5</f>
        <v>57779.510000000009</v>
      </c>
      <c r="G5" s="372">
        <v>57780.01</v>
      </c>
      <c r="H5" s="372">
        <f>G5/F5*100</f>
        <v>100.00086535867125</v>
      </c>
      <c r="I5" s="373">
        <v>0</v>
      </c>
      <c r="J5" s="327">
        <f>I5/F5*100</f>
        <v>0</v>
      </c>
      <c r="K5" s="357"/>
    </row>
    <row r="6" spans="1:11" s="360" customFormat="1" ht="20.100000000000001" customHeight="1" thickBot="1" x14ac:dyDescent="0.3">
      <c r="A6" s="375" t="s">
        <v>36</v>
      </c>
      <c r="B6" s="376">
        <f t="shared" ref="B6:D6" si="0">SUM(B4:B5)</f>
        <v>549601.37000000011</v>
      </c>
      <c r="C6" s="376">
        <f t="shared" si="0"/>
        <v>653807.26</v>
      </c>
      <c r="D6" s="328">
        <f t="shared" si="0"/>
        <v>149181.69</v>
      </c>
      <c r="E6" s="328">
        <f>SUM(E4:E5)</f>
        <v>616.74</v>
      </c>
      <c r="F6" s="328">
        <f>SUM(F4:F5)</f>
        <v>1053610.2000000002</v>
      </c>
      <c r="G6" s="376">
        <f>SUM(G4:G5)</f>
        <v>60228.07</v>
      </c>
      <c r="H6" s="328">
        <f>G6/F6*100</f>
        <v>5.7163522145096914</v>
      </c>
      <c r="I6" s="328">
        <f>SUM(I4:I5)</f>
        <v>993382.63000000012</v>
      </c>
      <c r="J6" s="328">
        <f t="shared" ref="J6" si="1">I6/F6*100</f>
        <v>94.283695241371049</v>
      </c>
      <c r="K6" s="361"/>
    </row>
    <row r="7" spans="1:11" s="354" customFormat="1" ht="20.100000000000001" customHeight="1" thickTop="1" x14ac:dyDescent="0.3">
      <c r="A7" s="210"/>
      <c r="B7" s="210"/>
      <c r="C7" s="210"/>
      <c r="D7" s="210"/>
      <c r="E7" s="210"/>
      <c r="F7" s="210"/>
      <c r="G7" s="329"/>
      <c r="H7" s="210"/>
      <c r="I7" s="210"/>
      <c r="J7" s="210"/>
      <c r="K7" s="210"/>
    </row>
    <row r="8" spans="1:11" s="354" customFormat="1" ht="20.100000000000001" customHeight="1" x14ac:dyDescent="0.3">
      <c r="A8" s="363" t="s">
        <v>254</v>
      </c>
      <c r="B8" s="387"/>
      <c r="C8" s="387"/>
      <c r="D8" s="357"/>
      <c r="E8" s="357"/>
      <c r="F8" s="387"/>
      <c r="G8" s="387"/>
      <c r="H8" s="355"/>
      <c r="I8" s="115"/>
      <c r="J8" s="355"/>
      <c r="K8" s="210"/>
    </row>
    <row r="9" spans="1:11" s="354" customFormat="1" ht="20.100000000000001" customHeight="1" x14ac:dyDescent="0.3">
      <c r="A9" s="354" t="s">
        <v>255</v>
      </c>
      <c r="B9" s="387"/>
      <c r="C9" s="387"/>
      <c r="D9" s="357"/>
      <c r="E9" s="357"/>
      <c r="F9" s="387"/>
      <c r="G9" s="387"/>
      <c r="H9" s="355"/>
      <c r="I9" s="115"/>
      <c r="J9" s="355"/>
      <c r="K9" s="210"/>
    </row>
    <row r="10" spans="1:11" s="354" customFormat="1" ht="20.100000000000001" customHeight="1" x14ac:dyDescent="0.25">
      <c r="A10" s="31" t="s">
        <v>96</v>
      </c>
      <c r="B10" s="474" t="s">
        <v>47</v>
      </c>
      <c r="I10" s="25"/>
      <c r="K10" s="97"/>
    </row>
    <row r="11" spans="1:11" s="354" customFormat="1" ht="20.100000000000001" customHeight="1" x14ac:dyDescent="0.25">
      <c r="A11" s="31"/>
      <c r="B11" s="367" t="s">
        <v>256</v>
      </c>
      <c r="C11" s="357">
        <f>357082.27+178776.8</f>
        <v>535859.07000000007</v>
      </c>
      <c r="D11" s="357" t="s">
        <v>55</v>
      </c>
      <c r="E11" s="357" t="s">
        <v>257</v>
      </c>
      <c r="F11" s="357"/>
      <c r="G11" s="355"/>
      <c r="H11" s="356"/>
      <c r="I11" s="25"/>
    </row>
    <row r="12" spans="1:11" s="354" customFormat="1" ht="20.100000000000001" customHeight="1" x14ac:dyDescent="0.25">
      <c r="A12" s="31"/>
      <c r="B12" s="367" t="s">
        <v>258</v>
      </c>
      <c r="C12" s="357">
        <v>339620.12</v>
      </c>
      <c r="D12" s="357" t="s">
        <v>55</v>
      </c>
      <c r="E12" s="357" t="s">
        <v>259</v>
      </c>
      <c r="F12" s="357"/>
      <c r="G12" s="355"/>
      <c r="H12" s="356"/>
      <c r="I12" s="25"/>
    </row>
    <row r="13" spans="1:11" s="354" customFormat="1" ht="20.100000000000001" customHeight="1" x14ac:dyDescent="0.25">
      <c r="A13" s="31"/>
      <c r="B13" s="367" t="s">
        <v>169</v>
      </c>
      <c r="C13" s="357">
        <f>110668.95+7234.49</f>
        <v>117903.44</v>
      </c>
      <c r="D13" s="357" t="s">
        <v>55</v>
      </c>
      <c r="E13" s="357" t="s">
        <v>260</v>
      </c>
      <c r="F13" s="357"/>
      <c r="G13" s="355"/>
      <c r="H13" s="356"/>
      <c r="I13" s="25"/>
    </row>
    <row r="14" spans="1:11" s="354" customFormat="1" ht="20.100000000000001" customHeight="1" thickBot="1" x14ac:dyDescent="0.3">
      <c r="A14" s="367"/>
      <c r="B14" s="360" t="s">
        <v>36</v>
      </c>
      <c r="C14" s="475">
        <f>SUM(C11:C13)</f>
        <v>993382.63000000012</v>
      </c>
      <c r="D14" s="357" t="s">
        <v>55</v>
      </c>
      <c r="E14" s="68"/>
      <c r="F14" s="357"/>
      <c r="G14" s="355"/>
      <c r="H14" s="356"/>
      <c r="I14" s="25"/>
      <c r="J14" s="25"/>
    </row>
    <row r="15" spans="1:11" s="354" customFormat="1" ht="20.100000000000001" customHeight="1" thickTop="1" x14ac:dyDescent="0.25">
      <c r="A15" s="899" t="s">
        <v>333</v>
      </c>
      <c r="B15" s="899"/>
      <c r="C15" s="899"/>
      <c r="D15" s="899"/>
      <c r="E15" s="899"/>
      <c r="F15" s="899"/>
      <c r="G15" s="899"/>
      <c r="H15" s="899"/>
      <c r="I15" s="899"/>
      <c r="J15" s="899"/>
    </row>
    <row r="16" spans="1:11" s="354" customFormat="1" ht="20.100000000000001" customHeight="1" thickBot="1" x14ac:dyDescent="0.3">
      <c r="A16" s="900"/>
      <c r="B16" s="900"/>
      <c r="C16" s="900"/>
      <c r="D16" s="900"/>
      <c r="E16" s="900"/>
      <c r="F16" s="900"/>
      <c r="G16" s="900"/>
      <c r="H16" s="900"/>
      <c r="I16" s="900"/>
      <c r="J16" s="900"/>
      <c r="K16" s="33"/>
    </row>
    <row r="17" spans="1:11" s="354" customFormat="1" ht="51.75" customHeight="1" thickBot="1" x14ac:dyDescent="0.3">
      <c r="A17" s="169" t="s">
        <v>334</v>
      </c>
      <c r="B17" s="170" t="s">
        <v>14</v>
      </c>
      <c r="C17" s="171" t="s">
        <v>335</v>
      </c>
      <c r="D17" s="171" t="s">
        <v>17</v>
      </c>
      <c r="E17" s="171" t="s">
        <v>18</v>
      </c>
      <c r="F17" s="170" t="s">
        <v>19</v>
      </c>
      <c r="G17" s="172" t="s">
        <v>20</v>
      </c>
      <c r="H17" s="325" t="s">
        <v>21</v>
      </c>
      <c r="I17" s="172" t="s">
        <v>22</v>
      </c>
      <c r="J17" s="171" t="s">
        <v>23</v>
      </c>
      <c r="K17" s="357"/>
    </row>
    <row r="18" spans="1:11" s="354" customFormat="1" ht="20.100000000000001" customHeight="1" x14ac:dyDescent="0.25">
      <c r="A18" s="378" t="s">
        <v>47</v>
      </c>
      <c r="B18" s="373">
        <v>993382.63000000012</v>
      </c>
      <c r="C18" s="326">
        <v>208789.85</v>
      </c>
      <c r="D18" s="372">
        <v>0</v>
      </c>
      <c r="E18" s="372">
        <v>0</v>
      </c>
      <c r="F18" s="327">
        <f>B18+C18-D18-E18</f>
        <v>1202172.4800000002</v>
      </c>
      <c r="G18" s="372">
        <v>0</v>
      </c>
      <c r="H18" s="372">
        <v>0</v>
      </c>
      <c r="I18" s="373">
        <v>1202172.48</v>
      </c>
      <c r="J18" s="327">
        <v>100</v>
      </c>
      <c r="K18" s="357"/>
    </row>
    <row r="19" spans="1:11" s="354" customFormat="1" ht="20.100000000000001" customHeight="1" thickBot="1" x14ac:dyDescent="0.3">
      <c r="A19" s="381" t="s">
        <v>50</v>
      </c>
      <c r="B19" s="382">
        <v>0</v>
      </c>
      <c r="C19" s="517">
        <v>38541.760000000002</v>
      </c>
      <c r="D19" s="197">
        <v>0</v>
      </c>
      <c r="E19" s="197">
        <v>0</v>
      </c>
      <c r="F19" s="197">
        <f>B19+C19</f>
        <v>38541.760000000002</v>
      </c>
      <c r="G19" s="197">
        <v>18188.689999999999</v>
      </c>
      <c r="H19" s="197">
        <f>G19/F19*100</f>
        <v>47.19216247519573</v>
      </c>
      <c r="I19" s="382">
        <f>F19-G19</f>
        <v>20353.070000000003</v>
      </c>
      <c r="J19" s="451">
        <f>I19/F19*100</f>
        <v>52.80783752480427</v>
      </c>
      <c r="K19" s="357"/>
    </row>
    <row r="20" spans="1:11" s="360" customFormat="1" ht="20.100000000000001" customHeight="1" thickTop="1" thickBot="1" x14ac:dyDescent="0.3">
      <c r="A20" s="200" t="s">
        <v>36</v>
      </c>
      <c r="B20" s="202">
        <f t="shared" ref="B20:D20" si="2">SUM(B18:B19)</f>
        <v>993382.63000000012</v>
      </c>
      <c r="C20" s="202">
        <f t="shared" si="2"/>
        <v>247331.61000000002</v>
      </c>
      <c r="D20" s="518">
        <f t="shared" si="2"/>
        <v>0</v>
      </c>
      <c r="E20" s="518">
        <f>SUM(E18:E19)</f>
        <v>0</v>
      </c>
      <c r="F20" s="518">
        <f>SUM(F18:F19)</f>
        <v>1240714.2400000002</v>
      </c>
      <c r="G20" s="202">
        <f>SUM(G18:G19)</f>
        <v>18188.689999999999</v>
      </c>
      <c r="H20" s="518">
        <f>G20/F20*100</f>
        <v>1.4659854311013627</v>
      </c>
      <c r="I20" s="518">
        <f>SUM(I18:I19)</f>
        <v>1222525.55</v>
      </c>
      <c r="J20" s="518">
        <f t="shared" ref="J20" si="3">I20/F20*100</f>
        <v>98.534014568898627</v>
      </c>
      <c r="K20" s="361"/>
    </row>
    <row r="21" spans="1:11" s="354" customFormat="1" ht="20.100000000000001" customHeight="1" thickTop="1" x14ac:dyDescent="0.3">
      <c r="A21" s="210"/>
      <c r="B21" s="210"/>
      <c r="C21" s="210"/>
      <c r="D21" s="210"/>
      <c r="E21" s="210"/>
      <c r="F21" s="210"/>
      <c r="G21" s="329"/>
      <c r="H21" s="210"/>
      <c r="I21" s="210"/>
      <c r="J21" s="210"/>
      <c r="K21" s="210"/>
    </row>
    <row r="22" spans="1:11" s="354" customFormat="1" ht="20.100000000000001" customHeight="1" x14ac:dyDescent="0.3">
      <c r="A22" s="363" t="s">
        <v>366</v>
      </c>
      <c r="B22" s="387"/>
      <c r="C22" s="387"/>
      <c r="D22" s="357"/>
      <c r="E22" s="357"/>
      <c r="F22" s="387"/>
      <c r="G22" s="387"/>
      <c r="H22" s="355"/>
      <c r="I22" s="115"/>
      <c r="J22" s="355"/>
      <c r="K22" s="210"/>
    </row>
    <row r="23" spans="1:11" s="354" customFormat="1" ht="20.100000000000001" customHeight="1" x14ac:dyDescent="0.3">
      <c r="A23" s="354" t="s">
        <v>255</v>
      </c>
      <c r="B23" s="387"/>
      <c r="C23" s="387"/>
      <c r="D23" s="357"/>
      <c r="E23" s="357"/>
      <c r="F23" s="387"/>
      <c r="G23" s="387"/>
      <c r="H23" s="355"/>
      <c r="I23" s="115"/>
      <c r="J23" s="355"/>
      <c r="K23" s="210"/>
    </row>
    <row r="24" spans="1:11" s="354" customFormat="1" ht="20.100000000000001" customHeight="1" x14ac:dyDescent="0.25">
      <c r="A24" s="31" t="s">
        <v>96</v>
      </c>
      <c r="I24" s="25"/>
      <c r="K24" s="97"/>
    </row>
    <row r="25" spans="1:11" s="354" customFormat="1" ht="20.100000000000001" customHeight="1" x14ac:dyDescent="0.25">
      <c r="A25" s="31"/>
      <c r="B25" s="515" t="s">
        <v>47</v>
      </c>
      <c r="I25" s="25"/>
      <c r="K25" s="97"/>
    </row>
    <row r="26" spans="1:11" s="354" customFormat="1" ht="20.100000000000001" customHeight="1" x14ac:dyDescent="0.25">
      <c r="A26" s="31"/>
      <c r="B26" s="367" t="s">
        <v>256</v>
      </c>
      <c r="C26" s="357">
        <v>650493.35</v>
      </c>
      <c r="D26" s="357" t="s">
        <v>55</v>
      </c>
      <c r="E26" s="357" t="s">
        <v>336</v>
      </c>
      <c r="F26" s="357"/>
      <c r="G26" s="355"/>
      <c r="H26" s="356"/>
      <c r="I26" s="25"/>
    </row>
    <row r="27" spans="1:11" s="354" customFormat="1" ht="20.100000000000001" customHeight="1" x14ac:dyDescent="0.25">
      <c r="A27" s="31"/>
      <c r="B27" s="367" t="s">
        <v>258</v>
      </c>
      <c r="C27" s="357">
        <v>412202.01</v>
      </c>
      <c r="D27" s="357" t="s">
        <v>55</v>
      </c>
      <c r="E27" s="357" t="s">
        <v>337</v>
      </c>
      <c r="F27" s="357"/>
      <c r="G27" s="355"/>
      <c r="H27" s="356"/>
      <c r="I27" s="25"/>
    </row>
    <row r="28" spans="1:11" s="354" customFormat="1" ht="20.100000000000001" customHeight="1" x14ac:dyDescent="0.25">
      <c r="A28" s="31"/>
      <c r="B28" s="367" t="s">
        <v>169</v>
      </c>
      <c r="C28" s="357">
        <v>139477.10999999999</v>
      </c>
      <c r="D28" s="357" t="s">
        <v>55</v>
      </c>
      <c r="E28" s="357" t="s">
        <v>338</v>
      </c>
      <c r="F28" s="357"/>
      <c r="G28" s="355"/>
      <c r="H28" s="356"/>
      <c r="I28" s="25"/>
    </row>
    <row r="29" spans="1:11" s="354" customFormat="1" ht="20.100000000000001" customHeight="1" thickBot="1" x14ac:dyDescent="0.3">
      <c r="A29" s="31"/>
      <c r="B29" s="367"/>
      <c r="C29" s="514">
        <f>SUM(C26:C28)</f>
        <v>1202172.4699999997</v>
      </c>
      <c r="D29" s="357" t="s">
        <v>55</v>
      </c>
      <c r="E29" s="357"/>
      <c r="F29" s="357"/>
      <c r="G29" s="355"/>
      <c r="H29" s="356"/>
      <c r="I29" s="25"/>
    </row>
    <row r="30" spans="1:11" s="354" customFormat="1" ht="20.100000000000001" customHeight="1" thickTop="1" thickBot="1" x14ac:dyDescent="0.3">
      <c r="A30" s="31"/>
      <c r="B30" s="516" t="s">
        <v>50</v>
      </c>
      <c r="C30" s="357"/>
      <c r="D30" s="357"/>
      <c r="E30" s="357"/>
      <c r="F30" s="357"/>
      <c r="G30" s="355"/>
      <c r="H30" s="356"/>
      <c r="I30" s="25"/>
    </row>
    <row r="31" spans="1:11" s="354" customFormat="1" ht="20.100000000000001" customHeight="1" thickTop="1" x14ac:dyDescent="0.25">
      <c r="A31" s="31"/>
      <c r="B31" s="146"/>
      <c r="C31" s="357">
        <v>13589</v>
      </c>
      <c r="D31" s="357" t="s">
        <v>55</v>
      </c>
      <c r="E31" s="357" t="s">
        <v>339</v>
      </c>
      <c r="F31" s="357"/>
      <c r="G31" s="355"/>
      <c r="H31" s="356"/>
      <c r="I31" s="25"/>
    </row>
    <row r="32" spans="1:11" s="354" customFormat="1" ht="20.100000000000001" customHeight="1" x14ac:dyDescent="0.25">
      <c r="A32" s="31"/>
      <c r="B32" s="146"/>
      <c r="C32" s="357">
        <v>6764.07</v>
      </c>
      <c r="D32" s="357" t="s">
        <v>55</v>
      </c>
      <c r="E32" s="357" t="s">
        <v>340</v>
      </c>
      <c r="F32" s="357"/>
      <c r="G32" s="355"/>
      <c r="H32" s="356"/>
      <c r="I32" s="25"/>
    </row>
    <row r="33" spans="1:11" s="354" customFormat="1" ht="20.100000000000001" customHeight="1" x14ac:dyDescent="0.25">
      <c r="A33" s="31"/>
      <c r="B33" s="367"/>
      <c r="C33" s="357"/>
      <c r="D33" s="357"/>
      <c r="E33" s="357"/>
      <c r="F33" s="357"/>
      <c r="G33" s="355"/>
      <c r="H33" s="356"/>
      <c r="I33" s="25"/>
    </row>
    <row r="34" spans="1:11" s="354" customFormat="1" ht="20.100000000000001" customHeight="1" thickBot="1" x14ac:dyDescent="0.3">
      <c r="A34" s="367"/>
      <c r="B34" s="360" t="s">
        <v>36</v>
      </c>
      <c r="C34" s="475">
        <f>+C26+C27+C28+C31+C32</f>
        <v>1222525.5399999998</v>
      </c>
      <c r="D34" s="357" t="s">
        <v>55</v>
      </c>
      <c r="E34" s="68"/>
      <c r="F34" s="357"/>
      <c r="G34" s="355"/>
      <c r="H34" s="356"/>
      <c r="I34" s="25"/>
      <c r="J34" s="25"/>
    </row>
    <row r="35" spans="1:11" s="354" customFormat="1" ht="20.100000000000001" customHeight="1" thickTop="1" x14ac:dyDescent="0.3">
      <c r="A35" s="363"/>
      <c r="D35" s="357"/>
      <c r="E35" s="357"/>
      <c r="H35" s="355"/>
      <c r="I35" s="115"/>
      <c r="J35" s="355"/>
      <c r="K35" s="78"/>
    </row>
    <row r="36" spans="1:11" s="354" customFormat="1" ht="20.100000000000001" customHeight="1" x14ac:dyDescent="0.25">
      <c r="A36" s="899" t="s">
        <v>403</v>
      </c>
      <c r="B36" s="899"/>
      <c r="C36" s="899"/>
      <c r="D36" s="899"/>
      <c r="E36" s="899"/>
      <c r="F36" s="899"/>
      <c r="G36" s="899"/>
      <c r="H36" s="899"/>
      <c r="I36" s="899"/>
      <c r="J36" s="899"/>
    </row>
    <row r="37" spans="1:11" s="354" customFormat="1" ht="20.100000000000001" customHeight="1" thickBot="1" x14ac:dyDescent="0.3">
      <c r="A37" s="900"/>
      <c r="B37" s="900"/>
      <c r="C37" s="900"/>
      <c r="D37" s="900"/>
      <c r="E37" s="900"/>
      <c r="F37" s="900"/>
      <c r="G37" s="900"/>
      <c r="H37" s="900"/>
      <c r="I37" s="900"/>
      <c r="J37" s="900"/>
      <c r="K37" s="33"/>
    </row>
    <row r="38" spans="1:11" s="354" customFormat="1" ht="51.75" customHeight="1" thickBot="1" x14ac:dyDescent="0.3">
      <c r="A38" s="169" t="s">
        <v>404</v>
      </c>
      <c r="B38" s="170" t="s">
        <v>14</v>
      </c>
      <c r="C38" s="171" t="s">
        <v>405</v>
      </c>
      <c r="D38" s="171" t="s">
        <v>17</v>
      </c>
      <c r="E38" s="171" t="s">
        <v>18</v>
      </c>
      <c r="F38" s="170" t="s">
        <v>19</v>
      </c>
      <c r="G38" s="172" t="s">
        <v>20</v>
      </c>
      <c r="H38" s="325" t="s">
        <v>21</v>
      </c>
      <c r="I38" s="172" t="s">
        <v>22</v>
      </c>
      <c r="J38" s="171" t="s">
        <v>23</v>
      </c>
      <c r="K38" s="357"/>
    </row>
    <row r="39" spans="1:11" s="354" customFormat="1" ht="20.100000000000001" customHeight="1" x14ac:dyDescent="0.25">
      <c r="A39" s="378" t="s">
        <v>47</v>
      </c>
      <c r="B39" s="373">
        <v>1202172.48</v>
      </c>
      <c r="C39" s="326">
        <v>125095.96</v>
      </c>
      <c r="D39" s="372">
        <v>0</v>
      </c>
      <c r="E39" s="372">
        <v>0</v>
      </c>
      <c r="F39" s="327">
        <f>B39+C39</f>
        <v>1327268.44</v>
      </c>
      <c r="G39" s="372">
        <v>0</v>
      </c>
      <c r="H39" s="372">
        <v>0</v>
      </c>
      <c r="I39" s="373">
        <v>1327268.44</v>
      </c>
      <c r="J39" s="327">
        <v>100</v>
      </c>
      <c r="K39" s="357"/>
    </row>
    <row r="40" spans="1:11" s="354" customFormat="1" ht="20.100000000000001" customHeight="1" thickBot="1" x14ac:dyDescent="0.3">
      <c r="A40" s="381" t="s">
        <v>50</v>
      </c>
      <c r="B40" s="382">
        <v>20353.070000000003</v>
      </c>
      <c r="C40" s="517">
        <v>21516.15</v>
      </c>
      <c r="D40" s="197">
        <v>223.1</v>
      </c>
      <c r="E40" s="197">
        <v>258.19</v>
      </c>
      <c r="F40" s="197">
        <f>B40+C40-D40-E40</f>
        <v>41387.93</v>
      </c>
      <c r="G40" s="197">
        <v>32348.17</v>
      </c>
      <c r="H40" s="197">
        <f>G40/F40*100</f>
        <v>78.158463107480841</v>
      </c>
      <c r="I40" s="382">
        <f>F40-G40</f>
        <v>9039.760000000002</v>
      </c>
      <c r="J40" s="451">
        <f>I40/F40*100</f>
        <v>21.841536892519152</v>
      </c>
      <c r="K40" s="357"/>
    </row>
    <row r="41" spans="1:11" s="360" customFormat="1" ht="20.100000000000001" customHeight="1" thickTop="1" thickBot="1" x14ac:dyDescent="0.3">
      <c r="A41" s="200" t="s">
        <v>36</v>
      </c>
      <c r="B41" s="202">
        <f t="shared" ref="B41:D41" si="4">SUM(B39:B40)</f>
        <v>1222525.55</v>
      </c>
      <c r="C41" s="202">
        <f t="shared" si="4"/>
        <v>146612.11000000002</v>
      </c>
      <c r="D41" s="518">
        <f t="shared" si="4"/>
        <v>223.1</v>
      </c>
      <c r="E41" s="518">
        <f>SUM(E39:E40)</f>
        <v>258.19</v>
      </c>
      <c r="F41" s="518">
        <f>SUM(F39:F40)</f>
        <v>1368656.3699999999</v>
      </c>
      <c r="G41" s="202">
        <f>SUM(G39:G40)</f>
        <v>32348.17</v>
      </c>
      <c r="H41" s="518">
        <f>G41/F41*100</f>
        <v>2.363498297238773</v>
      </c>
      <c r="I41" s="518">
        <f>SUM(I39:I40)</f>
        <v>1336308.2</v>
      </c>
      <c r="J41" s="518">
        <f t="shared" ref="J41" si="5">I41/F41*100</f>
        <v>97.636501702761237</v>
      </c>
      <c r="K41" s="361"/>
    </row>
    <row r="42" spans="1:11" s="354" customFormat="1" ht="20.100000000000001" customHeight="1" thickTop="1" x14ac:dyDescent="0.3">
      <c r="A42" s="210"/>
      <c r="B42" s="210"/>
      <c r="C42" s="210"/>
      <c r="D42" s="210"/>
      <c r="E42" s="210"/>
      <c r="F42" s="210"/>
      <c r="G42" s="329"/>
      <c r="H42" s="210"/>
      <c r="I42" s="210"/>
      <c r="J42" s="210"/>
      <c r="K42" s="210"/>
    </row>
    <row r="43" spans="1:11" s="354" customFormat="1" ht="20.100000000000001" customHeight="1" x14ac:dyDescent="0.3">
      <c r="A43" s="363" t="s">
        <v>366</v>
      </c>
      <c r="B43" s="387"/>
      <c r="C43" s="387"/>
      <c r="D43" s="357"/>
      <c r="E43" s="357"/>
      <c r="F43" s="387"/>
      <c r="G43" s="387"/>
      <c r="H43" s="355"/>
      <c r="I43" s="115"/>
      <c r="J43" s="355"/>
      <c r="K43" s="210"/>
    </row>
    <row r="44" spans="1:11" s="354" customFormat="1" ht="20.100000000000001" customHeight="1" x14ac:dyDescent="0.3">
      <c r="A44" s="354" t="s">
        <v>255</v>
      </c>
      <c r="B44" s="387"/>
      <c r="C44" s="387"/>
      <c r="D44" s="357"/>
      <c r="E44" s="357"/>
      <c r="F44" s="387"/>
      <c r="G44" s="387"/>
      <c r="H44" s="355"/>
      <c r="I44" s="115"/>
      <c r="J44" s="355"/>
      <c r="K44" s="210"/>
    </row>
    <row r="45" spans="1:11" s="354" customFormat="1" ht="20.100000000000001" customHeight="1" x14ac:dyDescent="0.25">
      <c r="A45" s="31" t="s">
        <v>96</v>
      </c>
      <c r="I45" s="25"/>
      <c r="K45" s="97"/>
    </row>
    <row r="46" spans="1:11" s="354" customFormat="1" ht="20.100000000000001" customHeight="1" x14ac:dyDescent="0.25">
      <c r="A46" s="31"/>
      <c r="B46" s="515" t="s">
        <v>47</v>
      </c>
      <c r="I46" s="25"/>
      <c r="K46" s="97"/>
    </row>
    <row r="47" spans="1:11" s="354" customFormat="1" ht="20.100000000000001" customHeight="1" x14ac:dyDescent="0.25">
      <c r="A47" s="31"/>
      <c r="B47" s="367" t="s">
        <v>256</v>
      </c>
      <c r="C47" s="357">
        <v>650493.35</v>
      </c>
      <c r="D47" s="357" t="s">
        <v>55</v>
      </c>
      <c r="E47" s="357" t="s">
        <v>408</v>
      </c>
      <c r="F47" s="357"/>
      <c r="G47" s="355"/>
      <c r="H47" s="356"/>
      <c r="I47" s="25"/>
    </row>
    <row r="48" spans="1:11" s="354" customFormat="1" ht="20.100000000000001" customHeight="1" x14ac:dyDescent="0.25">
      <c r="A48" s="31"/>
      <c r="B48" s="367" t="s">
        <v>258</v>
      </c>
      <c r="C48" s="357">
        <v>412202.01</v>
      </c>
      <c r="D48" s="357" t="s">
        <v>55</v>
      </c>
      <c r="E48" s="357" t="s">
        <v>407</v>
      </c>
      <c r="F48" s="357"/>
      <c r="G48" s="355"/>
      <c r="H48" s="356"/>
      <c r="I48" s="25"/>
    </row>
    <row r="49" spans="1:11" s="354" customFormat="1" ht="20.100000000000001" customHeight="1" x14ac:dyDescent="0.25">
      <c r="A49" s="31"/>
      <c r="B49" s="367" t="s">
        <v>169</v>
      </c>
      <c r="C49" s="357">
        <v>139477.10999999999</v>
      </c>
      <c r="D49" s="357" t="s">
        <v>55</v>
      </c>
      <c r="E49" s="357" t="s">
        <v>406</v>
      </c>
      <c r="F49" s="357"/>
      <c r="G49" s="355"/>
      <c r="H49" s="356"/>
      <c r="I49" s="25"/>
    </row>
    <row r="50" spans="1:11" s="354" customFormat="1" ht="20.100000000000001" customHeight="1" thickBot="1" x14ac:dyDescent="0.3">
      <c r="A50" s="31"/>
      <c r="B50" s="367"/>
      <c r="C50" s="514">
        <f>SUM(C47:C49)</f>
        <v>1202172.4699999997</v>
      </c>
      <c r="D50" s="357" t="s">
        <v>55</v>
      </c>
      <c r="E50" s="357"/>
      <c r="F50" s="357"/>
      <c r="G50" s="355"/>
      <c r="H50" s="356"/>
      <c r="I50" s="25"/>
    </row>
    <row r="51" spans="1:11" s="354" customFormat="1" ht="20.100000000000001" customHeight="1" thickTop="1" thickBot="1" x14ac:dyDescent="0.3">
      <c r="A51" s="31"/>
      <c r="B51" s="516" t="s">
        <v>50</v>
      </c>
      <c r="C51" s="357"/>
      <c r="D51" s="357"/>
      <c r="E51" s="357"/>
      <c r="F51" s="357"/>
      <c r="G51" s="355"/>
      <c r="H51" s="356"/>
      <c r="I51" s="25"/>
    </row>
    <row r="52" spans="1:11" s="354" customFormat="1" ht="20.100000000000001" customHeight="1" thickTop="1" x14ac:dyDescent="0.25">
      <c r="A52" s="31"/>
      <c r="B52" s="146"/>
      <c r="C52" s="357">
        <v>9039.76</v>
      </c>
      <c r="D52" s="357" t="s">
        <v>55</v>
      </c>
      <c r="E52" s="357" t="s">
        <v>339</v>
      </c>
      <c r="F52" s="357"/>
      <c r="G52" s="355"/>
      <c r="H52" s="356"/>
      <c r="I52" s="25"/>
    </row>
    <row r="53" spans="1:11" s="354" customFormat="1" ht="20.100000000000001" customHeight="1" x14ac:dyDescent="0.25">
      <c r="A53" s="31"/>
      <c r="B53" s="146"/>
      <c r="C53" s="357">
        <v>6764.07</v>
      </c>
      <c r="D53" s="357" t="s">
        <v>55</v>
      </c>
      <c r="E53" s="357" t="s">
        <v>533</v>
      </c>
      <c r="F53" s="357"/>
      <c r="G53" s="355"/>
      <c r="H53" s="356"/>
      <c r="I53" s="25"/>
    </row>
    <row r="54" spans="1:11" s="354" customFormat="1" ht="20.100000000000001" customHeight="1" x14ac:dyDescent="0.25">
      <c r="A54" s="31"/>
      <c r="B54" s="367"/>
      <c r="C54" s="357"/>
      <c r="D54" s="357"/>
      <c r="E54" s="357"/>
      <c r="F54" s="357"/>
      <c r="G54" s="355"/>
      <c r="H54" s="356"/>
      <c r="I54" s="25"/>
    </row>
    <row r="55" spans="1:11" s="354" customFormat="1" ht="20.100000000000001" customHeight="1" thickBot="1" x14ac:dyDescent="0.3">
      <c r="A55" s="367"/>
      <c r="B55" s="360" t="s">
        <v>36</v>
      </c>
      <c r="C55" s="475">
        <f>+C47+C48+C49+C52+C53</f>
        <v>1217976.2999999998</v>
      </c>
      <c r="D55" s="357" t="s">
        <v>55</v>
      </c>
      <c r="E55" s="68"/>
      <c r="F55" s="357"/>
      <c r="G55" s="355"/>
      <c r="H55" s="356"/>
      <c r="I55" s="25"/>
      <c r="J55" s="25"/>
    </row>
    <row r="56" spans="1:11" ht="20.100000000000001" customHeight="1" thickTop="1" x14ac:dyDescent="0.25">
      <c r="A56" s="23"/>
      <c r="B56" s="68"/>
      <c r="C56" s="144"/>
      <c r="D56" s="21"/>
      <c r="E56" s="21"/>
      <c r="F56" s="96"/>
      <c r="G56" s="21"/>
      <c r="H56" s="21"/>
      <c r="I56" s="68"/>
      <c r="J56" s="96"/>
      <c r="K56" s="21"/>
    </row>
    <row r="57" spans="1:11" s="354" customFormat="1" ht="20.100000000000001" customHeight="1" x14ac:dyDescent="0.25">
      <c r="A57" s="899" t="s">
        <v>530</v>
      </c>
      <c r="B57" s="899"/>
      <c r="C57" s="899"/>
      <c r="D57" s="899"/>
      <c r="E57" s="899"/>
      <c r="F57" s="899"/>
      <c r="G57" s="899"/>
      <c r="H57" s="899"/>
      <c r="I57" s="899"/>
      <c r="J57" s="899"/>
    </row>
    <row r="58" spans="1:11" s="354" customFormat="1" ht="20.100000000000001" customHeight="1" thickBot="1" x14ac:dyDescent="0.3">
      <c r="A58" s="900"/>
      <c r="B58" s="900"/>
      <c r="C58" s="900"/>
      <c r="D58" s="900"/>
      <c r="E58" s="900"/>
      <c r="F58" s="900"/>
      <c r="G58" s="900"/>
      <c r="H58" s="900"/>
      <c r="I58" s="900"/>
      <c r="J58" s="900"/>
      <c r="K58" s="33"/>
    </row>
    <row r="59" spans="1:11" s="354" customFormat="1" ht="51.75" customHeight="1" thickBot="1" x14ac:dyDescent="0.3">
      <c r="A59" s="169" t="s">
        <v>531</v>
      </c>
      <c r="B59" s="170" t="s">
        <v>14</v>
      </c>
      <c r="C59" s="171" t="s">
        <v>532</v>
      </c>
      <c r="D59" s="171" t="s">
        <v>17</v>
      </c>
      <c r="E59" s="171" t="s">
        <v>18</v>
      </c>
      <c r="F59" s="170" t="s">
        <v>19</v>
      </c>
      <c r="G59" s="172" t="s">
        <v>20</v>
      </c>
      <c r="H59" s="325" t="s">
        <v>21</v>
      </c>
      <c r="I59" s="172" t="s">
        <v>22</v>
      </c>
      <c r="J59" s="171" t="s">
        <v>23</v>
      </c>
      <c r="K59" s="357"/>
    </row>
    <row r="60" spans="1:11" s="354" customFormat="1" ht="20.100000000000001" customHeight="1" x14ac:dyDescent="0.25">
      <c r="A60" s="378" t="s">
        <v>47</v>
      </c>
      <c r="B60" s="373">
        <v>1327268.44</v>
      </c>
      <c r="C60" s="326">
        <v>607589.91</v>
      </c>
      <c r="D60" s="372">
        <v>0</v>
      </c>
      <c r="E60" s="372">
        <v>0</v>
      </c>
      <c r="F60" s="327">
        <f>B60+C60</f>
        <v>1934858.35</v>
      </c>
      <c r="G60" s="372">
        <v>0</v>
      </c>
      <c r="H60" s="372">
        <v>0</v>
      </c>
      <c r="I60" s="373">
        <f>F60-G60</f>
        <v>1934858.35</v>
      </c>
      <c r="J60" s="327">
        <v>100</v>
      </c>
      <c r="K60" s="357"/>
    </row>
    <row r="61" spans="1:11" s="354" customFormat="1" ht="20.100000000000001" customHeight="1" thickBot="1" x14ac:dyDescent="0.3">
      <c r="A61" s="381" t="s">
        <v>50</v>
      </c>
      <c r="B61" s="382">
        <v>9039.760000000002</v>
      </c>
      <c r="C61" s="517">
        <v>56753.58</v>
      </c>
      <c r="D61" s="197">
        <v>2078.2199999999998</v>
      </c>
      <c r="E61" s="197"/>
      <c r="F61" s="197">
        <f>B61+C61-D61-E61</f>
        <v>63715.119999999995</v>
      </c>
      <c r="G61" s="197">
        <v>43250.75</v>
      </c>
      <c r="H61" s="197">
        <f>G61/F61*100</f>
        <v>67.881454197998849</v>
      </c>
      <c r="I61" s="382">
        <f>F61-G61</f>
        <v>20464.369999999995</v>
      </c>
      <c r="J61" s="451">
        <f>I61/F61*100</f>
        <v>32.118545802001151</v>
      </c>
      <c r="K61" s="357"/>
    </row>
    <row r="62" spans="1:11" s="360" customFormat="1" ht="20.100000000000001" customHeight="1" thickTop="1" thickBot="1" x14ac:dyDescent="0.3">
      <c r="A62" s="200" t="s">
        <v>36</v>
      </c>
      <c r="B62" s="202">
        <f t="shared" ref="B62:D62" si="6">SUM(B60:B61)</f>
        <v>1336308.2</v>
      </c>
      <c r="C62" s="202">
        <f t="shared" si="6"/>
        <v>664343.49</v>
      </c>
      <c r="D62" s="518">
        <f t="shared" si="6"/>
        <v>2078.2199999999998</v>
      </c>
      <c r="E62" s="518">
        <f>SUM(E60:E61)</f>
        <v>0</v>
      </c>
      <c r="F62" s="518">
        <f>SUM(F60:F61)</f>
        <v>1998573.4700000002</v>
      </c>
      <c r="G62" s="202">
        <f>SUM(G60:G61)</f>
        <v>43250.75</v>
      </c>
      <c r="H62" s="518">
        <f>G62/F62*100</f>
        <v>2.1640810632796001</v>
      </c>
      <c r="I62" s="518">
        <f>SUM(I60:I61)</f>
        <v>1955322.7200000002</v>
      </c>
      <c r="J62" s="518">
        <f t="shared" ref="J62" si="7">I62/F62*100</f>
        <v>97.835918936720404</v>
      </c>
      <c r="K62" s="361"/>
    </row>
    <row r="63" spans="1:11" s="354" customFormat="1" ht="20.100000000000001" customHeight="1" thickTop="1" x14ac:dyDescent="0.3">
      <c r="A63" s="210"/>
      <c r="B63" s="210"/>
      <c r="C63" s="210"/>
      <c r="D63" s="210"/>
      <c r="E63" s="210"/>
      <c r="F63" s="210"/>
      <c r="G63" s="329"/>
      <c r="H63" s="210"/>
      <c r="I63" s="210"/>
      <c r="J63" s="210"/>
      <c r="K63" s="210"/>
    </row>
    <row r="64" spans="1:11" s="354" customFormat="1" ht="20.100000000000001" customHeight="1" x14ac:dyDescent="0.3">
      <c r="A64" s="363" t="s">
        <v>366</v>
      </c>
      <c r="B64" s="387"/>
      <c r="C64" s="387"/>
      <c r="D64" s="357"/>
      <c r="E64" s="357"/>
      <c r="F64" s="387"/>
      <c r="G64" s="387"/>
      <c r="H64" s="355"/>
      <c r="I64" s="115"/>
      <c r="J64" s="355"/>
      <c r="K64" s="210"/>
    </row>
    <row r="65" spans="1:11" s="354" customFormat="1" ht="20.100000000000001" customHeight="1" x14ac:dyDescent="0.3">
      <c r="A65" s="354" t="s">
        <v>255</v>
      </c>
      <c r="B65" s="387"/>
      <c r="C65" s="387"/>
      <c r="D65" s="357"/>
      <c r="E65" s="357"/>
      <c r="F65" s="387"/>
      <c r="G65" s="387"/>
      <c r="H65" s="355"/>
      <c r="I65" s="115"/>
      <c r="J65" s="355"/>
      <c r="K65" s="210"/>
    </row>
    <row r="66" spans="1:11" s="354" customFormat="1" ht="20.100000000000001" customHeight="1" x14ac:dyDescent="0.25">
      <c r="A66" s="31" t="s">
        <v>96</v>
      </c>
      <c r="I66" s="25"/>
      <c r="K66" s="97"/>
    </row>
    <row r="67" spans="1:11" s="354" customFormat="1" ht="20.100000000000001" customHeight="1" x14ac:dyDescent="0.25">
      <c r="A67" s="31"/>
      <c r="B67" s="515" t="s">
        <v>47</v>
      </c>
      <c r="I67" s="25"/>
      <c r="K67" s="97"/>
    </row>
    <row r="68" spans="1:11" s="354" customFormat="1" ht="20.100000000000001" customHeight="1" x14ac:dyDescent="0.25">
      <c r="A68" s="31"/>
      <c r="B68" s="367" t="s">
        <v>256</v>
      </c>
      <c r="C68" s="357">
        <f>650493.35+196535.33</f>
        <v>847028.67999999993</v>
      </c>
      <c r="D68" s="357" t="s">
        <v>55</v>
      </c>
      <c r="E68" s="357" t="s">
        <v>534</v>
      </c>
      <c r="F68" s="357"/>
      <c r="G68" s="355"/>
      <c r="H68" s="356"/>
      <c r="I68" s="25"/>
    </row>
    <row r="69" spans="1:11" s="354" customFormat="1" ht="20.100000000000001" customHeight="1" x14ac:dyDescent="0.25">
      <c r="A69" s="31"/>
      <c r="B69" s="367" t="s">
        <v>258</v>
      </c>
      <c r="C69" s="357">
        <f>412202.01+224210.04</f>
        <v>636412.05000000005</v>
      </c>
      <c r="D69" s="357" t="s">
        <v>55</v>
      </c>
      <c r="E69" s="357" t="s">
        <v>535</v>
      </c>
      <c r="F69" s="357"/>
      <c r="G69" s="355"/>
      <c r="H69" s="356"/>
      <c r="I69" s="25"/>
    </row>
    <row r="70" spans="1:11" s="354" customFormat="1" ht="20.100000000000001" customHeight="1" x14ac:dyDescent="0.25">
      <c r="A70" s="31"/>
      <c r="B70" s="367" t="s">
        <v>169</v>
      </c>
      <c r="C70" s="357">
        <f>139477.11+186844.54</f>
        <v>326321.65000000002</v>
      </c>
      <c r="D70" s="357" t="s">
        <v>55</v>
      </c>
      <c r="E70" s="357" t="s">
        <v>536</v>
      </c>
      <c r="F70" s="357"/>
      <c r="G70" s="355"/>
      <c r="H70" s="356"/>
      <c r="I70" s="25"/>
    </row>
    <row r="71" spans="1:11" s="354" customFormat="1" ht="20.100000000000001" customHeight="1" x14ac:dyDescent="0.25">
      <c r="A71" s="31"/>
      <c r="B71" s="367"/>
      <c r="C71" s="357">
        <v>125095.97</v>
      </c>
      <c r="D71" s="357" t="s">
        <v>55</v>
      </c>
      <c r="E71" s="357" t="s">
        <v>537</v>
      </c>
      <c r="F71" s="357"/>
      <c r="G71" s="355"/>
      <c r="H71" s="356"/>
      <c r="I71" s="25"/>
    </row>
    <row r="72" spans="1:11" s="354" customFormat="1" ht="20.100000000000001" customHeight="1" thickBot="1" x14ac:dyDescent="0.3">
      <c r="A72" s="31"/>
      <c r="B72" s="367"/>
      <c r="C72" s="514">
        <f>SUM(C68:C71)</f>
        <v>1934858.3499999999</v>
      </c>
      <c r="D72" s="357" t="s">
        <v>55</v>
      </c>
      <c r="F72" s="357"/>
      <c r="G72" s="355"/>
      <c r="H72" s="356"/>
      <c r="I72" s="25"/>
    </row>
    <row r="73" spans="1:11" s="354" customFormat="1" ht="20.100000000000001" customHeight="1" thickTop="1" thickBot="1" x14ac:dyDescent="0.3">
      <c r="A73" s="31"/>
      <c r="B73" s="516" t="s">
        <v>50</v>
      </c>
      <c r="C73" s="357"/>
      <c r="D73" s="357"/>
      <c r="E73" s="357"/>
      <c r="F73" s="357"/>
      <c r="G73" s="355"/>
      <c r="H73" s="356"/>
      <c r="I73" s="25"/>
    </row>
    <row r="74" spans="1:11" s="354" customFormat="1" ht="20.100000000000001" customHeight="1" thickTop="1" x14ac:dyDescent="0.25">
      <c r="A74" s="31"/>
      <c r="B74" s="146"/>
      <c r="C74" s="357">
        <v>20464.37</v>
      </c>
      <c r="D74" s="357" t="s">
        <v>55</v>
      </c>
      <c r="E74" s="354" t="s">
        <v>538</v>
      </c>
      <c r="F74" s="357"/>
      <c r="G74" s="355"/>
      <c r="H74" s="356"/>
      <c r="I74" s="25"/>
    </row>
    <row r="75" spans="1:11" s="354" customFormat="1" ht="20.100000000000001" customHeight="1" x14ac:dyDescent="0.25">
      <c r="A75" s="31"/>
      <c r="B75" s="367"/>
      <c r="C75" s="357"/>
      <c r="D75" s="357"/>
      <c r="E75" s="357"/>
      <c r="F75" s="357"/>
      <c r="G75" s="355"/>
      <c r="H75" s="356"/>
      <c r="I75" s="25"/>
    </row>
    <row r="76" spans="1:11" s="354" customFormat="1" ht="20.100000000000001" customHeight="1" thickBot="1" x14ac:dyDescent="0.3">
      <c r="A76" s="367"/>
      <c r="B76" s="360" t="s">
        <v>36</v>
      </c>
      <c r="C76" s="475">
        <f>C72+C74</f>
        <v>1955322.72</v>
      </c>
      <c r="D76" s="357" t="s">
        <v>55</v>
      </c>
      <c r="E76" s="68"/>
      <c r="F76" s="357"/>
      <c r="G76" s="355"/>
      <c r="H76" s="356"/>
      <c r="I76" s="25"/>
      <c r="J76" s="25"/>
    </row>
    <row r="77" spans="1:11" ht="20.100000000000001" customHeight="1" thickTop="1" x14ac:dyDescent="0.25">
      <c r="A77" s="31"/>
      <c r="B77" s="39"/>
      <c r="D77" s="21"/>
      <c r="E77" s="21"/>
      <c r="J77" s="18"/>
    </row>
    <row r="78" spans="1:11" s="354" customFormat="1" ht="20.100000000000001" customHeight="1" x14ac:dyDescent="0.25">
      <c r="A78" s="899" t="s">
        <v>636</v>
      </c>
      <c r="B78" s="899"/>
      <c r="C78" s="899"/>
      <c r="D78" s="899"/>
      <c r="E78" s="899"/>
      <c r="F78" s="899"/>
      <c r="G78" s="899"/>
      <c r="H78" s="899"/>
      <c r="I78" s="899"/>
      <c r="J78" s="899"/>
    </row>
    <row r="79" spans="1:11" s="354" customFormat="1" ht="20.100000000000001" customHeight="1" thickBot="1" x14ac:dyDescent="0.3">
      <c r="A79" s="900"/>
      <c r="B79" s="900"/>
      <c r="C79" s="900"/>
      <c r="D79" s="900"/>
      <c r="E79" s="900"/>
      <c r="F79" s="900"/>
      <c r="G79" s="900"/>
      <c r="H79" s="900"/>
      <c r="I79" s="900"/>
      <c r="J79" s="900"/>
      <c r="K79" s="33"/>
    </row>
    <row r="80" spans="1:11" s="354" customFormat="1" ht="51.75" customHeight="1" thickBot="1" x14ac:dyDescent="0.3">
      <c r="A80" s="169" t="s">
        <v>637</v>
      </c>
      <c r="B80" s="170" t="s">
        <v>14</v>
      </c>
      <c r="C80" s="171" t="s">
        <v>638</v>
      </c>
      <c r="D80" s="171" t="s">
        <v>17</v>
      </c>
      <c r="E80" s="171" t="s">
        <v>18</v>
      </c>
      <c r="F80" s="170" t="s">
        <v>19</v>
      </c>
      <c r="G80" s="172" t="s">
        <v>20</v>
      </c>
      <c r="H80" s="325" t="s">
        <v>21</v>
      </c>
      <c r="I80" s="172" t="s">
        <v>22</v>
      </c>
      <c r="J80" s="171" t="s">
        <v>23</v>
      </c>
      <c r="K80" s="357"/>
    </row>
    <row r="81" spans="1:11" s="354" customFormat="1" ht="20.100000000000001" customHeight="1" x14ac:dyDescent="0.25">
      <c r="A81" s="378" t="s">
        <v>47</v>
      </c>
      <c r="B81" s="373">
        <v>1934858.35</v>
      </c>
      <c r="C81" s="326">
        <v>568784.37</v>
      </c>
      <c r="D81" s="372">
        <f>923525.11</f>
        <v>923525.11</v>
      </c>
      <c r="E81" s="372">
        <v>844187.4</v>
      </c>
      <c r="F81" s="327">
        <f>B81+C81-D81-E81</f>
        <v>735930.21000000031</v>
      </c>
      <c r="G81" s="372">
        <f>7483.61+4044.27+4367.5</f>
        <v>15895.38</v>
      </c>
      <c r="H81" s="372">
        <f>G81/F81*100</f>
        <v>2.1599031788625709</v>
      </c>
      <c r="I81" s="373">
        <f>F81-G81</f>
        <v>720034.83000000031</v>
      </c>
      <c r="J81" s="327">
        <f>I81/F81*100</f>
        <v>97.840096821137422</v>
      </c>
      <c r="K81" s="357"/>
    </row>
    <row r="82" spans="1:11" s="354" customFormat="1" ht="20.100000000000001" customHeight="1" thickBot="1" x14ac:dyDescent="0.3">
      <c r="A82" s="381" t="s">
        <v>50</v>
      </c>
      <c r="B82" s="382">
        <v>20464.369999999995</v>
      </c>
      <c r="C82" s="517">
        <v>74917.039999999994</v>
      </c>
      <c r="D82" s="197">
        <v>0</v>
      </c>
      <c r="E82" s="197">
        <v>0</v>
      </c>
      <c r="F82" s="197">
        <f>B82+C82</f>
        <v>95381.409999999989</v>
      </c>
      <c r="G82" s="197">
        <v>82863.039999999994</v>
      </c>
      <c r="H82" s="197">
        <f>G82/F82*100</f>
        <v>86.875461371351093</v>
      </c>
      <c r="I82" s="382">
        <f>F82-G82</f>
        <v>12518.369999999995</v>
      </c>
      <c r="J82" s="451">
        <f>I82/F82*100</f>
        <v>13.124538628648914</v>
      </c>
      <c r="K82" s="357"/>
    </row>
    <row r="83" spans="1:11" s="360" customFormat="1" ht="20.100000000000001" customHeight="1" thickTop="1" thickBot="1" x14ac:dyDescent="0.3">
      <c r="A83" s="200" t="s">
        <v>36</v>
      </c>
      <c r="B83" s="202">
        <f t="shared" ref="B83:D83" si="8">SUM(B81:B82)</f>
        <v>1955322.7200000002</v>
      </c>
      <c r="C83" s="202">
        <f t="shared" si="8"/>
        <v>643701.41</v>
      </c>
      <c r="D83" s="518">
        <f t="shared" si="8"/>
        <v>923525.11</v>
      </c>
      <c r="E83" s="518">
        <f>SUM(E81:E82)</f>
        <v>844187.4</v>
      </c>
      <c r="F83" s="518">
        <f>SUM(F81:F82)</f>
        <v>831311.62000000034</v>
      </c>
      <c r="G83" s="202">
        <f>SUM(G81:G82)</f>
        <v>98758.42</v>
      </c>
      <c r="H83" s="518">
        <f>G83/F83*100</f>
        <v>11.879831536578301</v>
      </c>
      <c r="I83" s="518">
        <f>SUM(I81:I82)</f>
        <v>732553.2000000003</v>
      </c>
      <c r="J83" s="518">
        <f t="shared" ref="J83" si="9">I83/F83*100</f>
        <v>88.120168463421706</v>
      </c>
      <c r="K83" s="361"/>
    </row>
    <row r="84" spans="1:11" s="354" customFormat="1" ht="20.100000000000001" customHeight="1" thickTop="1" x14ac:dyDescent="0.3">
      <c r="A84" s="210"/>
      <c r="B84" s="210"/>
      <c r="C84" s="210"/>
      <c r="D84" s="210"/>
      <c r="E84" s="210"/>
      <c r="F84" s="210"/>
      <c r="G84" s="329"/>
      <c r="H84" s="210"/>
      <c r="I84" s="210"/>
      <c r="J84" s="210"/>
      <c r="K84" s="210"/>
    </row>
    <row r="85" spans="1:11" s="354" customFormat="1" ht="20.100000000000001" customHeight="1" x14ac:dyDescent="0.3">
      <c r="A85" s="363" t="s">
        <v>639</v>
      </c>
      <c r="B85" s="387"/>
      <c r="C85" s="387"/>
      <c r="D85" s="357"/>
      <c r="E85" s="357"/>
      <c r="F85" s="387"/>
      <c r="G85" s="387"/>
      <c r="H85" s="355"/>
      <c r="I85" s="115"/>
      <c r="J85" s="355"/>
      <c r="K85" s="210"/>
    </row>
    <row r="86" spans="1:11" s="354" customFormat="1" ht="20.100000000000001" customHeight="1" x14ac:dyDescent="0.3">
      <c r="A86" s="354" t="s">
        <v>255</v>
      </c>
      <c r="B86" s="387"/>
      <c r="C86" s="387"/>
      <c r="D86" s="357"/>
      <c r="E86" s="357"/>
      <c r="F86" s="387"/>
      <c r="G86" s="387"/>
      <c r="H86" s="355"/>
      <c r="I86" s="115"/>
      <c r="J86" s="355"/>
      <c r="K86" s="210"/>
    </row>
    <row r="87" spans="1:11" s="354" customFormat="1" ht="20.100000000000001" customHeight="1" x14ac:dyDescent="0.25">
      <c r="A87" s="31" t="s">
        <v>96</v>
      </c>
      <c r="I87" s="25"/>
      <c r="K87" s="97"/>
    </row>
    <row r="88" spans="1:11" s="354" customFormat="1" ht="20.100000000000001" customHeight="1" x14ac:dyDescent="0.25">
      <c r="A88" s="31"/>
      <c r="B88" s="515" t="s">
        <v>47</v>
      </c>
      <c r="I88" s="25"/>
      <c r="K88" s="97"/>
    </row>
    <row r="89" spans="1:11" s="354" customFormat="1" ht="20.100000000000001" customHeight="1" x14ac:dyDescent="0.25">
      <c r="A89" s="31"/>
      <c r="B89" s="367" t="s">
        <v>256</v>
      </c>
      <c r="C89" s="357">
        <f>305146.5-82365.71</f>
        <v>222780.78999999998</v>
      </c>
      <c r="D89" s="357" t="s">
        <v>55</v>
      </c>
      <c r="E89" s="357" t="s">
        <v>640</v>
      </c>
      <c r="F89" s="357"/>
      <c r="G89" s="355"/>
      <c r="H89" s="356"/>
      <c r="I89" s="25"/>
    </row>
    <row r="90" spans="1:11" s="354" customFormat="1" ht="20.100000000000001" customHeight="1" x14ac:dyDescent="0.25">
      <c r="A90" s="31"/>
      <c r="B90" s="367" t="s">
        <v>258</v>
      </c>
      <c r="C90" s="357">
        <v>38230.47</v>
      </c>
      <c r="D90" s="357" t="s">
        <v>55</v>
      </c>
      <c r="E90" s="357" t="s">
        <v>641</v>
      </c>
      <c r="F90" s="357"/>
      <c r="G90" s="355"/>
      <c r="H90" s="356"/>
      <c r="I90" s="25"/>
    </row>
    <row r="91" spans="1:11" s="354" customFormat="1" ht="20.100000000000001" customHeight="1" x14ac:dyDescent="0.25">
      <c r="A91" s="31"/>
      <c r="B91" s="367" t="s">
        <v>169</v>
      </c>
      <c r="C91" s="357">
        <v>376657.86</v>
      </c>
      <c r="D91" s="357" t="s">
        <v>55</v>
      </c>
      <c r="E91" s="357" t="s">
        <v>406</v>
      </c>
      <c r="F91" s="357"/>
      <c r="G91" s="355"/>
      <c r="H91" s="356"/>
      <c r="I91" s="25"/>
    </row>
    <row r="92" spans="1:11" s="354" customFormat="1" ht="20.100000000000001" customHeight="1" x14ac:dyDescent="0.25">
      <c r="A92" s="31"/>
      <c r="B92" s="367"/>
      <c r="C92" s="357">
        <v>82365.710000000006</v>
      </c>
      <c r="D92" s="357" t="s">
        <v>55</v>
      </c>
      <c r="E92" s="357" t="s">
        <v>642</v>
      </c>
      <c r="F92" s="357"/>
      <c r="G92" s="355"/>
      <c r="H92" s="356"/>
      <c r="I92" s="25"/>
    </row>
    <row r="93" spans="1:11" s="354" customFormat="1" ht="20.100000000000001" customHeight="1" thickBot="1" x14ac:dyDescent="0.3">
      <c r="A93" s="31"/>
      <c r="B93" s="367"/>
      <c r="C93" s="514">
        <f>SUM(C89:C92)</f>
        <v>720034.83</v>
      </c>
      <c r="D93" s="357" t="s">
        <v>55</v>
      </c>
      <c r="F93" s="357"/>
      <c r="G93" s="355"/>
      <c r="H93" s="356"/>
      <c r="I93" s="25"/>
    </row>
    <row r="94" spans="1:11" s="354" customFormat="1" ht="20.100000000000001" customHeight="1" thickTop="1" thickBot="1" x14ac:dyDescent="0.3">
      <c r="A94" s="31"/>
      <c r="B94" s="516" t="s">
        <v>50</v>
      </c>
      <c r="C94" s="357"/>
      <c r="D94" s="357"/>
      <c r="E94" s="357"/>
      <c r="F94" s="357"/>
      <c r="G94" s="355"/>
      <c r="H94" s="356"/>
      <c r="I94" s="25"/>
    </row>
    <row r="95" spans="1:11" s="354" customFormat="1" ht="20.100000000000001" customHeight="1" thickTop="1" x14ac:dyDescent="0.25">
      <c r="A95" s="31"/>
      <c r="B95" s="146"/>
      <c r="C95" s="357">
        <v>12518.37</v>
      </c>
      <c r="D95" s="357" t="s">
        <v>55</v>
      </c>
      <c r="E95" s="354" t="s">
        <v>538</v>
      </c>
      <c r="F95" s="357"/>
      <c r="G95" s="355"/>
      <c r="H95" s="356"/>
      <c r="I95" s="25"/>
    </row>
    <row r="96" spans="1:11" s="354" customFormat="1" ht="20.100000000000001" customHeight="1" x14ac:dyDescent="0.25">
      <c r="A96" s="31"/>
      <c r="B96" s="367"/>
      <c r="C96" s="357"/>
      <c r="D96" s="357"/>
      <c r="E96" s="357"/>
      <c r="F96" s="357"/>
      <c r="G96" s="355"/>
      <c r="H96" s="356"/>
      <c r="I96" s="25"/>
    </row>
    <row r="97" spans="1:10" s="354" customFormat="1" ht="20.100000000000001" customHeight="1" thickBot="1" x14ac:dyDescent="0.3">
      <c r="A97" s="367"/>
      <c r="B97" s="360" t="s">
        <v>36</v>
      </c>
      <c r="C97" s="475">
        <f>C93+C95</f>
        <v>732553.2</v>
      </c>
      <c r="D97" s="357" t="s">
        <v>55</v>
      </c>
      <c r="E97" s="68"/>
      <c r="F97" s="357"/>
      <c r="G97" s="355"/>
      <c r="H97" s="356"/>
      <c r="I97" s="25"/>
      <c r="J97" s="25"/>
    </row>
    <row r="98" spans="1:10" s="354" customFormat="1" ht="20.100000000000001" customHeight="1" thickTop="1" x14ac:dyDescent="0.25">
      <c r="A98" s="31"/>
      <c r="B98" s="146"/>
      <c r="C98" s="357"/>
      <c r="D98" s="357"/>
      <c r="E98" s="357"/>
      <c r="F98" s="357"/>
      <c r="G98" s="355"/>
      <c r="H98" s="356"/>
      <c r="I98" s="25"/>
    </row>
    <row r="99" spans="1:10" s="621" customFormat="1" ht="20.100000000000001" customHeight="1" x14ac:dyDescent="0.25">
      <c r="A99" s="899" t="s">
        <v>795</v>
      </c>
      <c r="B99" s="899"/>
      <c r="C99" s="899"/>
      <c r="D99" s="899"/>
      <c r="E99" s="899"/>
      <c r="F99" s="899"/>
      <c r="G99" s="899"/>
      <c r="H99" s="899"/>
      <c r="I99" s="899"/>
      <c r="J99" s="899"/>
    </row>
    <row r="100" spans="1:10" s="621" customFormat="1" ht="20.100000000000001" customHeight="1" thickBot="1" x14ac:dyDescent="0.3">
      <c r="A100" s="900"/>
      <c r="B100" s="900"/>
      <c r="C100" s="900"/>
      <c r="D100" s="900"/>
      <c r="E100" s="900"/>
      <c r="F100" s="900"/>
      <c r="G100" s="900"/>
      <c r="H100" s="900"/>
      <c r="I100" s="900"/>
      <c r="J100" s="900"/>
    </row>
    <row r="101" spans="1:10" s="621" customFormat="1" ht="50.25" thickBot="1" x14ac:dyDescent="0.3">
      <c r="A101" s="619" t="s">
        <v>796</v>
      </c>
      <c r="B101" s="620" t="s">
        <v>14</v>
      </c>
      <c r="C101" s="618" t="s">
        <v>798</v>
      </c>
      <c r="D101" s="618" t="s">
        <v>17</v>
      </c>
      <c r="E101" s="618" t="s">
        <v>18</v>
      </c>
      <c r="F101" s="620" t="s">
        <v>19</v>
      </c>
      <c r="G101" s="626" t="s">
        <v>20</v>
      </c>
      <c r="H101" s="325" t="s">
        <v>21</v>
      </c>
      <c r="I101" s="626" t="s">
        <v>22</v>
      </c>
      <c r="J101" s="618" t="s">
        <v>23</v>
      </c>
    </row>
    <row r="102" spans="1:10" s="621" customFormat="1" ht="20.100000000000001" customHeight="1" x14ac:dyDescent="0.25">
      <c r="A102" s="630" t="s">
        <v>47</v>
      </c>
      <c r="B102" s="632">
        <f>I81</f>
        <v>720034.83000000031</v>
      </c>
      <c r="C102" s="326">
        <v>368131.2</v>
      </c>
      <c r="D102" s="631">
        <v>0</v>
      </c>
      <c r="E102" s="631">
        <v>0</v>
      </c>
      <c r="F102" s="327">
        <f>B102+C102-D102-E102</f>
        <v>1088166.0300000003</v>
      </c>
      <c r="G102" s="631">
        <v>0</v>
      </c>
      <c r="H102" s="631">
        <f>G102/F102*100</f>
        <v>0</v>
      </c>
      <c r="I102" s="632">
        <f>F102-G102</f>
        <v>1088166.0300000003</v>
      </c>
      <c r="J102" s="327">
        <f>I102/F102*100</f>
        <v>100</v>
      </c>
    </row>
    <row r="103" spans="1:10" s="621" customFormat="1" ht="20.100000000000001" customHeight="1" thickBot="1" x14ac:dyDescent="0.3">
      <c r="A103" s="634" t="s">
        <v>50</v>
      </c>
      <c r="B103" s="636">
        <f>I82</f>
        <v>12518.369999999995</v>
      </c>
      <c r="C103" s="517">
        <v>11997.73</v>
      </c>
      <c r="D103" s="635">
        <v>2424.5100000000002</v>
      </c>
      <c r="E103" s="635">
        <v>0</v>
      </c>
      <c r="F103" s="327">
        <f>B103+C103-D103-E103</f>
        <v>22091.589999999997</v>
      </c>
      <c r="G103" s="635">
        <v>22091.59</v>
      </c>
      <c r="H103" s="635">
        <f>G103/F103*100</f>
        <v>100.00000000000003</v>
      </c>
      <c r="I103" s="636">
        <f>F103-G103</f>
        <v>0</v>
      </c>
      <c r="J103" s="451">
        <f>I103/F103*100</f>
        <v>0</v>
      </c>
    </row>
    <row r="104" spans="1:10" s="621" customFormat="1" ht="20.100000000000001" customHeight="1" thickTop="1" thickBot="1" x14ac:dyDescent="0.3">
      <c r="A104" s="200" t="s">
        <v>36</v>
      </c>
      <c r="B104" s="202">
        <f t="shared" ref="B104:D104" si="10">SUM(B102:B103)</f>
        <v>732553.2000000003</v>
      </c>
      <c r="C104" s="202">
        <f t="shared" si="10"/>
        <v>380128.93</v>
      </c>
      <c r="D104" s="518">
        <f t="shared" si="10"/>
        <v>2424.5100000000002</v>
      </c>
      <c r="E104" s="518">
        <f>SUM(E102:E103)</f>
        <v>0</v>
      </c>
      <c r="F104" s="518">
        <f>SUM(F102:F103)</f>
        <v>1110257.6200000003</v>
      </c>
      <c r="G104" s="202">
        <f>SUM(G102:G103)</f>
        <v>22091.59</v>
      </c>
      <c r="H104" s="518">
        <f>G104/F104*100</f>
        <v>1.989771527080354</v>
      </c>
      <c r="I104" s="518">
        <f>SUM(I102:I103)</f>
        <v>1088166.0300000003</v>
      </c>
      <c r="J104" s="518">
        <f t="shared" ref="J104" si="11">I104/F104*100</f>
        <v>98.010228472919636</v>
      </c>
    </row>
    <row r="105" spans="1:10" s="621" customFormat="1" ht="30.75" customHeight="1" thickTop="1" x14ac:dyDescent="0.3">
      <c r="A105" s="210"/>
      <c r="B105" s="210"/>
      <c r="C105" s="210"/>
      <c r="D105" s="210"/>
      <c r="E105" s="210"/>
      <c r="F105" s="210"/>
      <c r="G105" s="329"/>
      <c r="H105" s="210"/>
      <c r="I105" s="210"/>
      <c r="J105" s="210"/>
    </row>
    <row r="106" spans="1:10" s="360" customFormat="1" ht="20.100000000000001" customHeight="1" x14ac:dyDescent="0.25">
      <c r="A106" s="31" t="s">
        <v>96</v>
      </c>
      <c r="B106" s="621"/>
      <c r="C106" s="621"/>
      <c r="D106" s="621"/>
      <c r="E106" s="621"/>
      <c r="F106" s="621"/>
      <c r="G106" s="621"/>
      <c r="H106" s="621"/>
      <c r="I106" s="629"/>
      <c r="J106" s="621"/>
    </row>
    <row r="107" spans="1:10" s="621" customFormat="1" ht="20.100000000000001" customHeight="1" x14ac:dyDescent="0.25">
      <c r="A107" s="31"/>
      <c r="B107" s="515" t="s">
        <v>47</v>
      </c>
      <c r="I107" s="629"/>
    </row>
    <row r="108" spans="1:10" s="621" customFormat="1" ht="20.100000000000001" customHeight="1" x14ac:dyDescent="0.25">
      <c r="A108" s="31"/>
      <c r="B108" s="642" t="s">
        <v>256</v>
      </c>
      <c r="C108" s="622">
        <v>899579.03000000014</v>
      </c>
      <c r="D108" s="622" t="s">
        <v>55</v>
      </c>
      <c r="E108" s="622" t="s">
        <v>933</v>
      </c>
      <c r="F108" s="622"/>
      <c r="G108" s="627"/>
      <c r="H108" s="628"/>
      <c r="I108" s="629"/>
    </row>
    <row r="109" spans="1:10" s="621" customFormat="1" ht="20.100000000000001" customHeight="1" x14ac:dyDescent="0.25">
      <c r="A109" s="31"/>
      <c r="B109" s="642" t="s">
        <v>934</v>
      </c>
      <c r="C109" s="622">
        <v>40394.480000000003</v>
      </c>
      <c r="D109" s="622" t="s">
        <v>55</v>
      </c>
      <c r="E109" s="622" t="s">
        <v>935</v>
      </c>
      <c r="F109" s="622"/>
      <c r="G109" s="627"/>
      <c r="H109" s="628"/>
      <c r="I109" s="629"/>
    </row>
    <row r="110" spans="1:10" s="621" customFormat="1" ht="20.100000000000001" customHeight="1" x14ac:dyDescent="0.25">
      <c r="A110" s="31"/>
      <c r="B110" s="642" t="s">
        <v>258</v>
      </c>
      <c r="C110" s="622">
        <v>124810.23</v>
      </c>
      <c r="D110" s="622" t="s">
        <v>55</v>
      </c>
      <c r="E110" s="622" t="s">
        <v>936</v>
      </c>
      <c r="F110" s="622"/>
      <c r="G110" s="627"/>
      <c r="H110" s="628"/>
      <c r="I110" s="629"/>
    </row>
    <row r="111" spans="1:10" s="621" customFormat="1" ht="20.100000000000001" customHeight="1" x14ac:dyDescent="0.25">
      <c r="A111" s="31"/>
      <c r="B111" s="642" t="s">
        <v>797</v>
      </c>
      <c r="C111" s="622">
        <v>23382.29</v>
      </c>
      <c r="D111" s="622" t="s">
        <v>55</v>
      </c>
      <c r="E111" s="622" t="s">
        <v>935</v>
      </c>
      <c r="F111" s="622"/>
      <c r="G111" s="627"/>
      <c r="H111" s="628"/>
      <c r="I111" s="629"/>
    </row>
    <row r="112" spans="1:10" s="621" customFormat="1" ht="20.100000000000001" customHeight="1" thickBot="1" x14ac:dyDescent="0.3">
      <c r="A112" s="31"/>
      <c r="B112" s="642"/>
      <c r="C112" s="514">
        <f>SUM(C108:C111)</f>
        <v>1088166.0300000003</v>
      </c>
      <c r="D112" s="622" t="s">
        <v>55</v>
      </c>
      <c r="F112" s="622"/>
      <c r="G112" s="627"/>
      <c r="H112" s="628"/>
      <c r="I112" s="629"/>
    </row>
    <row r="113" spans="1:10" s="621" customFormat="1" ht="20.100000000000001" customHeight="1" thickTop="1" x14ac:dyDescent="0.25">
      <c r="A113" s="226"/>
      <c r="B113" s="226"/>
      <c r="C113" s="226"/>
      <c r="D113" s="226"/>
      <c r="E113" s="226"/>
      <c r="F113" s="226"/>
      <c r="G113" s="226"/>
      <c r="H113" s="226"/>
      <c r="I113" s="226"/>
      <c r="J113" s="226"/>
    </row>
    <row r="114" spans="1:10" s="621" customFormat="1" ht="20.100000000000001" customHeight="1" x14ac:dyDescent="0.25">
      <c r="A114" s="899" t="s">
        <v>877</v>
      </c>
      <c r="B114" s="899"/>
      <c r="C114" s="899"/>
      <c r="D114" s="899"/>
      <c r="E114" s="899"/>
      <c r="F114" s="899"/>
      <c r="G114" s="899"/>
      <c r="H114" s="899"/>
      <c r="I114" s="899"/>
      <c r="J114" s="899"/>
    </row>
    <row r="115" spans="1:10" s="621" customFormat="1" ht="20.100000000000001" customHeight="1" thickBot="1" x14ac:dyDescent="0.3">
      <c r="A115" s="900"/>
      <c r="B115" s="900"/>
      <c r="C115" s="900"/>
      <c r="D115" s="900"/>
      <c r="E115" s="900"/>
      <c r="F115" s="900"/>
      <c r="G115" s="900"/>
      <c r="H115" s="900"/>
      <c r="I115" s="900"/>
      <c r="J115" s="900"/>
    </row>
    <row r="116" spans="1:10" s="621" customFormat="1" ht="50.25" thickBot="1" x14ac:dyDescent="0.3">
      <c r="A116" s="619" t="s">
        <v>878</v>
      </c>
      <c r="B116" s="620" t="s">
        <v>14</v>
      </c>
      <c r="C116" s="618" t="s">
        <v>879</v>
      </c>
      <c r="D116" s="618" t="s">
        <v>17</v>
      </c>
      <c r="E116" s="618" t="s">
        <v>18</v>
      </c>
      <c r="F116" s="620" t="s">
        <v>19</v>
      </c>
      <c r="G116" s="626" t="s">
        <v>20</v>
      </c>
      <c r="H116" s="325" t="s">
        <v>21</v>
      </c>
      <c r="I116" s="626" t="s">
        <v>22</v>
      </c>
      <c r="J116" s="618" t="s">
        <v>23</v>
      </c>
    </row>
    <row r="117" spans="1:10" s="621" customFormat="1" ht="20.100000000000001" customHeight="1" x14ac:dyDescent="0.25">
      <c r="A117" s="630" t="s">
        <v>47</v>
      </c>
      <c r="B117" s="632">
        <v>1088166.03</v>
      </c>
      <c r="C117" s="326">
        <v>172570.19999999998</v>
      </c>
      <c r="D117" s="631">
        <v>0</v>
      </c>
      <c r="E117" s="631"/>
      <c r="F117" s="327">
        <f>B117+C117-D117-E117</f>
        <v>1260736.23</v>
      </c>
      <c r="G117" s="631">
        <v>0</v>
      </c>
      <c r="H117" s="631">
        <f>G117/F117*100</f>
        <v>0</v>
      </c>
      <c r="I117" s="632">
        <f>F117-G117</f>
        <v>1260736.23</v>
      </c>
      <c r="J117" s="327">
        <f>I117/F117*100</f>
        <v>100</v>
      </c>
    </row>
    <row r="118" spans="1:10" s="621" customFormat="1" ht="20.100000000000001" customHeight="1" thickBot="1" x14ac:dyDescent="0.3">
      <c r="A118" s="634" t="s">
        <v>50</v>
      </c>
      <c r="B118" s="636">
        <f>I103</f>
        <v>0</v>
      </c>
      <c r="C118" s="517">
        <v>28832.34</v>
      </c>
      <c r="D118" s="635"/>
      <c r="E118" s="635"/>
      <c r="F118" s="635">
        <f>B118+C118</f>
        <v>28832.34</v>
      </c>
      <c r="G118" s="635">
        <v>0</v>
      </c>
      <c r="H118" s="635">
        <f>G118/F118*100</f>
        <v>0</v>
      </c>
      <c r="I118" s="636">
        <f>F118-G118</f>
        <v>28832.34</v>
      </c>
      <c r="J118" s="451">
        <f>I118/F118*100</f>
        <v>100</v>
      </c>
    </row>
    <row r="119" spans="1:10" s="621" customFormat="1" ht="20.100000000000001" customHeight="1" thickTop="1" thickBot="1" x14ac:dyDescent="0.3">
      <c r="A119" s="200" t="s">
        <v>36</v>
      </c>
      <c r="B119" s="202">
        <f t="shared" ref="B119:D119" si="12">SUM(B117:B118)</f>
        <v>1088166.03</v>
      </c>
      <c r="C119" s="202">
        <f t="shared" si="12"/>
        <v>201402.53999999998</v>
      </c>
      <c r="D119" s="518">
        <f t="shared" si="12"/>
        <v>0</v>
      </c>
      <c r="E119" s="518">
        <f>SUM(E117:E118)</f>
        <v>0</v>
      </c>
      <c r="F119" s="518">
        <f>SUM(F117:F118)</f>
        <v>1289568.57</v>
      </c>
      <c r="G119" s="202">
        <f>SUM(G117:G118)</f>
        <v>0</v>
      </c>
      <c r="H119" s="518">
        <f>G119/F119*100</f>
        <v>0</v>
      </c>
      <c r="I119" s="518">
        <f>SUM(I117:I118)</f>
        <v>1289568.57</v>
      </c>
      <c r="J119" s="518">
        <f t="shared" ref="J119" si="13">I119/F119*100</f>
        <v>100</v>
      </c>
    </row>
    <row r="120" spans="1:10" s="621" customFormat="1" ht="20.100000000000001" customHeight="1" thickTop="1" x14ac:dyDescent="0.25">
      <c r="A120" s="641"/>
      <c r="B120" s="387"/>
      <c r="C120" s="387"/>
      <c r="D120" s="622"/>
      <c r="E120" s="622"/>
      <c r="F120" s="387"/>
      <c r="G120" s="387"/>
      <c r="H120" s="627"/>
      <c r="I120" s="115"/>
      <c r="J120" s="627"/>
    </row>
    <row r="121" spans="1:10" s="360" customFormat="1" ht="20.100000000000001" customHeight="1" x14ac:dyDescent="0.25">
      <c r="A121" s="713" t="s">
        <v>96</v>
      </c>
      <c r="B121" s="621"/>
      <c r="C121" s="621"/>
      <c r="D121" s="621"/>
      <c r="E121" s="621"/>
      <c r="F121" s="621"/>
      <c r="G121" s="621"/>
      <c r="H121" s="621"/>
      <c r="I121" s="629"/>
      <c r="J121" s="621"/>
    </row>
    <row r="122" spans="1:10" s="621" customFormat="1" ht="20.100000000000001" customHeight="1" x14ac:dyDescent="0.25">
      <c r="A122" s="31"/>
      <c r="B122" s="714" t="s">
        <v>47</v>
      </c>
      <c r="I122" s="629"/>
    </row>
    <row r="123" spans="1:10" s="621" customFormat="1" ht="20.100000000000001" customHeight="1" x14ac:dyDescent="0.25">
      <c r="A123" s="31"/>
      <c r="B123" s="642" t="s">
        <v>256</v>
      </c>
      <c r="C123" s="622">
        <v>1018514.77</v>
      </c>
      <c r="D123" s="622" t="s">
        <v>55</v>
      </c>
      <c r="E123" s="622" t="s">
        <v>937</v>
      </c>
      <c r="F123" s="622"/>
      <c r="G123" s="627"/>
      <c r="H123" s="628"/>
      <c r="I123" s="629"/>
    </row>
    <row r="124" spans="1:10" s="621" customFormat="1" ht="20.100000000000001" customHeight="1" x14ac:dyDescent="0.25">
      <c r="A124" s="31"/>
      <c r="B124" s="642" t="s">
        <v>934</v>
      </c>
      <c r="C124" s="622">
        <v>42939.08</v>
      </c>
      <c r="D124" s="622" t="s">
        <v>55</v>
      </c>
      <c r="E124" s="622" t="s">
        <v>938</v>
      </c>
      <c r="F124" s="622"/>
      <c r="G124" s="627"/>
      <c r="H124" s="628"/>
      <c r="I124" s="629"/>
    </row>
    <row r="125" spans="1:10" s="621" customFormat="1" ht="20.100000000000001" customHeight="1" x14ac:dyDescent="0.25">
      <c r="A125" s="31"/>
      <c r="B125" s="642" t="s">
        <v>258</v>
      </c>
      <c r="C125" s="622">
        <v>159881.93</v>
      </c>
      <c r="D125" s="622" t="s">
        <v>55</v>
      </c>
      <c r="E125" s="622" t="s">
        <v>939</v>
      </c>
      <c r="F125" s="622"/>
      <c r="G125" s="627"/>
      <c r="H125" s="628"/>
      <c r="I125" s="629"/>
    </row>
    <row r="126" spans="1:10" s="621" customFormat="1" ht="20.100000000000001" customHeight="1" x14ac:dyDescent="0.25">
      <c r="A126" s="31"/>
      <c r="B126" s="642" t="s">
        <v>797</v>
      </c>
      <c r="C126" s="622">
        <v>39400.449999999997</v>
      </c>
      <c r="D126" s="622" t="s">
        <v>55</v>
      </c>
      <c r="E126" s="622" t="s">
        <v>940</v>
      </c>
      <c r="F126" s="622"/>
      <c r="G126" s="627"/>
      <c r="H126" s="628"/>
      <c r="I126" s="629"/>
    </row>
    <row r="127" spans="1:10" s="621" customFormat="1" ht="20.100000000000001" customHeight="1" thickBot="1" x14ac:dyDescent="0.3">
      <c r="A127" s="31"/>
      <c r="B127" s="642"/>
      <c r="C127" s="514">
        <f>SUM(C123:C126)</f>
        <v>1260736.23</v>
      </c>
      <c r="D127" s="622" t="s">
        <v>55</v>
      </c>
      <c r="F127" s="622"/>
      <c r="G127" s="627"/>
      <c r="H127" s="628"/>
      <c r="I127" s="629"/>
    </row>
    <row r="128" spans="1:10" s="621" customFormat="1" ht="20.100000000000001" customHeight="1" thickTop="1" x14ac:dyDescent="0.25">
      <c r="A128" s="715" t="s">
        <v>37</v>
      </c>
      <c r="B128" s="33" t="s">
        <v>941</v>
      </c>
      <c r="C128" s="33"/>
      <c r="D128" s="622"/>
      <c r="F128" s="622"/>
      <c r="G128" s="627"/>
      <c r="H128" s="628"/>
      <c r="I128" s="629"/>
    </row>
    <row r="129" spans="1:12" s="621" customFormat="1" ht="20.100000000000001" customHeight="1" x14ac:dyDescent="0.25">
      <c r="A129" s="31"/>
      <c r="B129" s="642"/>
      <c r="C129" s="622"/>
      <c r="D129" s="622"/>
      <c r="F129" s="622"/>
      <c r="G129" s="627"/>
      <c r="H129" s="628"/>
      <c r="I129" s="629"/>
    </row>
    <row r="130" spans="1:12" s="621" customFormat="1" ht="20.100000000000001" customHeight="1" x14ac:dyDescent="0.25">
      <c r="A130" s="31"/>
      <c r="B130" s="712" t="s">
        <v>50</v>
      </c>
      <c r="C130" s="622"/>
      <c r="D130" s="622"/>
      <c r="E130" s="622"/>
      <c r="F130" s="622"/>
      <c r="G130" s="627"/>
      <c r="H130" s="628"/>
      <c r="I130" s="629"/>
    </row>
    <row r="131" spans="1:12" s="621" customFormat="1" ht="20.100000000000001" customHeight="1" x14ac:dyDescent="0.25">
      <c r="A131" s="31"/>
      <c r="B131" s="146" t="s">
        <v>932</v>
      </c>
      <c r="C131" s="622">
        <v>28832.34</v>
      </c>
      <c r="D131" s="622" t="s">
        <v>55</v>
      </c>
      <c r="E131" s="622" t="s">
        <v>942</v>
      </c>
      <c r="F131" s="622"/>
      <c r="G131" s="627"/>
      <c r="H131" s="628"/>
      <c r="I131" s="629"/>
    </row>
    <row r="132" spans="1:12" s="621" customFormat="1" ht="20.100000000000001" customHeight="1" thickBot="1" x14ac:dyDescent="0.3">
      <c r="A132" s="642"/>
      <c r="B132" s="360" t="s">
        <v>36</v>
      </c>
      <c r="C132" s="475">
        <f>SUM(C127+C131)</f>
        <v>1289568.57</v>
      </c>
      <c r="D132" s="622" t="s">
        <v>55</v>
      </c>
      <c r="E132" s="68"/>
      <c r="F132" s="622"/>
      <c r="G132" s="627"/>
      <c r="H132" s="628"/>
      <c r="I132" s="629"/>
      <c r="J132" s="629"/>
    </row>
    <row r="133" spans="1:12" ht="20.100000000000001" customHeight="1" thickTop="1" x14ac:dyDescent="0.25"/>
    <row r="134" spans="1:12" s="621" customFormat="1" ht="20.100000000000001" customHeight="1" x14ac:dyDescent="0.25">
      <c r="A134" s="899" t="s">
        <v>972</v>
      </c>
      <c r="B134" s="899"/>
      <c r="C134" s="899"/>
      <c r="D134" s="899"/>
      <c r="E134" s="899"/>
      <c r="F134" s="899"/>
      <c r="G134" s="899"/>
      <c r="H134" s="899"/>
      <c r="I134" s="899"/>
      <c r="J134" s="899"/>
    </row>
    <row r="135" spans="1:12" s="621" customFormat="1" ht="20.100000000000001" customHeight="1" thickBot="1" x14ac:dyDescent="0.3">
      <c r="A135" s="900"/>
      <c r="B135" s="900"/>
      <c r="C135" s="900"/>
      <c r="D135" s="900"/>
      <c r="E135" s="900"/>
      <c r="F135" s="900"/>
      <c r="G135" s="900"/>
      <c r="H135" s="900"/>
      <c r="I135" s="900"/>
      <c r="J135" s="900"/>
    </row>
    <row r="136" spans="1:12" s="621" customFormat="1" ht="50.25" thickBot="1" x14ac:dyDescent="0.3">
      <c r="A136" s="619" t="s">
        <v>973</v>
      </c>
      <c r="B136" s="620" t="s">
        <v>14</v>
      </c>
      <c r="C136" s="618" t="s">
        <v>974</v>
      </c>
      <c r="D136" s="618" t="s">
        <v>17</v>
      </c>
      <c r="E136" s="618" t="s">
        <v>18</v>
      </c>
      <c r="F136" s="620" t="s">
        <v>19</v>
      </c>
      <c r="G136" s="626" t="s">
        <v>20</v>
      </c>
      <c r="H136" s="325" t="s">
        <v>21</v>
      </c>
      <c r="I136" s="626" t="s">
        <v>22</v>
      </c>
      <c r="J136" s="618" t="s">
        <v>23</v>
      </c>
    </row>
    <row r="137" spans="1:12" s="621" customFormat="1" ht="20.100000000000001" customHeight="1" x14ac:dyDescent="0.25">
      <c r="A137" s="630" t="s">
        <v>47</v>
      </c>
      <c r="B137" s="632">
        <v>1260736.23</v>
      </c>
      <c r="C137" s="326">
        <v>164681</v>
      </c>
      <c r="D137" s="631">
        <v>1196109.3899999999</v>
      </c>
      <c r="E137" s="631">
        <v>115603.15</v>
      </c>
      <c r="F137" s="327">
        <f>B137+C137-D137-E137</f>
        <v>113704.69000000009</v>
      </c>
      <c r="G137" s="631">
        <v>58055.5</v>
      </c>
      <c r="H137" s="631">
        <f>G137/F137*100</f>
        <v>51.058140169943698</v>
      </c>
      <c r="I137" s="632">
        <f>F137-G137</f>
        <v>55649.19000000009</v>
      </c>
      <c r="J137" s="327">
        <f>I137/F137*100</f>
        <v>48.941859830056302</v>
      </c>
      <c r="L137" s="97"/>
    </row>
    <row r="138" spans="1:12" s="621" customFormat="1" ht="20.100000000000001" customHeight="1" thickBot="1" x14ac:dyDescent="0.3">
      <c r="A138" s="634" t="s">
        <v>50</v>
      </c>
      <c r="B138" s="636">
        <v>28832.34</v>
      </c>
      <c r="C138" s="517">
        <v>25645.54</v>
      </c>
      <c r="D138" s="635">
        <v>3748.56</v>
      </c>
      <c r="E138" s="635">
        <v>19524.28</v>
      </c>
      <c r="F138" s="635">
        <f>B138+C138-D138-E138</f>
        <v>31205.040000000008</v>
      </c>
      <c r="G138" s="635">
        <v>14458.6</v>
      </c>
      <c r="H138" s="635">
        <f>G138/F138*100</f>
        <v>46.33418191420359</v>
      </c>
      <c r="I138" s="636">
        <f>F138-G138</f>
        <v>16746.44000000001</v>
      </c>
      <c r="J138" s="451">
        <f>I138/F138*100</f>
        <v>53.66581808579641</v>
      </c>
      <c r="L138" s="97"/>
    </row>
    <row r="139" spans="1:12" s="621" customFormat="1" ht="20.100000000000001" customHeight="1" thickTop="1" thickBot="1" x14ac:dyDescent="0.3">
      <c r="A139" s="200" t="s">
        <v>36</v>
      </c>
      <c r="B139" s="202">
        <f t="shared" ref="B139:D139" si="14">SUM(B137:B138)</f>
        <v>1289568.57</v>
      </c>
      <c r="C139" s="202">
        <f t="shared" si="14"/>
        <v>190326.54</v>
      </c>
      <c r="D139" s="518">
        <f t="shared" si="14"/>
        <v>1199857.95</v>
      </c>
      <c r="E139" s="518">
        <f>SUM(E137:E138)</f>
        <v>135127.43</v>
      </c>
      <c r="F139" s="518">
        <f>SUM(F137:F138)</f>
        <v>144909.7300000001</v>
      </c>
      <c r="G139" s="202">
        <f>SUM(G137:G138)</f>
        <v>72514.100000000006</v>
      </c>
      <c r="H139" s="518">
        <f>G139/F139*100</f>
        <v>50.040877172291985</v>
      </c>
      <c r="I139" s="518">
        <f>SUM(I137:I138)</f>
        <v>72395.630000000092</v>
      </c>
      <c r="J139" s="518">
        <f t="shared" ref="J139" si="15">I139/F139*100</f>
        <v>49.959122827708008</v>
      </c>
      <c r="L139" s="26"/>
    </row>
    <row r="140" spans="1:12" s="621" customFormat="1" ht="20.100000000000001" customHeight="1" thickTop="1" x14ac:dyDescent="0.25">
      <c r="A140" s="641"/>
      <c r="B140" s="387"/>
      <c r="C140" s="735"/>
      <c r="D140" s="622"/>
      <c r="E140" s="622"/>
      <c r="F140" s="387"/>
      <c r="G140" s="387"/>
      <c r="H140" s="627"/>
      <c r="I140" s="115"/>
      <c r="J140" s="627"/>
    </row>
    <row r="141" spans="1:12" s="360" customFormat="1" ht="20.100000000000001" customHeight="1" x14ac:dyDescent="0.25">
      <c r="A141" s="713" t="s">
        <v>96</v>
      </c>
      <c r="B141" s="621"/>
      <c r="C141" s="621"/>
      <c r="D141" s="621"/>
      <c r="E141" s="621"/>
      <c r="F141" s="621"/>
      <c r="G141" s="621"/>
      <c r="H141" s="621"/>
      <c r="I141" s="629"/>
      <c r="J141" s="621"/>
    </row>
    <row r="142" spans="1:12" s="621" customFormat="1" ht="20.100000000000001" customHeight="1" x14ac:dyDescent="0.25">
      <c r="A142" s="31"/>
      <c r="B142" s="714" t="s">
        <v>47</v>
      </c>
      <c r="I142" s="629"/>
    </row>
    <row r="143" spans="1:12" s="621" customFormat="1" ht="20.100000000000001" customHeight="1" x14ac:dyDescent="0.25">
      <c r="A143" s="31"/>
      <c r="B143" s="642" t="s">
        <v>256</v>
      </c>
      <c r="C143" s="622">
        <v>3122.28</v>
      </c>
      <c r="D143" s="622" t="s">
        <v>55</v>
      </c>
      <c r="E143" s="622" t="s">
        <v>977</v>
      </c>
      <c r="F143" s="622"/>
      <c r="G143" s="627"/>
      <c r="H143" s="628"/>
      <c r="I143" s="629"/>
    </row>
    <row r="144" spans="1:12" s="621" customFormat="1" ht="20.100000000000001" customHeight="1" x14ac:dyDescent="0.25">
      <c r="A144" s="31"/>
      <c r="B144" s="642" t="s">
        <v>934</v>
      </c>
      <c r="C144" s="622">
        <v>24745.74</v>
      </c>
      <c r="D144" s="622" t="s">
        <v>55</v>
      </c>
      <c r="E144" s="622" t="s">
        <v>977</v>
      </c>
      <c r="F144" s="622"/>
      <c r="G144" s="627"/>
      <c r="H144" s="628"/>
      <c r="I144" s="629"/>
    </row>
    <row r="145" spans="1:12" s="621" customFormat="1" ht="20.100000000000001" customHeight="1" x14ac:dyDescent="0.25">
      <c r="A145" s="31"/>
      <c r="B145" s="642" t="s">
        <v>258</v>
      </c>
      <c r="C145" s="622">
        <f>[5]Sheet1!$H$7+[5]Sheet1!$H$9+[5]Sheet1!$H$12+[5]Sheet1!$H$16</f>
        <v>25972.550000000003</v>
      </c>
      <c r="D145" s="622" t="s">
        <v>55</v>
      </c>
      <c r="E145" s="622" t="s">
        <v>977</v>
      </c>
      <c r="F145" s="622"/>
      <c r="G145" s="627"/>
      <c r="H145" s="628"/>
      <c r="I145" s="629"/>
    </row>
    <row r="146" spans="1:12" s="621" customFormat="1" ht="20.100000000000001" customHeight="1" x14ac:dyDescent="0.25">
      <c r="A146" s="31"/>
      <c r="B146" s="642" t="s">
        <v>797</v>
      </c>
      <c r="C146" s="622">
        <v>1808.62</v>
      </c>
      <c r="D146" s="622" t="s">
        <v>55</v>
      </c>
      <c r="E146" s="622" t="s">
        <v>977</v>
      </c>
      <c r="F146" s="622"/>
      <c r="G146" s="627"/>
      <c r="H146" s="628"/>
      <c r="I146" s="629"/>
    </row>
    <row r="147" spans="1:12" s="621" customFormat="1" ht="20.100000000000001" customHeight="1" thickBot="1" x14ac:dyDescent="0.3">
      <c r="A147" s="31"/>
      <c r="B147" s="642"/>
      <c r="C147" s="514">
        <f>SUM(C143:C146)</f>
        <v>55649.19000000001</v>
      </c>
      <c r="D147" s="622" t="s">
        <v>55</v>
      </c>
      <c r="F147" s="622"/>
      <c r="G147" s="627"/>
      <c r="H147" s="628"/>
      <c r="I147" s="629"/>
    </row>
    <row r="148" spans="1:12" s="621" customFormat="1" ht="20.100000000000001" customHeight="1" thickTop="1" x14ac:dyDescent="0.25">
      <c r="A148" s="715" t="s">
        <v>37</v>
      </c>
      <c r="B148" s="33" t="s">
        <v>978</v>
      </c>
      <c r="C148" s="33"/>
      <c r="D148" s="622"/>
      <c r="F148" s="622"/>
      <c r="G148" s="627"/>
      <c r="H148" s="628"/>
      <c r="I148" s="629"/>
    </row>
    <row r="149" spans="1:12" s="621" customFormat="1" ht="20.100000000000001" customHeight="1" x14ac:dyDescent="0.25">
      <c r="A149" s="31"/>
      <c r="B149" s="736" t="s">
        <v>979</v>
      </c>
      <c r="C149" s="622"/>
      <c r="D149" s="622"/>
      <c r="F149" s="622"/>
      <c r="G149" s="627"/>
      <c r="H149" s="628"/>
      <c r="I149" s="629"/>
    </row>
    <row r="150" spans="1:12" s="621" customFormat="1" ht="20.100000000000001" customHeight="1" x14ac:dyDescent="0.25">
      <c r="A150" s="31"/>
      <c r="B150" s="146"/>
      <c r="C150" s="622"/>
      <c r="D150" s="622"/>
      <c r="F150" s="622"/>
      <c r="G150" s="627"/>
      <c r="H150" s="628"/>
      <c r="I150" s="629"/>
    </row>
    <row r="151" spans="1:12" s="621" customFormat="1" ht="20.100000000000001" customHeight="1" x14ac:dyDescent="0.25">
      <c r="A151" s="31"/>
      <c r="B151" s="712" t="s">
        <v>50</v>
      </c>
      <c r="C151" s="622"/>
      <c r="D151" s="622"/>
      <c r="E151" s="622"/>
      <c r="F151" s="622"/>
      <c r="G151" s="627"/>
      <c r="H151" s="628"/>
      <c r="I151" s="629"/>
    </row>
    <row r="152" spans="1:12" s="621" customFormat="1" ht="20.100000000000001" customHeight="1" x14ac:dyDescent="0.25">
      <c r="A152" s="31"/>
      <c r="B152" s="146" t="s">
        <v>975</v>
      </c>
      <c r="C152" s="622">
        <v>16746.44000000001</v>
      </c>
      <c r="D152" s="622" t="s">
        <v>55</v>
      </c>
      <c r="E152" s="622" t="s">
        <v>976</v>
      </c>
      <c r="F152" s="622"/>
      <c r="G152" s="627"/>
      <c r="H152" s="628"/>
      <c r="I152" s="629"/>
    </row>
    <row r="153" spans="1:12" s="621" customFormat="1" ht="20.100000000000001" customHeight="1" thickBot="1" x14ac:dyDescent="0.3">
      <c r="A153" s="642"/>
      <c r="B153" s="360" t="s">
        <v>36</v>
      </c>
      <c r="C153" s="475">
        <f>C152</f>
        <v>16746.44000000001</v>
      </c>
      <c r="D153" s="622" t="s">
        <v>55</v>
      </c>
      <c r="E153" s="68"/>
      <c r="F153" s="622"/>
      <c r="G153" s="627"/>
      <c r="H153" s="628"/>
      <c r="I153" s="629"/>
      <c r="J153" s="629"/>
    </row>
    <row r="154" spans="1:12" ht="20.100000000000001" customHeight="1" thickTop="1" x14ac:dyDescent="0.25"/>
    <row r="155" spans="1:12" s="781" customFormat="1" ht="20.100000000000001" customHeight="1" x14ac:dyDescent="0.25">
      <c r="A155" s="899" t="s">
        <v>1277</v>
      </c>
      <c r="B155" s="899"/>
      <c r="C155" s="899"/>
      <c r="D155" s="899"/>
      <c r="E155" s="899"/>
      <c r="F155" s="899"/>
      <c r="G155" s="899"/>
      <c r="H155" s="899"/>
      <c r="I155" s="899"/>
      <c r="J155" s="899"/>
    </row>
    <row r="156" spans="1:12" s="781" customFormat="1" ht="20.100000000000001" customHeight="1" thickBot="1" x14ac:dyDescent="0.3">
      <c r="A156" s="900"/>
      <c r="B156" s="900"/>
      <c r="C156" s="900"/>
      <c r="D156" s="900"/>
      <c r="E156" s="900"/>
      <c r="F156" s="900"/>
      <c r="G156" s="900"/>
      <c r="H156" s="900"/>
      <c r="I156" s="900"/>
      <c r="J156" s="900"/>
    </row>
    <row r="157" spans="1:12" s="781" customFormat="1" ht="50.25" thickBot="1" x14ac:dyDescent="0.3">
      <c r="A157" s="783" t="s">
        <v>1278</v>
      </c>
      <c r="B157" s="784" t="s">
        <v>14</v>
      </c>
      <c r="C157" s="785" t="s">
        <v>1279</v>
      </c>
      <c r="D157" s="785" t="s">
        <v>17</v>
      </c>
      <c r="E157" s="785" t="s">
        <v>18</v>
      </c>
      <c r="F157" s="784" t="s">
        <v>19</v>
      </c>
      <c r="G157" s="752" t="s">
        <v>20</v>
      </c>
      <c r="H157" s="325" t="s">
        <v>21</v>
      </c>
      <c r="I157" s="752" t="s">
        <v>22</v>
      </c>
      <c r="J157" s="785" t="s">
        <v>23</v>
      </c>
    </row>
    <row r="158" spans="1:12" s="781" customFormat="1" ht="20.100000000000001" customHeight="1" x14ac:dyDescent="0.25">
      <c r="A158" s="786" t="s">
        <v>47</v>
      </c>
      <c r="B158" s="788">
        <f>+C158-D158-E158</f>
        <v>55649.19</v>
      </c>
      <c r="C158" s="326">
        <v>158019.12</v>
      </c>
      <c r="D158" s="787">
        <v>102369.93</v>
      </c>
      <c r="E158" s="787"/>
      <c r="F158" s="327">
        <f>B158+C158</f>
        <v>213668.31</v>
      </c>
      <c r="G158" s="787">
        <v>0</v>
      </c>
      <c r="H158" s="787">
        <f>G158/F158*100</f>
        <v>0</v>
      </c>
      <c r="I158" s="788">
        <v>213668.31</v>
      </c>
      <c r="J158" s="327">
        <f>I158/F158*100</f>
        <v>100</v>
      </c>
      <c r="L158" s="806"/>
    </row>
    <row r="159" spans="1:12" s="781" customFormat="1" ht="20.100000000000001" customHeight="1" thickBot="1" x14ac:dyDescent="0.3">
      <c r="A159" s="790" t="s">
        <v>50</v>
      </c>
      <c r="B159" s="811">
        <v>16746.44000000001</v>
      </c>
      <c r="C159" s="517">
        <v>9018.76</v>
      </c>
      <c r="D159" s="791">
        <v>1755.21</v>
      </c>
      <c r="E159" s="791"/>
      <c r="F159" s="791">
        <f>B159+C159-D159-E159</f>
        <v>24009.990000000013</v>
      </c>
      <c r="G159" s="791">
        <v>24009.99</v>
      </c>
      <c r="H159" s="791">
        <f>G159/F159*100</f>
        <v>99.999999999999957</v>
      </c>
      <c r="I159" s="811">
        <f>F159-G159</f>
        <v>0</v>
      </c>
      <c r="J159" s="451">
        <f>I159/F159*100</f>
        <v>0</v>
      </c>
      <c r="L159" s="806"/>
    </row>
    <row r="160" spans="1:12" s="781" customFormat="1" ht="20.100000000000001" customHeight="1" thickTop="1" thickBot="1" x14ac:dyDescent="0.3">
      <c r="A160" s="813" t="s">
        <v>36</v>
      </c>
      <c r="B160" s="815">
        <f t="shared" ref="B160:D160" si="16">SUM(B158:B159)</f>
        <v>72395.63</v>
      </c>
      <c r="C160" s="815">
        <f t="shared" si="16"/>
        <v>167037.88</v>
      </c>
      <c r="D160" s="518">
        <f t="shared" si="16"/>
        <v>104125.14</v>
      </c>
      <c r="E160" s="518">
        <f>SUM(E158:E159)</f>
        <v>0</v>
      </c>
      <c r="F160" s="518">
        <f>SUM(F158:F159)</f>
        <v>237678.30000000002</v>
      </c>
      <c r="G160" s="815">
        <f>SUM(G158:G159)</f>
        <v>24009.99</v>
      </c>
      <c r="H160" s="518">
        <f>G160/F160*100</f>
        <v>10.101885615977563</v>
      </c>
      <c r="I160" s="518">
        <f>SUM(I158:I159)</f>
        <v>213668.31</v>
      </c>
      <c r="J160" s="518">
        <f t="shared" ref="J160" si="17">I160/F160*100</f>
        <v>89.898114384022435</v>
      </c>
      <c r="L160" s="796"/>
    </row>
    <row r="161" spans="1:12" s="781" customFormat="1" ht="20.100000000000001" customHeight="1" thickTop="1" x14ac:dyDescent="0.25">
      <c r="A161" s="767"/>
      <c r="B161" s="387"/>
      <c r="C161" s="735"/>
      <c r="D161" s="780"/>
      <c r="E161" s="780"/>
      <c r="F161" s="387"/>
      <c r="G161" s="387"/>
      <c r="H161" s="797"/>
      <c r="I161" s="115"/>
      <c r="J161" s="797"/>
    </row>
    <row r="162" spans="1:12" s="793" customFormat="1" ht="20.100000000000001" customHeight="1" x14ac:dyDescent="0.25">
      <c r="A162" s="713" t="s">
        <v>96</v>
      </c>
      <c r="B162" s="781"/>
      <c r="C162" s="781"/>
      <c r="D162" s="781"/>
      <c r="E162" s="781"/>
      <c r="F162" s="781"/>
      <c r="G162" s="781"/>
      <c r="H162" s="781"/>
      <c r="I162" s="755"/>
      <c r="J162" s="781"/>
    </row>
    <row r="163" spans="1:12" s="781" customFormat="1" ht="20.100000000000001" customHeight="1" x14ac:dyDescent="0.25">
      <c r="A163" s="31"/>
      <c r="B163" s="714" t="s">
        <v>47</v>
      </c>
      <c r="I163" s="755"/>
    </row>
    <row r="164" spans="1:12" s="781" customFormat="1" ht="20.100000000000001" customHeight="1" x14ac:dyDescent="0.25">
      <c r="A164" s="31"/>
      <c r="B164" s="768" t="s">
        <v>256</v>
      </c>
      <c r="C164" s="780">
        <f>3122.28+65501.77-23713</f>
        <v>44911.05</v>
      </c>
      <c r="D164" s="780" t="s">
        <v>55</v>
      </c>
      <c r="E164" s="780" t="s">
        <v>977</v>
      </c>
      <c r="F164" s="780"/>
      <c r="G164" s="797"/>
      <c r="H164" s="754"/>
      <c r="I164" s="755"/>
    </row>
    <row r="165" spans="1:12" s="781" customFormat="1" ht="20.100000000000001" customHeight="1" x14ac:dyDescent="0.25">
      <c r="A165" s="31"/>
      <c r="B165" s="768" t="s">
        <v>934</v>
      </c>
      <c r="C165" s="780">
        <f>23713+24745.74</f>
        <v>48458.740000000005</v>
      </c>
      <c r="D165" s="780" t="s">
        <v>55</v>
      </c>
      <c r="E165" s="780" t="s">
        <v>977</v>
      </c>
      <c r="F165" s="780"/>
      <c r="G165" s="797"/>
      <c r="H165" s="754"/>
      <c r="I165" s="755"/>
    </row>
    <row r="166" spans="1:12" s="781" customFormat="1" ht="20.100000000000001" customHeight="1" x14ac:dyDescent="0.25">
      <c r="A166" s="31"/>
      <c r="B166" s="768" t="s">
        <v>258</v>
      </c>
      <c r="C166" s="780">
        <f>26740.39+25972.55</f>
        <v>52712.94</v>
      </c>
      <c r="D166" s="780" t="s">
        <v>55</v>
      </c>
      <c r="E166" s="780" t="s">
        <v>977</v>
      </c>
      <c r="F166" s="780"/>
      <c r="G166" s="797"/>
      <c r="H166" s="754"/>
      <c r="I166" s="755"/>
    </row>
    <row r="167" spans="1:12" s="781" customFormat="1" ht="20.100000000000001" customHeight="1" x14ac:dyDescent="0.25">
      <c r="A167" s="31"/>
      <c r="B167" s="768" t="s">
        <v>797</v>
      </c>
      <c r="C167" s="780">
        <f>1808.62+65776.96</f>
        <v>67585.58</v>
      </c>
      <c r="D167" s="780" t="s">
        <v>55</v>
      </c>
      <c r="E167" s="780" t="s">
        <v>977</v>
      </c>
      <c r="F167" s="780"/>
      <c r="G167" s="797"/>
      <c r="H167" s="754"/>
      <c r="I167" s="755"/>
    </row>
    <row r="168" spans="1:12" s="781" customFormat="1" ht="20.100000000000001" customHeight="1" thickBot="1" x14ac:dyDescent="0.3">
      <c r="A168" s="31"/>
      <c r="B168" s="768"/>
      <c r="C168" s="514">
        <v>213668.31</v>
      </c>
      <c r="D168" s="780" t="s">
        <v>55</v>
      </c>
      <c r="F168" s="780"/>
      <c r="G168" s="797"/>
      <c r="H168" s="754"/>
      <c r="I168" s="755"/>
    </row>
    <row r="169" spans="1:12" s="781" customFormat="1" ht="20.100000000000001" customHeight="1" thickTop="1" x14ac:dyDescent="0.25">
      <c r="A169" s="715" t="s">
        <v>37</v>
      </c>
      <c r="B169" s="33" t="s">
        <v>978</v>
      </c>
      <c r="C169" s="33"/>
      <c r="D169" s="780"/>
      <c r="F169" s="780"/>
      <c r="G169" s="797"/>
      <c r="H169" s="754"/>
      <c r="I169" s="755"/>
    </row>
    <row r="170" spans="1:12" s="781" customFormat="1" ht="20.100000000000001" customHeight="1" x14ac:dyDescent="0.25">
      <c r="A170" s="31"/>
      <c r="B170" s="736" t="s">
        <v>979</v>
      </c>
      <c r="C170" s="780"/>
      <c r="D170" s="780"/>
      <c r="F170" s="780"/>
      <c r="G170" s="797"/>
      <c r="H170" s="754"/>
      <c r="I170" s="755"/>
    </row>
    <row r="171" spans="1:12" s="781" customFormat="1" ht="20.100000000000001" customHeight="1" x14ac:dyDescent="0.25">
      <c r="A171" s="31"/>
      <c r="B171" s="146"/>
      <c r="C171" s="780"/>
      <c r="D171" s="780"/>
      <c r="F171" s="780"/>
      <c r="G171" s="797"/>
      <c r="H171" s="754"/>
      <c r="I171" s="755"/>
    </row>
    <row r="172" spans="1:12" s="781" customFormat="1" ht="20.100000000000001" customHeight="1" x14ac:dyDescent="0.25">
      <c r="A172" s="899" t="s">
        <v>1280</v>
      </c>
      <c r="B172" s="899"/>
      <c r="C172" s="899"/>
      <c r="D172" s="899"/>
      <c r="E172" s="899"/>
      <c r="F172" s="899"/>
      <c r="G172" s="899"/>
      <c r="H172" s="899"/>
      <c r="I172" s="899"/>
      <c r="J172" s="899"/>
    </row>
    <row r="173" spans="1:12" s="781" customFormat="1" ht="20.100000000000001" customHeight="1" thickBot="1" x14ac:dyDescent="0.3">
      <c r="A173" s="900"/>
      <c r="B173" s="900"/>
      <c r="C173" s="900"/>
      <c r="D173" s="900"/>
      <c r="E173" s="900"/>
      <c r="F173" s="900"/>
      <c r="G173" s="900"/>
      <c r="H173" s="900"/>
      <c r="I173" s="900"/>
      <c r="J173" s="900"/>
    </row>
    <row r="174" spans="1:12" s="781" customFormat="1" ht="50.25" thickBot="1" x14ac:dyDescent="0.3">
      <c r="A174" s="783" t="s">
        <v>1281</v>
      </c>
      <c r="B174" s="784" t="s">
        <v>14</v>
      </c>
      <c r="C174" s="785" t="s">
        <v>1282</v>
      </c>
      <c r="D174" s="785" t="s">
        <v>17</v>
      </c>
      <c r="E174" s="785" t="s">
        <v>18</v>
      </c>
      <c r="F174" s="784" t="s">
        <v>19</v>
      </c>
      <c r="G174" s="752" t="s">
        <v>20</v>
      </c>
      <c r="H174" s="325" t="s">
        <v>21</v>
      </c>
      <c r="I174" s="752" t="s">
        <v>22</v>
      </c>
      <c r="J174" s="785" t="s">
        <v>23</v>
      </c>
    </row>
    <row r="175" spans="1:12" s="781" customFormat="1" ht="20.100000000000001" customHeight="1" x14ac:dyDescent="0.25">
      <c r="A175" s="786" t="s">
        <v>47</v>
      </c>
      <c r="B175" s="788">
        <v>213668.31</v>
      </c>
      <c r="C175" s="326">
        <v>237534.07999999999</v>
      </c>
      <c r="D175" s="787"/>
      <c r="E175" s="787">
        <v>0</v>
      </c>
      <c r="F175" s="327">
        <f>B175+C175</f>
        <v>451202.39</v>
      </c>
      <c r="G175" s="787">
        <v>0</v>
      </c>
      <c r="H175" s="787">
        <f>G175/F175*100</f>
        <v>0</v>
      </c>
      <c r="I175" s="788">
        <v>451201.39</v>
      </c>
      <c r="J175" s="327">
        <f>I175/F175*100</f>
        <v>99.999778369968297</v>
      </c>
      <c r="L175" s="806"/>
    </row>
    <row r="176" spans="1:12" s="781" customFormat="1" ht="20.100000000000001" customHeight="1" thickBot="1" x14ac:dyDescent="0.3">
      <c r="A176" s="790" t="s">
        <v>50</v>
      </c>
      <c r="B176" s="811"/>
      <c r="C176" s="517">
        <v>40277.93</v>
      </c>
      <c r="D176" s="791">
        <v>8.73</v>
      </c>
      <c r="E176" s="791"/>
      <c r="F176" s="791">
        <f>B176+C176-D176-E176</f>
        <v>40269.199999999997</v>
      </c>
      <c r="G176" s="791">
        <v>40269.199999999997</v>
      </c>
      <c r="H176" s="791">
        <f>G176/F176*100</f>
        <v>100</v>
      </c>
      <c r="I176" s="811">
        <f>F176-G176</f>
        <v>0</v>
      </c>
      <c r="J176" s="451">
        <f>I176/F176*100</f>
        <v>0</v>
      </c>
      <c r="L176" s="806"/>
    </row>
    <row r="177" spans="1:12" s="781" customFormat="1" ht="20.100000000000001" customHeight="1" thickTop="1" thickBot="1" x14ac:dyDescent="0.3">
      <c r="A177" s="813" t="s">
        <v>36</v>
      </c>
      <c r="B177" s="815">
        <f t="shared" ref="B177:D177" si="18">SUM(B175:B176)</f>
        <v>213668.31</v>
      </c>
      <c r="C177" s="815">
        <f t="shared" si="18"/>
        <v>277812.01</v>
      </c>
      <c r="D177" s="518">
        <f t="shared" si="18"/>
        <v>8.73</v>
      </c>
      <c r="E177" s="518">
        <f>SUM(E175:E176)</f>
        <v>0</v>
      </c>
      <c r="F177" s="518">
        <f>SUM(F175:F176)</f>
        <v>491471.59</v>
      </c>
      <c r="G177" s="815">
        <f>SUM(G175:G176)</f>
        <v>40269.199999999997</v>
      </c>
      <c r="H177" s="518">
        <f>G177/F177*100</f>
        <v>8.1935967041350235</v>
      </c>
      <c r="I177" s="518">
        <f>SUM(I175:I176)</f>
        <v>451201.39</v>
      </c>
      <c r="J177" s="518">
        <f t="shared" ref="J177" si="19">I177/F177*100</f>
        <v>91.806199825304247</v>
      </c>
      <c r="L177" s="796"/>
    </row>
    <row r="178" spans="1:12" s="781" customFormat="1" ht="20.100000000000001" customHeight="1" thickTop="1" x14ac:dyDescent="0.25">
      <c r="A178" s="767"/>
      <c r="B178" s="387"/>
      <c r="C178" s="735"/>
      <c r="D178" s="780"/>
      <c r="E178" s="780"/>
      <c r="F178" s="387"/>
      <c r="G178" s="387"/>
      <c r="H178" s="797"/>
      <c r="I178" s="115"/>
      <c r="J178" s="797"/>
    </row>
    <row r="179" spans="1:12" s="793" customFormat="1" ht="20.100000000000001" customHeight="1" x14ac:dyDescent="0.25">
      <c r="A179" s="713" t="s">
        <v>96</v>
      </c>
      <c r="B179" s="781"/>
      <c r="C179" s="781"/>
      <c r="D179" s="781"/>
      <c r="E179" s="781"/>
      <c r="F179" s="781"/>
      <c r="G179" s="781"/>
      <c r="H179" s="781"/>
      <c r="I179" s="755"/>
      <c r="J179" s="781"/>
    </row>
    <row r="180" spans="1:12" s="781" customFormat="1" ht="20.100000000000001" customHeight="1" x14ac:dyDescent="0.25">
      <c r="A180" s="31"/>
      <c r="B180" s="714" t="s">
        <v>47</v>
      </c>
      <c r="I180" s="755"/>
    </row>
    <row r="181" spans="1:12" s="781" customFormat="1" ht="20.100000000000001" customHeight="1" x14ac:dyDescent="0.25">
      <c r="A181" s="31"/>
      <c r="B181" s="768" t="s">
        <v>256</v>
      </c>
      <c r="C181" s="780">
        <v>128031.10999999999</v>
      </c>
      <c r="D181" s="780" t="s">
        <v>55</v>
      </c>
      <c r="E181" s="780" t="s">
        <v>1283</v>
      </c>
      <c r="F181" s="780"/>
      <c r="G181" s="797"/>
      <c r="H181" s="754"/>
      <c r="I181" s="755"/>
    </row>
    <row r="182" spans="1:12" s="781" customFormat="1" ht="20.100000000000001" customHeight="1" x14ac:dyDescent="0.25">
      <c r="A182" s="31"/>
      <c r="B182" s="768" t="s">
        <v>934</v>
      </c>
      <c r="C182" s="780">
        <f>34810+48458.74</f>
        <v>83268.739999999991</v>
      </c>
      <c r="D182" s="780" t="s">
        <v>55</v>
      </c>
      <c r="E182" s="780" t="s">
        <v>1283</v>
      </c>
      <c r="F182" s="780"/>
      <c r="G182" s="797"/>
      <c r="H182" s="754"/>
      <c r="I182" s="755"/>
    </row>
    <row r="183" spans="1:12" s="781" customFormat="1" ht="20.100000000000001" customHeight="1" x14ac:dyDescent="0.25">
      <c r="A183" s="31"/>
      <c r="B183" s="768" t="s">
        <v>258</v>
      </c>
      <c r="C183" s="780">
        <v>64745.17</v>
      </c>
      <c r="D183" s="780" t="s">
        <v>55</v>
      </c>
      <c r="E183" s="780" t="s">
        <v>1283</v>
      </c>
      <c r="F183" s="780"/>
      <c r="G183" s="797"/>
      <c r="H183" s="754"/>
      <c r="I183" s="755"/>
    </row>
    <row r="184" spans="1:12" s="781" customFormat="1" ht="20.100000000000001" customHeight="1" x14ac:dyDescent="0.25">
      <c r="A184" s="31"/>
      <c r="B184" s="768" t="s">
        <v>797</v>
      </c>
      <c r="C184" s="780">
        <v>175156.37</v>
      </c>
      <c r="D184" s="780" t="s">
        <v>55</v>
      </c>
      <c r="E184" s="780" t="s">
        <v>1283</v>
      </c>
      <c r="F184" s="780"/>
      <c r="G184" s="797"/>
      <c r="H184" s="754"/>
      <c r="I184" s="755"/>
    </row>
    <row r="185" spans="1:12" s="781" customFormat="1" ht="20.100000000000001" customHeight="1" thickBot="1" x14ac:dyDescent="0.3">
      <c r="A185" s="31"/>
      <c r="B185" s="768"/>
      <c r="C185" s="514">
        <v>451201.39</v>
      </c>
      <c r="D185" s="780" t="s">
        <v>55</v>
      </c>
      <c r="F185" s="780"/>
      <c r="G185" s="797"/>
      <c r="H185" s="754"/>
      <c r="I185" s="755"/>
    </row>
    <row r="186" spans="1:12" s="781" customFormat="1" ht="20.100000000000001" customHeight="1" thickTop="1" x14ac:dyDescent="0.25">
      <c r="A186" s="715" t="s">
        <v>37</v>
      </c>
      <c r="B186" s="33" t="s">
        <v>978</v>
      </c>
      <c r="C186" s="33"/>
      <c r="D186" s="780"/>
      <c r="F186" s="780"/>
      <c r="G186" s="797"/>
      <c r="H186" s="754"/>
      <c r="I186" s="755"/>
    </row>
    <row r="187" spans="1:12" s="781" customFormat="1" ht="20.100000000000001" customHeight="1" x14ac:dyDescent="0.25">
      <c r="A187" s="31"/>
      <c r="B187" s="736" t="s">
        <v>1284</v>
      </c>
      <c r="C187" s="780"/>
      <c r="D187" s="780"/>
      <c r="F187" s="780"/>
      <c r="G187" s="797"/>
      <c r="H187" s="754"/>
      <c r="I187" s="755"/>
    </row>
    <row r="188" spans="1:12" s="781" customFormat="1" ht="20.100000000000001" customHeight="1" x14ac:dyDescent="0.25">
      <c r="C188" s="780"/>
      <c r="D188" s="797"/>
      <c r="E188" s="797"/>
      <c r="F188" s="780"/>
      <c r="G188" s="797"/>
      <c r="H188" s="754"/>
      <c r="I188" s="755"/>
      <c r="J188" s="755"/>
    </row>
    <row r="189" spans="1:12" s="781" customFormat="1" ht="20.100000000000001" customHeight="1" x14ac:dyDescent="0.25">
      <c r="A189" s="899" t="s">
        <v>1392</v>
      </c>
      <c r="B189" s="899"/>
      <c r="C189" s="899"/>
      <c r="D189" s="899"/>
      <c r="E189" s="899"/>
      <c r="F189" s="899"/>
      <c r="G189" s="899"/>
      <c r="H189" s="899"/>
      <c r="I189" s="899"/>
      <c r="J189" s="899"/>
    </row>
    <row r="190" spans="1:12" s="781" customFormat="1" ht="20.100000000000001" customHeight="1" thickBot="1" x14ac:dyDescent="0.3">
      <c r="A190" s="900"/>
      <c r="B190" s="900"/>
      <c r="C190" s="900"/>
      <c r="D190" s="900"/>
      <c r="E190" s="900"/>
      <c r="F190" s="900"/>
      <c r="G190" s="900"/>
      <c r="H190" s="900"/>
      <c r="I190" s="900"/>
      <c r="J190" s="900"/>
    </row>
    <row r="191" spans="1:12" s="781" customFormat="1" ht="50.25" thickBot="1" x14ac:dyDescent="0.3">
      <c r="A191" s="783" t="s">
        <v>1393</v>
      </c>
      <c r="B191" s="784" t="s">
        <v>14</v>
      </c>
      <c r="C191" s="785" t="s">
        <v>1394</v>
      </c>
      <c r="D191" s="785" t="s">
        <v>17</v>
      </c>
      <c r="E191" s="785" t="s">
        <v>18</v>
      </c>
      <c r="F191" s="784" t="s">
        <v>19</v>
      </c>
      <c r="G191" s="752" t="s">
        <v>20</v>
      </c>
      <c r="H191" s="325" t="s">
        <v>21</v>
      </c>
      <c r="I191" s="752" t="s">
        <v>22</v>
      </c>
      <c r="J191" s="785" t="s">
        <v>23</v>
      </c>
    </row>
    <row r="192" spans="1:12" s="781" customFormat="1" ht="20.100000000000001" customHeight="1" x14ac:dyDescent="0.25">
      <c r="A192" s="786" t="s">
        <v>47</v>
      </c>
      <c r="B192" s="788">
        <v>451201.39</v>
      </c>
      <c r="C192" s="326">
        <v>421377.11</v>
      </c>
      <c r="D192" s="787"/>
      <c r="E192" s="787">
        <v>0</v>
      </c>
      <c r="F192" s="327">
        <f>B192+C192</f>
        <v>872578.5</v>
      </c>
      <c r="G192" s="787">
        <v>0</v>
      </c>
      <c r="H192" s="787">
        <f>G192/F192*100</f>
        <v>0</v>
      </c>
      <c r="I192" s="788">
        <f>F192-G192</f>
        <v>872578.5</v>
      </c>
      <c r="J192" s="327">
        <f>I192/F192*100</f>
        <v>100</v>
      </c>
      <c r="L192" s="806"/>
    </row>
    <row r="193" spans="1:12" s="781" customFormat="1" ht="20.100000000000001" customHeight="1" thickBot="1" x14ac:dyDescent="0.3">
      <c r="A193" s="790" t="s">
        <v>50</v>
      </c>
      <c r="B193" s="811"/>
      <c r="C193" s="517">
        <v>27010.11</v>
      </c>
      <c r="D193" s="791">
        <v>45.1</v>
      </c>
      <c r="E193" s="791"/>
      <c r="F193" s="791">
        <f>B193+C193-D193-E193</f>
        <v>26965.010000000002</v>
      </c>
      <c r="G193" s="791">
        <v>26965.01</v>
      </c>
      <c r="H193" s="791">
        <f>G193/F193*100</f>
        <v>99.999999999999986</v>
      </c>
      <c r="I193" s="811">
        <f>F193-G193</f>
        <v>0</v>
      </c>
      <c r="J193" s="451">
        <f>I193/F193*100</f>
        <v>0</v>
      </c>
      <c r="L193" s="806"/>
    </row>
    <row r="194" spans="1:12" s="781" customFormat="1" ht="20.100000000000001" customHeight="1" thickTop="1" thickBot="1" x14ac:dyDescent="0.3">
      <c r="A194" s="813" t="s">
        <v>36</v>
      </c>
      <c r="B194" s="815">
        <f t="shared" ref="B194:D194" si="20">SUM(B192:B193)</f>
        <v>451201.39</v>
      </c>
      <c r="C194" s="815">
        <f t="shared" si="20"/>
        <v>448387.22</v>
      </c>
      <c r="D194" s="518">
        <f t="shared" si="20"/>
        <v>45.1</v>
      </c>
      <c r="E194" s="518">
        <f>SUM(E192:E193)</f>
        <v>0</v>
      </c>
      <c r="F194" s="518">
        <f>SUM(F192:F193)</f>
        <v>899543.51</v>
      </c>
      <c r="G194" s="815">
        <f>SUM(G192:G193)</f>
        <v>26965.01</v>
      </c>
      <c r="H194" s="518">
        <f>G194/F194*100</f>
        <v>2.9976326548117718</v>
      </c>
      <c r="I194" s="518">
        <f>SUM(I192:I193)</f>
        <v>872578.5</v>
      </c>
      <c r="J194" s="518">
        <f t="shared" ref="J194" si="21">I194/F194*100</f>
        <v>97.002367345188219</v>
      </c>
      <c r="L194" s="796"/>
    </row>
    <row r="195" spans="1:12" s="781" customFormat="1" ht="20.100000000000001" customHeight="1" thickTop="1" x14ac:dyDescent="0.25">
      <c r="A195" s="767"/>
      <c r="B195" s="387"/>
      <c r="C195" s="735"/>
      <c r="D195" s="780"/>
      <c r="E195" s="780"/>
      <c r="F195" s="387"/>
      <c r="G195" s="387"/>
      <c r="H195" s="797"/>
      <c r="I195" s="115"/>
      <c r="J195" s="797"/>
    </row>
    <row r="196" spans="1:12" s="793" customFormat="1" ht="20.100000000000001" customHeight="1" x14ac:dyDescent="0.25">
      <c r="A196" s="713" t="s">
        <v>96</v>
      </c>
      <c r="B196" s="781"/>
      <c r="C196" s="781"/>
      <c r="D196" s="781"/>
      <c r="E196" s="781"/>
      <c r="F196" s="781"/>
      <c r="G196" s="781"/>
      <c r="H196" s="781"/>
      <c r="I196" s="755"/>
      <c r="J196" s="781"/>
    </row>
    <row r="197" spans="1:12" s="781" customFormat="1" ht="20.100000000000001" customHeight="1" x14ac:dyDescent="0.25">
      <c r="A197" s="31"/>
      <c r="B197" s="714" t="s">
        <v>47</v>
      </c>
      <c r="I197" s="755"/>
    </row>
    <row r="198" spans="1:12" s="781" customFormat="1" ht="20.100000000000001" customHeight="1" x14ac:dyDescent="0.25">
      <c r="A198" s="31"/>
      <c r="B198" s="768" t="s">
        <v>256</v>
      </c>
      <c r="C198" s="780">
        <f>128031.11+139022.35-6240.03-14420.63-14250.52-34810.02-14420.63</f>
        <v>182911.63000000003</v>
      </c>
      <c r="D198" s="780" t="s">
        <v>55</v>
      </c>
      <c r="E198" s="780" t="s">
        <v>1395</v>
      </c>
      <c r="F198" s="780"/>
      <c r="G198" s="797"/>
      <c r="H198" s="754"/>
      <c r="I198" s="755"/>
    </row>
    <row r="199" spans="1:12" s="781" customFormat="1" ht="20.100000000000001" customHeight="1" x14ac:dyDescent="0.25">
      <c r="A199" s="31"/>
      <c r="B199" s="768" t="s">
        <v>934</v>
      </c>
      <c r="C199" s="780">
        <f>34810+48458.74+14156.5</f>
        <v>97425.239999999991</v>
      </c>
      <c r="D199" s="780" t="s">
        <v>55</v>
      </c>
      <c r="E199" s="780" t="s">
        <v>1395</v>
      </c>
      <c r="F199" s="780"/>
      <c r="G199" s="797"/>
      <c r="H199" s="754"/>
      <c r="I199" s="755"/>
    </row>
    <row r="200" spans="1:12" s="781" customFormat="1" ht="20.100000000000001" customHeight="1" x14ac:dyDescent="0.25">
      <c r="A200" s="31"/>
      <c r="B200" s="768" t="s">
        <v>258</v>
      </c>
      <c r="C200" s="780">
        <f>64745.17+25852.93+155924.02-25852.93</f>
        <v>220669.19</v>
      </c>
      <c r="D200" s="780" t="s">
        <v>55</v>
      </c>
      <c r="E200" s="780" t="s">
        <v>1395</v>
      </c>
      <c r="F200" s="780"/>
      <c r="G200" s="797"/>
      <c r="H200" s="754"/>
      <c r="I200" s="755"/>
    </row>
    <row r="201" spans="1:12" s="781" customFormat="1" ht="20.100000000000001" customHeight="1" x14ac:dyDescent="0.25">
      <c r="A201" s="31"/>
      <c r="B201" s="768" t="s">
        <v>797</v>
      </c>
      <c r="C201" s="780">
        <f>175156.37+16891.97+36172.26+224202.61-72558.34-8292.43</f>
        <v>371572.44</v>
      </c>
      <c r="D201" s="780" t="s">
        <v>55</v>
      </c>
      <c r="E201" s="780" t="s">
        <v>1395</v>
      </c>
      <c r="F201" s="780"/>
      <c r="G201" s="797"/>
      <c r="H201" s="754"/>
      <c r="I201" s="755"/>
    </row>
    <row r="202" spans="1:12" s="781" customFormat="1" ht="20.100000000000001" customHeight="1" thickBot="1" x14ac:dyDescent="0.3">
      <c r="A202" s="31"/>
      <c r="B202" s="768"/>
      <c r="C202" s="514">
        <f>SUM(C198:C201)</f>
        <v>872578.5</v>
      </c>
      <c r="D202" s="780" t="s">
        <v>55</v>
      </c>
      <c r="E202" s="780"/>
      <c r="F202" s="780"/>
      <c r="G202" s="797"/>
      <c r="H202" s="754"/>
      <c r="I202" s="755"/>
    </row>
    <row r="203" spans="1:12" s="781" customFormat="1" ht="20.100000000000001" customHeight="1" thickTop="1" x14ac:dyDescent="0.25">
      <c r="A203" s="31"/>
      <c r="B203" s="768"/>
      <c r="C203" s="780"/>
      <c r="D203" s="780"/>
      <c r="F203" s="780"/>
      <c r="G203" s="797"/>
      <c r="H203" s="754"/>
      <c r="I203" s="755"/>
    </row>
    <row r="204" spans="1:12" s="781" customFormat="1" ht="20.100000000000001" customHeight="1" x14ac:dyDescent="0.25">
      <c r="A204" s="31"/>
      <c r="B204" s="768"/>
      <c r="C204" s="780"/>
      <c r="D204" s="780"/>
      <c r="F204" s="780"/>
      <c r="G204" s="797"/>
      <c r="H204" s="754"/>
      <c r="I204" s="755"/>
    </row>
    <row r="205" spans="1:12" s="781" customFormat="1" ht="20.100000000000001" customHeight="1" x14ac:dyDescent="0.25">
      <c r="A205" s="715" t="s">
        <v>37</v>
      </c>
      <c r="B205" s="33" t="s">
        <v>978</v>
      </c>
      <c r="C205" s="33"/>
      <c r="D205" s="780"/>
      <c r="F205" s="780"/>
      <c r="G205" s="797"/>
      <c r="H205" s="754"/>
      <c r="I205" s="755"/>
    </row>
    <row r="206" spans="1:12" s="781" customFormat="1" ht="20.100000000000001" customHeight="1" x14ac:dyDescent="0.25">
      <c r="A206" s="31"/>
      <c r="B206" s="736" t="s">
        <v>1284</v>
      </c>
      <c r="C206" s="780"/>
      <c r="D206" s="780"/>
      <c r="F206" s="780"/>
      <c r="G206" s="797"/>
      <c r="H206" s="754"/>
      <c r="I206" s="755"/>
    </row>
    <row r="208" spans="1:12" s="781" customFormat="1" ht="20.100000000000001" customHeight="1" x14ac:dyDescent="0.25">
      <c r="A208" s="899" t="s">
        <v>1448</v>
      </c>
      <c r="B208" s="899"/>
      <c r="C208" s="899"/>
      <c r="D208" s="899"/>
      <c r="E208" s="899"/>
      <c r="F208" s="899"/>
      <c r="G208" s="899"/>
      <c r="H208" s="899"/>
      <c r="I208" s="899"/>
      <c r="J208" s="899"/>
    </row>
    <row r="209" spans="1:12" s="781" customFormat="1" ht="20.100000000000001" customHeight="1" thickBot="1" x14ac:dyDescent="0.3">
      <c r="A209" s="900"/>
      <c r="B209" s="900"/>
      <c r="C209" s="900"/>
      <c r="D209" s="900"/>
      <c r="E209" s="900"/>
      <c r="F209" s="900"/>
      <c r="G209" s="900"/>
      <c r="H209" s="900"/>
      <c r="I209" s="900"/>
      <c r="J209" s="900"/>
    </row>
    <row r="210" spans="1:12" s="781" customFormat="1" ht="50.25" thickBot="1" x14ac:dyDescent="0.3">
      <c r="A210" s="783" t="s">
        <v>1449</v>
      </c>
      <c r="B210" s="784" t="s">
        <v>14</v>
      </c>
      <c r="C210" s="785" t="s">
        <v>1450</v>
      </c>
      <c r="D210" s="785" t="s">
        <v>17</v>
      </c>
      <c r="E210" s="785" t="s">
        <v>18</v>
      </c>
      <c r="F210" s="784" t="s">
        <v>19</v>
      </c>
      <c r="G210" s="752" t="s">
        <v>20</v>
      </c>
      <c r="H210" s="325" t="s">
        <v>21</v>
      </c>
      <c r="I210" s="752" t="s">
        <v>22</v>
      </c>
      <c r="J210" s="785" t="s">
        <v>23</v>
      </c>
    </row>
    <row r="211" spans="1:12" s="781" customFormat="1" ht="20.100000000000001" customHeight="1" x14ac:dyDescent="0.25">
      <c r="A211" s="786" t="s">
        <v>47</v>
      </c>
      <c r="B211" s="788">
        <v>872578.5</v>
      </c>
      <c r="C211" s="326">
        <v>519860.92</v>
      </c>
      <c r="D211" s="787"/>
      <c r="E211" s="787">
        <v>0</v>
      </c>
      <c r="F211" s="327">
        <f>B211+C211</f>
        <v>1392439.42</v>
      </c>
      <c r="G211" s="787">
        <v>0</v>
      </c>
      <c r="H211" s="787">
        <f>G211/F211*100</f>
        <v>0</v>
      </c>
      <c r="I211" s="788">
        <f>F211-G211</f>
        <v>1392439.42</v>
      </c>
      <c r="J211" s="327">
        <f>I211/F211*100</f>
        <v>100</v>
      </c>
      <c r="L211" s="806"/>
    </row>
    <row r="212" spans="1:12" s="781" customFormat="1" ht="20.100000000000001" customHeight="1" thickBot="1" x14ac:dyDescent="0.3">
      <c r="A212" s="790" t="s">
        <v>50</v>
      </c>
      <c r="B212" s="811"/>
      <c r="C212" s="517">
        <v>57509.31</v>
      </c>
      <c r="D212" s="791">
        <v>4591.01</v>
      </c>
      <c r="E212" s="791"/>
      <c r="F212" s="791">
        <f>B212+C212-D212-E212</f>
        <v>52918.299999999996</v>
      </c>
      <c r="G212" s="791">
        <v>33797.519999999997</v>
      </c>
      <c r="H212" s="791">
        <f>G212/F212*100</f>
        <v>63.867357794940503</v>
      </c>
      <c r="I212" s="811">
        <f>F212-G212</f>
        <v>19120.78</v>
      </c>
      <c r="J212" s="451">
        <f>I212/F212*100</f>
        <v>36.132642205059504</v>
      </c>
      <c r="L212" s="806"/>
    </row>
    <row r="213" spans="1:12" s="781" customFormat="1" ht="20.100000000000001" customHeight="1" thickTop="1" thickBot="1" x14ac:dyDescent="0.3">
      <c r="A213" s="813" t="s">
        <v>36</v>
      </c>
      <c r="B213" s="815">
        <f t="shared" ref="B213:D213" si="22">SUM(B211:B212)</f>
        <v>872578.5</v>
      </c>
      <c r="C213" s="815">
        <f t="shared" si="22"/>
        <v>577370.23</v>
      </c>
      <c r="D213" s="518">
        <f t="shared" si="22"/>
        <v>4591.01</v>
      </c>
      <c r="E213" s="518">
        <f>SUM(E211:E212)</f>
        <v>0</v>
      </c>
      <c r="F213" s="518">
        <f>SUM(F211:F212)</f>
        <v>1445357.72</v>
      </c>
      <c r="G213" s="815">
        <f>SUM(G211:G212)</f>
        <v>33797.519999999997</v>
      </c>
      <c r="H213" s="518">
        <f>G213/F213*100</f>
        <v>2.3383498446322339</v>
      </c>
      <c r="I213" s="518">
        <f>SUM(I211:I212)</f>
        <v>1411560.2</v>
      </c>
      <c r="J213" s="518">
        <f t="shared" ref="J213" si="23">I213/F213*100</f>
        <v>97.661650155367767</v>
      </c>
      <c r="L213" s="796"/>
    </row>
    <row r="214" spans="1:12" s="781" customFormat="1" ht="20.100000000000001" customHeight="1" thickTop="1" x14ac:dyDescent="0.25">
      <c r="A214" s="767"/>
      <c r="B214" s="387"/>
      <c r="C214" s="735"/>
      <c r="D214" s="780"/>
      <c r="E214" s="780"/>
      <c r="F214" s="387"/>
      <c r="G214" s="387"/>
      <c r="H214" s="797"/>
      <c r="I214" s="115"/>
      <c r="J214" s="797"/>
    </row>
    <row r="215" spans="1:12" s="793" customFormat="1" ht="20.100000000000001" customHeight="1" x14ac:dyDescent="0.25">
      <c r="A215" s="713" t="s">
        <v>96</v>
      </c>
      <c r="B215" s="781"/>
      <c r="C215" s="781"/>
      <c r="D215" s="781"/>
      <c r="E215" s="781"/>
      <c r="F215" s="781"/>
      <c r="G215" s="781"/>
      <c r="H215" s="781"/>
      <c r="I215" s="755"/>
      <c r="J215" s="781"/>
    </row>
    <row r="216" spans="1:12" s="781" customFormat="1" ht="20.100000000000001" customHeight="1" x14ac:dyDescent="0.25">
      <c r="A216" s="31"/>
      <c r="B216" s="714" t="s">
        <v>47</v>
      </c>
      <c r="I216" s="755"/>
    </row>
    <row r="217" spans="1:12" s="781" customFormat="1" ht="20.100000000000001" customHeight="1" x14ac:dyDescent="0.25">
      <c r="A217" s="31"/>
      <c r="B217" s="768" t="s">
        <v>256</v>
      </c>
      <c r="C217" s="780">
        <f>128031.11+139022.35-6240.03-14420.63-14250.52-34810.02-14420.63</f>
        <v>182911.63000000003</v>
      </c>
      <c r="D217" s="780" t="s">
        <v>55</v>
      </c>
      <c r="E217" s="780" t="s">
        <v>1453</v>
      </c>
      <c r="F217" s="780"/>
      <c r="G217" s="797"/>
      <c r="H217" s="754"/>
      <c r="I217" s="755"/>
    </row>
    <row r="218" spans="1:12" s="781" customFormat="1" ht="20.100000000000001" customHeight="1" x14ac:dyDescent="0.25">
      <c r="A218" s="31"/>
      <c r="B218" s="768" t="s">
        <v>934</v>
      </c>
      <c r="C218" s="780">
        <f>34810+48458.74+14156.5+158741.48</f>
        <v>256166.72</v>
      </c>
      <c r="D218" s="780" t="s">
        <v>55</v>
      </c>
      <c r="E218" s="780" t="s">
        <v>1453</v>
      </c>
      <c r="F218" s="780"/>
      <c r="G218" s="797"/>
      <c r="H218" s="754"/>
      <c r="I218" s="755"/>
    </row>
    <row r="219" spans="1:12" s="781" customFormat="1" ht="20.100000000000001" customHeight="1" x14ac:dyDescent="0.25">
      <c r="A219" s="31"/>
      <c r="B219" s="768" t="s">
        <v>258</v>
      </c>
      <c r="C219" s="780">
        <f>64745.17+25852.93+155924.02-25852.93+105412.34</f>
        <v>326081.53000000003</v>
      </c>
      <c r="D219" s="780" t="s">
        <v>55</v>
      </c>
      <c r="E219" s="780" t="s">
        <v>1453</v>
      </c>
      <c r="F219" s="780"/>
      <c r="G219" s="797"/>
      <c r="H219" s="754"/>
      <c r="I219" s="755"/>
    </row>
    <row r="220" spans="1:12" s="781" customFormat="1" ht="20.100000000000001" customHeight="1" x14ac:dyDescent="0.25">
      <c r="A220" s="31"/>
      <c r="B220" s="768" t="s">
        <v>797</v>
      </c>
      <c r="C220" s="780">
        <f>175156.37+16891.97+36172.26+224202.61-72558.34-8292.43+252330.88</f>
        <v>623903.32000000007</v>
      </c>
      <c r="D220" s="780" t="s">
        <v>55</v>
      </c>
      <c r="E220" s="780" t="s">
        <v>1453</v>
      </c>
      <c r="F220" s="780"/>
      <c r="G220" s="797"/>
      <c r="H220" s="754"/>
      <c r="I220" s="755"/>
    </row>
    <row r="221" spans="1:12" s="781" customFormat="1" ht="20.100000000000001" customHeight="1" x14ac:dyDescent="0.25">
      <c r="A221" s="31"/>
      <c r="B221" s="768" t="s">
        <v>1454</v>
      </c>
      <c r="C221" s="780">
        <v>3376.22</v>
      </c>
      <c r="D221" s="780" t="s">
        <v>55</v>
      </c>
      <c r="E221" s="780" t="s">
        <v>1455</v>
      </c>
      <c r="F221" s="780"/>
      <c r="G221" s="797"/>
      <c r="H221" s="754"/>
      <c r="I221" s="755"/>
    </row>
    <row r="222" spans="1:12" s="781" customFormat="1" ht="20.100000000000001" customHeight="1" thickBot="1" x14ac:dyDescent="0.3">
      <c r="A222" s="31"/>
      <c r="B222" s="768"/>
      <c r="C222" s="514">
        <f>SUM(C217:C220)</f>
        <v>1389063.2000000002</v>
      </c>
      <c r="D222" s="780" t="s">
        <v>55</v>
      </c>
      <c r="E222" s="780"/>
      <c r="F222" s="780"/>
      <c r="G222" s="797"/>
      <c r="H222" s="754"/>
      <c r="I222" s="755"/>
    </row>
    <row r="223" spans="1:12" s="781" customFormat="1" ht="20.100000000000001" customHeight="1" thickTop="1" x14ac:dyDescent="0.25">
      <c r="A223" s="31"/>
      <c r="B223" s="712" t="s">
        <v>50</v>
      </c>
      <c r="C223" s="780"/>
      <c r="D223" s="780"/>
      <c r="F223" s="780"/>
      <c r="G223" s="797"/>
      <c r="H223" s="754"/>
      <c r="I223" s="755"/>
    </row>
    <row r="224" spans="1:12" s="781" customFormat="1" ht="20.100000000000001" customHeight="1" x14ac:dyDescent="0.25">
      <c r="A224" s="31"/>
      <c r="B224" s="146" t="s">
        <v>1451</v>
      </c>
      <c r="C224" s="780">
        <v>19120.78</v>
      </c>
      <c r="D224" s="780" t="s">
        <v>55</v>
      </c>
      <c r="E224" s="781" t="s">
        <v>1452</v>
      </c>
      <c r="F224" s="780"/>
      <c r="G224" s="797"/>
      <c r="H224" s="754"/>
      <c r="I224" s="755"/>
    </row>
    <row r="225" spans="1:9" s="781" customFormat="1" ht="20.100000000000001" customHeight="1" x14ac:dyDescent="0.25">
      <c r="A225" s="715" t="s">
        <v>37</v>
      </c>
      <c r="B225" s="33" t="s">
        <v>978</v>
      </c>
      <c r="C225" s="33"/>
      <c r="D225" s="780"/>
      <c r="F225" s="780"/>
      <c r="G225" s="797"/>
      <c r="H225" s="754"/>
      <c r="I225" s="755"/>
    </row>
    <row r="226" spans="1:9" s="781" customFormat="1" ht="20.100000000000001" customHeight="1" x14ac:dyDescent="0.25">
      <c r="A226" s="31"/>
      <c r="B226" s="736" t="s">
        <v>1284</v>
      </c>
      <c r="C226" s="780"/>
      <c r="D226" s="780"/>
      <c r="F226" s="780"/>
      <c r="G226" s="797"/>
      <c r="H226" s="754"/>
      <c r="I226" s="755"/>
    </row>
  </sheetData>
  <mergeCells count="12">
    <mergeCell ref="A114:J115"/>
    <mergeCell ref="A99:J100"/>
    <mergeCell ref="A1:J2"/>
    <mergeCell ref="A15:J16"/>
    <mergeCell ref="A36:J37"/>
    <mergeCell ref="A57:J58"/>
    <mergeCell ref="A78:J79"/>
    <mergeCell ref="A208:J209"/>
    <mergeCell ref="A189:J190"/>
    <mergeCell ref="A155:J156"/>
    <mergeCell ref="A172:J173"/>
    <mergeCell ref="A134:J135"/>
  </mergeCells>
  <printOptions horizontalCentered="1"/>
  <pageMargins left="0.3" right="0.3" top="0.7" bottom="0.7" header="0.3" footer="0.3"/>
  <pageSetup scale="61" fitToHeight="0" orientation="landscape" verticalDpi="180" r:id="rId1"/>
  <headerFooter>
    <oddHeader>&amp;F</oddHeader>
    <oddFooter>&amp;A&amp;RPage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2"/>
  <sheetViews>
    <sheetView tabSelected="1" topLeftCell="A150" zoomScaleNormal="100" workbookViewId="0">
      <selection activeCell="F174" sqref="F174"/>
    </sheetView>
  </sheetViews>
  <sheetFormatPr defaultColWidth="37.5703125" defaultRowHeight="20.100000000000001" customHeight="1" x14ac:dyDescent="0.25"/>
  <cols>
    <col min="1" max="1" width="26" style="18" customWidth="1"/>
    <col min="2" max="3" width="20.7109375" style="18" customWidth="1"/>
    <col min="4" max="8" width="20.7109375" style="21" customWidth="1"/>
    <col min="9" max="9" width="20.7109375" style="22" customWidth="1"/>
    <col min="10" max="10" width="20.7109375" style="18" customWidth="1"/>
    <col min="11" max="16384" width="37.5703125" style="18"/>
  </cols>
  <sheetData>
    <row r="1" spans="1:10" ht="20.100000000000001" customHeight="1" x14ac:dyDescent="0.25">
      <c r="A1" s="899" t="s">
        <v>104</v>
      </c>
      <c r="B1" s="899"/>
      <c r="C1" s="899"/>
      <c r="D1" s="899"/>
      <c r="E1" s="899"/>
      <c r="F1" s="899"/>
      <c r="G1" s="899"/>
      <c r="H1" s="899"/>
      <c r="I1" s="899"/>
      <c r="J1" s="899"/>
    </row>
    <row r="2" spans="1:10" ht="20.100000000000001" customHeight="1" x14ac:dyDescent="0.25">
      <c r="C2" s="40"/>
    </row>
    <row r="3" spans="1:10" ht="33" x14ac:dyDescent="0.25">
      <c r="A3" s="228" t="s">
        <v>49</v>
      </c>
      <c r="B3" s="229" t="s">
        <v>40</v>
      </c>
      <c r="C3" s="230" t="s">
        <v>105</v>
      </c>
      <c r="D3" s="229" t="s">
        <v>42</v>
      </c>
      <c r="E3" s="229" t="s">
        <v>43</v>
      </c>
      <c r="F3" s="229" t="s">
        <v>44</v>
      </c>
      <c r="G3" s="229" t="s">
        <v>20</v>
      </c>
      <c r="H3" s="229" t="s">
        <v>45</v>
      </c>
      <c r="I3" s="229" t="s">
        <v>22</v>
      </c>
      <c r="J3" s="229" t="s">
        <v>46</v>
      </c>
    </row>
    <row r="4" spans="1:10" ht="20.100000000000001" customHeight="1" x14ac:dyDescent="0.25">
      <c r="A4" s="231" t="s">
        <v>47</v>
      </c>
      <c r="B4" s="232">
        <v>630081.35000000149</v>
      </c>
      <c r="C4" s="233">
        <f>12781866.75-20890.48</f>
        <v>12760976.27</v>
      </c>
      <c r="D4" s="234">
        <v>2958617.33</v>
      </c>
      <c r="E4" s="234">
        <v>115252.43</v>
      </c>
      <c r="F4" s="232">
        <f>B4+C4-D4-E4</f>
        <v>10317187.860000001</v>
      </c>
      <c r="G4" s="232">
        <f>13391057.62-D4-E4</f>
        <v>10317187.859999999</v>
      </c>
      <c r="H4" s="232">
        <f>+G4/F4*100</f>
        <v>99.999999999999972</v>
      </c>
      <c r="I4" s="232">
        <f>F4-G4</f>
        <v>0</v>
      </c>
      <c r="J4" s="232">
        <f>+I4/F4*100</f>
        <v>0</v>
      </c>
    </row>
    <row r="5" spans="1:10" ht="20.100000000000001" customHeight="1" thickBot="1" x14ac:dyDescent="0.3">
      <c r="A5" s="235" t="s">
        <v>106</v>
      </c>
      <c r="B5" s="335">
        <v>0</v>
      </c>
      <c r="C5" s="418">
        <v>24913028.530000001</v>
      </c>
      <c r="D5" s="236">
        <v>1910779.07</v>
      </c>
      <c r="E5" s="236">
        <v>771387</v>
      </c>
      <c r="F5" s="237">
        <f>B5+C5-D5-E5</f>
        <v>22230862.460000001</v>
      </c>
      <c r="G5" s="237">
        <f>24864360.19-D5-E5</f>
        <v>22182194.120000001</v>
      </c>
      <c r="H5" s="335">
        <f>+G5/F5*100</f>
        <v>99.781077589375727</v>
      </c>
      <c r="I5" s="237">
        <f>F5-G5</f>
        <v>48668.339999999851</v>
      </c>
      <c r="J5" s="335">
        <f>+I5/F5*100</f>
        <v>0.21892241062427881</v>
      </c>
    </row>
    <row r="6" spans="1:10" ht="20.100000000000001" customHeight="1" thickTop="1" thickBot="1" x14ac:dyDescent="0.3">
      <c r="A6" s="519" t="s">
        <v>36</v>
      </c>
      <c r="B6" s="520">
        <f t="shared" ref="B6:G6" si="0">SUM(B4:B5)</f>
        <v>630081.35000000149</v>
      </c>
      <c r="C6" s="521">
        <f t="shared" si="0"/>
        <v>37674004.799999997</v>
      </c>
      <c r="D6" s="522">
        <f t="shared" si="0"/>
        <v>4869396.4000000004</v>
      </c>
      <c r="E6" s="522">
        <f t="shared" si="0"/>
        <v>886639.42999999993</v>
      </c>
      <c r="F6" s="520">
        <f t="shared" si="0"/>
        <v>32548050.32</v>
      </c>
      <c r="G6" s="520">
        <f t="shared" si="0"/>
        <v>32499381.98</v>
      </c>
      <c r="H6" s="520">
        <f>+G6/F6*100</f>
        <v>99.85047233391397</v>
      </c>
      <c r="I6" s="520">
        <f>SUM(I4:I5)</f>
        <v>48668.339999999851</v>
      </c>
      <c r="J6" s="520">
        <f>+I6/F6*100</f>
        <v>0.1495276660860215</v>
      </c>
    </row>
    <row r="7" spans="1:10" ht="20.100000000000001" customHeight="1" thickTop="1" x14ac:dyDescent="0.25">
      <c r="A7" s="91"/>
      <c r="B7" s="37"/>
      <c r="C7" s="92"/>
      <c r="D7" s="37"/>
      <c r="E7" s="37"/>
      <c r="F7" s="37"/>
      <c r="G7" s="37"/>
      <c r="H7" s="37"/>
      <c r="I7" s="37"/>
      <c r="J7" s="37"/>
    </row>
    <row r="8" spans="1:10" ht="20.100000000000001" customHeight="1" x14ac:dyDescent="0.3">
      <c r="A8" s="133" t="s">
        <v>84</v>
      </c>
      <c r="B8" s="62" t="s">
        <v>107</v>
      </c>
      <c r="C8" s="49"/>
      <c r="D8" s="132"/>
      <c r="E8" s="132"/>
      <c r="F8" s="132"/>
      <c r="G8" s="132"/>
      <c r="H8" s="132"/>
      <c r="I8" s="17"/>
      <c r="J8" s="131"/>
    </row>
    <row r="9" spans="1:10" ht="20.100000000000001" customHeight="1" x14ac:dyDescent="0.3">
      <c r="A9" s="134" t="s">
        <v>96</v>
      </c>
      <c r="B9" s="135" t="s">
        <v>108</v>
      </c>
      <c r="C9" s="136" t="s">
        <v>52</v>
      </c>
      <c r="D9" s="132"/>
      <c r="E9" s="132"/>
      <c r="F9" s="132"/>
      <c r="G9" s="132"/>
      <c r="H9" s="132"/>
      <c r="I9" s="17"/>
      <c r="J9" s="131"/>
    </row>
    <row r="10" spans="1:10" ht="20.100000000000001" customHeight="1" x14ac:dyDescent="0.3">
      <c r="A10" s="131"/>
      <c r="B10" s="131" t="s">
        <v>106</v>
      </c>
      <c r="C10" s="49">
        <v>48668.339999999851</v>
      </c>
      <c r="D10" s="132"/>
      <c r="E10" s="132" t="s">
        <v>109</v>
      </c>
      <c r="F10" s="132"/>
      <c r="G10" s="132"/>
      <c r="H10" s="132"/>
      <c r="I10" s="17"/>
      <c r="J10" s="131"/>
    </row>
    <row r="11" spans="1:10" ht="20.100000000000001" customHeight="1" thickBot="1" x14ac:dyDescent="0.35">
      <c r="A11" s="131"/>
      <c r="B11" s="131"/>
      <c r="C11" s="241">
        <f>SUM(C10:C10)</f>
        <v>48668.339999999851</v>
      </c>
      <c r="D11" s="132"/>
      <c r="E11" s="132"/>
      <c r="F11" s="132"/>
      <c r="G11" s="132"/>
      <c r="H11" s="132"/>
      <c r="I11" s="17"/>
      <c r="J11" s="131"/>
    </row>
    <row r="12" spans="1:10" ht="20.100000000000001" customHeight="1" thickTop="1" x14ac:dyDescent="0.25">
      <c r="C12" s="40"/>
    </row>
    <row r="13" spans="1:10" ht="20.100000000000001" customHeight="1" x14ac:dyDescent="0.25">
      <c r="A13" s="133"/>
      <c r="C13" s="40"/>
      <c r="E13" s="37"/>
      <c r="F13" s="37"/>
      <c r="G13" s="37"/>
      <c r="H13" s="37"/>
      <c r="I13" s="37"/>
      <c r="J13" s="37"/>
    </row>
    <row r="14" spans="1:10" ht="20.100000000000001" customHeight="1" x14ac:dyDescent="0.25">
      <c r="A14" s="899" t="s">
        <v>270</v>
      </c>
      <c r="B14" s="899"/>
      <c r="C14" s="899"/>
      <c r="D14" s="899"/>
      <c r="E14" s="899"/>
      <c r="F14" s="899"/>
      <c r="G14" s="899"/>
      <c r="H14" s="899"/>
      <c r="I14" s="899"/>
      <c r="J14" s="899"/>
    </row>
    <row r="15" spans="1:10" ht="20.100000000000001" customHeight="1" x14ac:dyDescent="0.25">
      <c r="A15" s="354"/>
      <c r="B15" s="354"/>
      <c r="C15" s="368"/>
      <c r="D15" s="357"/>
      <c r="E15" s="357"/>
      <c r="F15" s="357"/>
      <c r="G15" s="357"/>
      <c r="H15" s="357"/>
      <c r="J15" s="354"/>
    </row>
    <row r="16" spans="1:10" ht="33" x14ac:dyDescent="0.25">
      <c r="A16" s="228" t="s">
        <v>271</v>
      </c>
      <c r="B16" s="229" t="s">
        <v>40</v>
      </c>
      <c r="C16" s="230" t="s">
        <v>272</v>
      </c>
      <c r="D16" s="229" t="s">
        <v>42</v>
      </c>
      <c r="E16" s="229" t="s">
        <v>43</v>
      </c>
      <c r="F16" s="229" t="s">
        <v>44</v>
      </c>
      <c r="G16" s="229" t="s">
        <v>20</v>
      </c>
      <c r="H16" s="229" t="s">
        <v>45</v>
      </c>
      <c r="I16" s="229" t="s">
        <v>22</v>
      </c>
      <c r="J16" s="229" t="s">
        <v>46</v>
      </c>
    </row>
    <row r="17" spans="1:10" ht="16.5" x14ac:dyDescent="0.25">
      <c r="A17" s="231" t="s">
        <v>47</v>
      </c>
      <c r="B17" s="377">
        <v>0</v>
      </c>
      <c r="C17" s="383">
        <f>17342995.05-29883.58</f>
        <v>17313111.470000003</v>
      </c>
      <c r="D17" s="234">
        <v>4697994.16</v>
      </c>
      <c r="E17" s="234">
        <f>28045.51+175.69</f>
        <v>28221.199999999997</v>
      </c>
      <c r="F17" s="377">
        <f>B17+C17-D17-E17</f>
        <v>12586896.110000003</v>
      </c>
      <c r="G17" s="377">
        <f>16587159.39+63983.44-D17-E17</f>
        <v>11924927.470000001</v>
      </c>
      <c r="H17" s="377">
        <f>+G17/F17*100</f>
        <v>94.74081112440355</v>
      </c>
      <c r="I17" s="377">
        <f>F17-G17</f>
        <v>661968.64000000246</v>
      </c>
      <c r="J17" s="377">
        <f>+I17/F17*100</f>
        <v>5.2591888755964504</v>
      </c>
    </row>
    <row r="18" spans="1:10" ht="20.100000000000001" customHeight="1" thickBot="1" x14ac:dyDescent="0.3">
      <c r="A18" s="235" t="s">
        <v>106</v>
      </c>
      <c r="B18" s="335">
        <v>48668.339999999851</v>
      </c>
      <c r="C18" s="418">
        <v>17078663.120000001</v>
      </c>
      <c r="D18" s="236">
        <v>3875210.07</v>
      </c>
      <c r="E18" s="236">
        <v>3475.58</v>
      </c>
      <c r="F18" s="237">
        <f>B18+C18-D18-E18</f>
        <v>13248645.810000001</v>
      </c>
      <c r="G18" s="237">
        <f>17025140.25-D18-E18</f>
        <v>13146454.6</v>
      </c>
      <c r="H18" s="335">
        <f>+G18/F18*100</f>
        <v>99.228666752319185</v>
      </c>
      <c r="I18" s="237">
        <f>F18-G18</f>
        <v>102191.21000000089</v>
      </c>
      <c r="J18" s="335">
        <f>+I18/F18*100</f>
        <v>0.77133324768081246</v>
      </c>
    </row>
    <row r="19" spans="1:10" ht="20.100000000000001" customHeight="1" thickTop="1" thickBot="1" x14ac:dyDescent="0.3">
      <c r="A19" s="519" t="s">
        <v>36</v>
      </c>
      <c r="B19" s="520">
        <f t="shared" ref="B19:G19" si="1">SUM(B17:B18)</f>
        <v>48668.339999999851</v>
      </c>
      <c r="C19" s="521">
        <f t="shared" si="1"/>
        <v>34391774.590000004</v>
      </c>
      <c r="D19" s="522">
        <f t="shared" si="1"/>
        <v>8573204.2300000004</v>
      </c>
      <c r="E19" s="522">
        <f t="shared" si="1"/>
        <v>31696.78</v>
      </c>
      <c r="F19" s="520">
        <f t="shared" si="1"/>
        <v>25835541.920000002</v>
      </c>
      <c r="G19" s="520">
        <f t="shared" si="1"/>
        <v>25071382.07</v>
      </c>
      <c r="H19" s="520">
        <f>+G19/F19*100</f>
        <v>97.042214742906381</v>
      </c>
      <c r="I19" s="520">
        <f>SUM(I17:I18)</f>
        <v>764159.85000000335</v>
      </c>
      <c r="J19" s="520">
        <f>+I19/F19*100</f>
        <v>2.9577852570936249</v>
      </c>
    </row>
    <row r="20" spans="1:10" ht="20.100000000000001" customHeight="1" thickTop="1" x14ac:dyDescent="0.25">
      <c r="A20" s="91"/>
      <c r="B20" s="37"/>
      <c r="C20" s="92"/>
      <c r="D20" s="37"/>
      <c r="E20" s="37"/>
      <c r="F20" s="37"/>
      <c r="G20" s="37"/>
      <c r="H20" s="37"/>
      <c r="I20" s="37"/>
      <c r="J20" s="37"/>
    </row>
    <row r="21" spans="1:10" ht="20.100000000000001" customHeight="1" x14ac:dyDescent="0.3">
      <c r="A21" s="363" t="s">
        <v>84</v>
      </c>
      <c r="B21" s="62" t="s">
        <v>107</v>
      </c>
      <c r="C21" s="49"/>
      <c r="D21" s="132"/>
      <c r="E21" s="132"/>
      <c r="F21" s="132"/>
      <c r="G21" s="132"/>
      <c r="H21" s="132"/>
      <c r="I21" s="17"/>
      <c r="J21" s="131"/>
    </row>
    <row r="22" spans="1:10" ht="20.100000000000001" customHeight="1" x14ac:dyDescent="0.3">
      <c r="A22" s="134" t="s">
        <v>96</v>
      </c>
      <c r="B22" s="135" t="s">
        <v>273</v>
      </c>
      <c r="C22" s="136" t="s">
        <v>52</v>
      </c>
      <c r="D22" s="132"/>
      <c r="E22" s="132"/>
      <c r="F22" s="132"/>
      <c r="G22" s="132"/>
      <c r="H22" s="132"/>
      <c r="I22" s="17"/>
      <c r="J22" s="131"/>
    </row>
    <row r="23" spans="1:10" ht="20.100000000000001" customHeight="1" x14ac:dyDescent="0.3">
      <c r="A23" s="131"/>
      <c r="B23" s="131" t="s">
        <v>47</v>
      </c>
      <c r="C23" s="49">
        <v>661968.64000000246</v>
      </c>
      <c r="D23" s="132"/>
      <c r="E23" s="132" t="s">
        <v>274</v>
      </c>
      <c r="F23" s="132"/>
      <c r="G23" s="132"/>
      <c r="H23" s="132"/>
      <c r="I23" s="17"/>
      <c r="J23" s="131"/>
    </row>
    <row r="24" spans="1:10" ht="20.100000000000001" customHeight="1" x14ac:dyDescent="0.3">
      <c r="A24" s="131"/>
      <c r="B24" s="131" t="s">
        <v>106</v>
      </c>
      <c r="C24" s="49">
        <v>102191.21000000089</v>
      </c>
      <c r="D24" s="132"/>
      <c r="E24" s="132" t="s">
        <v>274</v>
      </c>
      <c r="F24" s="132"/>
      <c r="G24" s="132"/>
      <c r="H24" s="132"/>
      <c r="I24" s="17"/>
      <c r="J24" s="131"/>
    </row>
    <row r="25" spans="1:10" ht="20.100000000000001" customHeight="1" thickBot="1" x14ac:dyDescent="0.35">
      <c r="A25" s="131"/>
      <c r="B25" s="131"/>
      <c r="C25" s="241">
        <f>SUM(C23:C24)</f>
        <v>764159.85000000335</v>
      </c>
      <c r="D25" s="132"/>
      <c r="E25" s="132"/>
      <c r="F25" s="132"/>
      <c r="G25" s="132"/>
      <c r="H25" s="132"/>
      <c r="I25" s="17"/>
      <c r="J25" s="131"/>
    </row>
    <row r="26" spans="1:10" ht="20.100000000000001" customHeight="1" thickTop="1" x14ac:dyDescent="0.3">
      <c r="A26" s="131"/>
      <c r="B26" s="131"/>
      <c r="C26" s="49"/>
      <c r="D26" s="132"/>
      <c r="E26" s="132"/>
      <c r="F26" s="132"/>
      <c r="G26" s="132"/>
      <c r="H26" s="132"/>
      <c r="I26" s="17"/>
      <c r="J26" s="131"/>
    </row>
    <row r="27" spans="1:10" ht="20.100000000000001" customHeight="1" x14ac:dyDescent="0.3">
      <c r="A27" s="131"/>
      <c r="B27" s="131"/>
      <c r="C27" s="49"/>
      <c r="D27" s="132"/>
      <c r="E27" s="132"/>
      <c r="F27" s="132"/>
      <c r="G27" s="132"/>
      <c r="H27" s="132"/>
      <c r="I27" s="17"/>
      <c r="J27" s="131"/>
    </row>
    <row r="28" spans="1:10" ht="20.100000000000001" customHeight="1" x14ac:dyDescent="0.25">
      <c r="A28" s="899" t="s">
        <v>431</v>
      </c>
      <c r="B28" s="899"/>
      <c r="C28" s="899"/>
      <c r="D28" s="899"/>
      <c r="E28" s="899"/>
      <c r="F28" s="899"/>
      <c r="G28" s="899"/>
      <c r="H28" s="899"/>
      <c r="I28" s="899"/>
      <c r="J28" s="899"/>
    </row>
    <row r="29" spans="1:10" ht="20.100000000000001" customHeight="1" x14ac:dyDescent="0.25">
      <c r="A29" s="354"/>
      <c r="B29" s="354"/>
      <c r="C29" s="368"/>
      <c r="D29" s="357"/>
      <c r="E29" s="357"/>
      <c r="F29" s="357"/>
      <c r="G29" s="357"/>
      <c r="H29" s="357"/>
      <c r="J29" s="354"/>
    </row>
    <row r="30" spans="1:10" ht="33" x14ac:dyDescent="0.25">
      <c r="A30" s="228" t="s">
        <v>374</v>
      </c>
      <c r="B30" s="229" t="s">
        <v>40</v>
      </c>
      <c r="C30" s="230" t="s">
        <v>432</v>
      </c>
      <c r="D30" s="229" t="s">
        <v>42</v>
      </c>
      <c r="E30" s="229" t="s">
        <v>43</v>
      </c>
      <c r="F30" s="229" t="s">
        <v>44</v>
      </c>
      <c r="G30" s="229" t="s">
        <v>20</v>
      </c>
      <c r="H30" s="229" t="s">
        <v>45</v>
      </c>
      <c r="I30" s="229" t="s">
        <v>22</v>
      </c>
      <c r="J30" s="229" t="s">
        <v>46</v>
      </c>
    </row>
    <row r="31" spans="1:10" ht="20.100000000000001" customHeight="1" x14ac:dyDescent="0.25">
      <c r="A31" s="231" t="s">
        <v>47</v>
      </c>
      <c r="B31" s="377">
        <v>661968.64000000246</v>
      </c>
      <c r="C31" s="383">
        <f>13347960.01-52606.56</f>
        <v>13295353.449999999</v>
      </c>
      <c r="D31" s="234">
        <v>3892746.42</v>
      </c>
      <c r="E31" s="234">
        <v>175.69</v>
      </c>
      <c r="F31" s="377">
        <f>B31+C31-D31-E31</f>
        <v>10064399.980000002</v>
      </c>
      <c r="G31" s="377">
        <f>13957322.09-D31-E31</f>
        <v>10064399.98</v>
      </c>
      <c r="H31" s="377">
        <f>+G31/F31*100</f>
        <v>99.999999999999972</v>
      </c>
      <c r="I31" s="377">
        <f>F31-G31</f>
        <v>0</v>
      </c>
      <c r="J31" s="377">
        <f>+I31/F31*100</f>
        <v>0</v>
      </c>
    </row>
    <row r="32" spans="1:10" ht="20.100000000000001" customHeight="1" thickBot="1" x14ac:dyDescent="0.3">
      <c r="A32" s="235" t="s">
        <v>106</v>
      </c>
      <c r="B32" s="335">
        <v>102191.21000000089</v>
      </c>
      <c r="C32" s="418">
        <v>12241217.789999999</v>
      </c>
      <c r="D32" s="236">
        <v>710096.66</v>
      </c>
      <c r="E32" s="236">
        <v>0</v>
      </c>
      <c r="F32" s="237">
        <f>B32+C32-D32-E32</f>
        <v>11633312.34</v>
      </c>
      <c r="G32" s="237">
        <f>11022436.43-D32-E32</f>
        <v>10312339.77</v>
      </c>
      <c r="H32" s="335">
        <f>+G32/F32*100</f>
        <v>88.644914437155037</v>
      </c>
      <c r="I32" s="237">
        <f>F32-G32</f>
        <v>1320972.5700000003</v>
      </c>
      <c r="J32" s="335">
        <f>+I32/F32*100</f>
        <v>11.355085562844952</v>
      </c>
    </row>
    <row r="33" spans="1:10" ht="18" thickTop="1" thickBot="1" x14ac:dyDescent="0.3">
      <c r="A33" s="519" t="s">
        <v>36</v>
      </c>
      <c r="B33" s="520">
        <f t="shared" ref="B33:G33" si="2">SUM(B31:B32)</f>
        <v>764159.85000000335</v>
      </c>
      <c r="C33" s="521">
        <f t="shared" si="2"/>
        <v>25536571.239999998</v>
      </c>
      <c r="D33" s="522">
        <f t="shared" si="2"/>
        <v>4602843.08</v>
      </c>
      <c r="E33" s="522">
        <f t="shared" si="2"/>
        <v>175.69</v>
      </c>
      <c r="F33" s="520">
        <f t="shared" si="2"/>
        <v>21697712.32</v>
      </c>
      <c r="G33" s="520">
        <f t="shared" si="2"/>
        <v>20376739.75</v>
      </c>
      <c r="H33" s="520">
        <f>+G33/F33*100</f>
        <v>93.911926978668689</v>
      </c>
      <c r="I33" s="520">
        <f>SUM(I31:I32)</f>
        <v>1320972.5700000003</v>
      </c>
      <c r="J33" s="520">
        <f>+I33/F33*100</f>
        <v>6.0880730213313115</v>
      </c>
    </row>
    <row r="34" spans="1:10" ht="20.100000000000001" customHeight="1" thickTop="1" x14ac:dyDescent="0.25">
      <c r="A34" s="91"/>
      <c r="B34" s="37"/>
      <c r="C34" s="92"/>
      <c r="D34" s="37"/>
      <c r="E34" s="37"/>
      <c r="F34" s="37"/>
      <c r="G34" s="37"/>
      <c r="H34" s="37"/>
      <c r="I34" s="37"/>
      <c r="J34" s="37"/>
    </row>
    <row r="35" spans="1:10" ht="20.100000000000001" customHeight="1" x14ac:dyDescent="0.3">
      <c r="A35" s="363" t="s">
        <v>84</v>
      </c>
      <c r="B35" s="131" t="s">
        <v>107</v>
      </c>
      <c r="C35" s="49"/>
      <c r="D35" s="132"/>
      <c r="E35" s="132"/>
      <c r="F35" s="132"/>
      <c r="G35" s="132"/>
      <c r="H35" s="132"/>
      <c r="I35" s="17"/>
      <c r="J35" s="131"/>
    </row>
    <row r="36" spans="1:10" ht="20.100000000000001" customHeight="1" x14ac:dyDescent="0.3">
      <c r="A36" s="131"/>
      <c r="B36" s="131"/>
      <c r="C36" s="49"/>
      <c r="D36" s="132"/>
      <c r="E36" s="132"/>
      <c r="F36" s="132"/>
      <c r="G36" s="132"/>
      <c r="H36" s="132"/>
      <c r="I36" s="17"/>
      <c r="J36" s="131"/>
    </row>
    <row r="37" spans="1:10" ht="20.100000000000001" customHeight="1" x14ac:dyDescent="0.3">
      <c r="A37" s="134" t="s">
        <v>96</v>
      </c>
      <c r="B37" s="135" t="s">
        <v>433</v>
      </c>
      <c r="C37" s="136" t="s">
        <v>52</v>
      </c>
      <c r="D37" s="132"/>
      <c r="E37" s="132"/>
      <c r="F37" s="132"/>
      <c r="G37" s="132"/>
      <c r="H37" s="132"/>
      <c r="I37" s="17"/>
      <c r="J37" s="131"/>
    </row>
    <row r="38" spans="1:10" ht="20.100000000000001" customHeight="1" x14ac:dyDescent="0.3">
      <c r="A38" s="131"/>
      <c r="B38" s="131" t="s">
        <v>106</v>
      </c>
      <c r="C38" s="49">
        <v>1320972.5700000003</v>
      </c>
      <c r="D38" s="132"/>
      <c r="E38" s="132" t="s">
        <v>434</v>
      </c>
      <c r="F38" s="132"/>
      <c r="G38" s="132"/>
      <c r="H38" s="132"/>
      <c r="I38" s="17"/>
      <c r="J38" s="131"/>
    </row>
    <row r="39" spans="1:10" s="119" customFormat="1" ht="20.100000000000001" customHeight="1" x14ac:dyDescent="0.3">
      <c r="A39" s="131"/>
      <c r="B39" s="131"/>
      <c r="C39" s="49"/>
      <c r="D39" s="132"/>
      <c r="E39" s="132"/>
      <c r="F39" s="132"/>
      <c r="G39" s="132"/>
      <c r="H39" s="132"/>
      <c r="I39" s="17"/>
      <c r="J39" s="131"/>
    </row>
    <row r="40" spans="1:10" ht="20.100000000000001" customHeight="1" x14ac:dyDescent="0.25">
      <c r="A40" s="899" t="s">
        <v>539</v>
      </c>
      <c r="B40" s="899"/>
      <c r="C40" s="899"/>
      <c r="D40" s="899"/>
      <c r="E40" s="899"/>
      <c r="F40" s="899"/>
      <c r="G40" s="899"/>
      <c r="H40" s="899"/>
      <c r="I40" s="899"/>
      <c r="J40" s="899"/>
    </row>
    <row r="41" spans="1:10" ht="20.100000000000001" customHeight="1" x14ac:dyDescent="0.25">
      <c r="A41" s="354"/>
      <c r="B41" s="354"/>
      <c r="C41" s="368"/>
      <c r="D41" s="357"/>
      <c r="E41" s="357"/>
      <c r="F41" s="357"/>
      <c r="G41" s="357"/>
      <c r="H41" s="357"/>
      <c r="J41" s="354"/>
    </row>
    <row r="42" spans="1:10" ht="33" x14ac:dyDescent="0.25">
      <c r="A42" s="228" t="s">
        <v>540</v>
      </c>
      <c r="B42" s="229" t="s">
        <v>40</v>
      </c>
      <c r="C42" s="230" t="s">
        <v>541</v>
      </c>
      <c r="D42" s="229" t="s">
        <v>42</v>
      </c>
      <c r="E42" s="229" t="s">
        <v>43</v>
      </c>
      <c r="F42" s="229" t="s">
        <v>44</v>
      </c>
      <c r="G42" s="229" t="s">
        <v>20</v>
      </c>
      <c r="H42" s="229" t="s">
        <v>45</v>
      </c>
      <c r="I42" s="229" t="s">
        <v>22</v>
      </c>
      <c r="J42" s="229" t="s">
        <v>46</v>
      </c>
    </row>
    <row r="43" spans="1:10" ht="20.100000000000001" customHeight="1" x14ac:dyDescent="0.25">
      <c r="A43" s="231" t="s">
        <v>47</v>
      </c>
      <c r="B43" s="377">
        <v>0</v>
      </c>
      <c r="C43" s="383">
        <f>19977149.87-6442.57</f>
        <v>19970707.300000001</v>
      </c>
      <c r="D43" s="234">
        <v>3203066.16</v>
      </c>
      <c r="E43" s="234">
        <v>357605.29</v>
      </c>
      <c r="F43" s="377">
        <f>B43+C43-D43-E43</f>
        <v>16410035.850000001</v>
      </c>
      <c r="G43" s="377">
        <f>19970707.3-D43-E43</f>
        <v>16410035.850000001</v>
      </c>
      <c r="H43" s="377">
        <f>+G43/F43*100</f>
        <v>100</v>
      </c>
      <c r="I43" s="377">
        <f>F43-G43</f>
        <v>0</v>
      </c>
      <c r="J43" s="377">
        <f>+I43/F43*100</f>
        <v>0</v>
      </c>
    </row>
    <row r="44" spans="1:10" ht="20.100000000000001" customHeight="1" x14ac:dyDescent="0.25">
      <c r="A44" s="235" t="s">
        <v>106</v>
      </c>
      <c r="B44" s="238">
        <v>1320972.5700000003</v>
      </c>
      <c r="C44" s="383">
        <v>12043501.549999999</v>
      </c>
      <c r="D44" s="236">
        <v>910523.67</v>
      </c>
      <c r="E44" s="236">
        <v>0</v>
      </c>
      <c r="F44" s="237">
        <f>B44+C44-D44-E44</f>
        <v>12453950.449999999</v>
      </c>
      <c r="G44" s="237">
        <f>13364474.12-D44-E44</f>
        <v>12453950.449999999</v>
      </c>
      <c r="H44" s="377">
        <f>+G44/F44*100</f>
        <v>100</v>
      </c>
      <c r="I44" s="238">
        <f>F44-G44</f>
        <v>0</v>
      </c>
      <c r="J44" s="377">
        <f>+I44/F44*100</f>
        <v>0</v>
      </c>
    </row>
    <row r="45" spans="1:10" ht="20.100000000000001" customHeight="1" thickBot="1" x14ac:dyDescent="0.3">
      <c r="A45" s="575" t="s">
        <v>36</v>
      </c>
      <c r="B45" s="239">
        <f t="shared" ref="B45:G45" si="3">SUM(B43:B44)</f>
        <v>1320972.5700000003</v>
      </c>
      <c r="C45" s="576">
        <f t="shared" si="3"/>
        <v>32014208.850000001</v>
      </c>
      <c r="D45" s="240">
        <f t="shared" si="3"/>
        <v>4113589.83</v>
      </c>
      <c r="E45" s="240">
        <f t="shared" si="3"/>
        <v>357605.29</v>
      </c>
      <c r="F45" s="239">
        <f t="shared" si="3"/>
        <v>28863986.300000001</v>
      </c>
      <c r="G45" s="239">
        <f t="shared" si="3"/>
        <v>28863986.300000001</v>
      </c>
      <c r="H45" s="239">
        <f>+G45/F45*100</f>
        <v>100</v>
      </c>
      <c r="I45" s="239">
        <f>SUM(I43:I44)</f>
        <v>0</v>
      </c>
      <c r="J45" s="239">
        <f>+I45/F45*100</f>
        <v>0</v>
      </c>
    </row>
    <row r="46" spans="1:10" ht="20.100000000000001" customHeight="1" thickTop="1" x14ac:dyDescent="0.25">
      <c r="A46" s="91"/>
      <c r="B46" s="37"/>
      <c r="C46" s="92"/>
      <c r="D46" s="37"/>
      <c r="E46" s="37"/>
      <c r="F46" s="37"/>
      <c r="G46" s="37"/>
      <c r="H46" s="37"/>
      <c r="I46" s="37"/>
      <c r="J46" s="37"/>
    </row>
    <row r="47" spans="1:10" ht="20.100000000000001" customHeight="1" x14ac:dyDescent="0.3">
      <c r="A47" s="363" t="s">
        <v>84</v>
      </c>
      <c r="B47" s="131" t="s">
        <v>107</v>
      </c>
      <c r="C47" s="49"/>
      <c r="D47" s="132"/>
      <c r="E47" s="132"/>
      <c r="F47" s="132"/>
      <c r="G47" s="132"/>
      <c r="H47" s="132"/>
      <c r="I47" s="17"/>
      <c r="J47" s="131"/>
    </row>
    <row r="48" spans="1:10" ht="20.100000000000001" customHeight="1" x14ac:dyDescent="0.3">
      <c r="A48" s="131"/>
      <c r="B48" s="131"/>
      <c r="C48" s="49"/>
      <c r="D48" s="132"/>
      <c r="E48" s="132"/>
      <c r="F48" s="132"/>
      <c r="G48" s="132"/>
      <c r="H48" s="132"/>
      <c r="I48" s="17"/>
      <c r="J48" s="131"/>
    </row>
    <row r="49" spans="1:11" ht="20.100000000000001" customHeight="1" x14ac:dyDescent="0.25">
      <c r="A49" s="905"/>
      <c r="B49" s="905"/>
      <c r="C49" s="905"/>
      <c r="D49" s="905"/>
      <c r="E49" s="905"/>
      <c r="F49" s="905"/>
      <c r="G49" s="905"/>
      <c r="H49" s="905"/>
      <c r="I49" s="905"/>
      <c r="J49" s="905"/>
    </row>
    <row r="50" spans="1:11" s="131" customFormat="1" ht="16.5" x14ac:dyDescent="0.3">
      <c r="A50" s="899" t="s">
        <v>684</v>
      </c>
      <c r="B50" s="899"/>
      <c r="C50" s="899"/>
      <c r="D50" s="899"/>
      <c r="E50" s="899"/>
      <c r="F50" s="899"/>
      <c r="G50" s="899"/>
      <c r="H50" s="899"/>
      <c r="I50" s="899"/>
      <c r="J50" s="899"/>
      <c r="K50" s="49"/>
    </row>
    <row r="51" spans="1:11" s="131" customFormat="1" ht="16.5" x14ac:dyDescent="0.3">
      <c r="A51" s="354"/>
      <c r="B51" s="354"/>
      <c r="C51" s="368"/>
      <c r="D51" s="357"/>
      <c r="E51" s="357"/>
      <c r="F51" s="357"/>
      <c r="G51" s="357"/>
      <c r="H51" s="357"/>
      <c r="I51" s="22"/>
      <c r="J51" s="354"/>
      <c r="K51" s="49"/>
    </row>
    <row r="52" spans="1:11" s="131" customFormat="1" ht="33" x14ac:dyDescent="0.3">
      <c r="A52" s="228" t="s">
        <v>589</v>
      </c>
      <c r="B52" s="229" t="s">
        <v>40</v>
      </c>
      <c r="C52" s="230" t="s">
        <v>685</v>
      </c>
      <c r="D52" s="229" t="s">
        <v>42</v>
      </c>
      <c r="E52" s="229" t="s">
        <v>43</v>
      </c>
      <c r="F52" s="229" t="s">
        <v>44</v>
      </c>
      <c r="G52" s="229" t="s">
        <v>20</v>
      </c>
      <c r="H52" s="229" t="s">
        <v>45</v>
      </c>
      <c r="I52" s="229" t="s">
        <v>22</v>
      </c>
      <c r="J52" s="229" t="s">
        <v>46</v>
      </c>
      <c r="K52" s="49"/>
    </row>
    <row r="53" spans="1:11" s="131" customFormat="1" ht="16.5" x14ac:dyDescent="0.3">
      <c r="A53" s="231" t="s">
        <v>47</v>
      </c>
      <c r="B53" s="377">
        <v>0</v>
      </c>
      <c r="C53" s="383">
        <f>21490833.45-382433.02</f>
        <v>21108400.43</v>
      </c>
      <c r="D53" s="234">
        <v>3750113.56</v>
      </c>
      <c r="E53" s="234">
        <v>236676.13</v>
      </c>
      <c r="F53" s="377">
        <f>B53+C53-D53-E53</f>
        <v>17121610.740000002</v>
      </c>
      <c r="G53" s="377">
        <f>19613823.35-D53-E53</f>
        <v>15627033.66</v>
      </c>
      <c r="H53" s="377">
        <f>+G53/F53*100</f>
        <v>91.270814979408883</v>
      </c>
      <c r="I53" s="377">
        <f>F53-G53</f>
        <v>1494577.0800000019</v>
      </c>
      <c r="J53" s="377">
        <f>+I53/F53*100</f>
        <v>8.7291850205911281</v>
      </c>
      <c r="K53" s="49"/>
    </row>
    <row r="54" spans="1:11" s="131" customFormat="1" ht="16.5" x14ac:dyDescent="0.3">
      <c r="A54" s="235" t="s">
        <v>106</v>
      </c>
      <c r="B54" s="238">
        <v>0</v>
      </c>
      <c r="C54" s="383">
        <v>21673838.489999998</v>
      </c>
      <c r="D54" s="236">
        <v>604204.66</v>
      </c>
      <c r="E54" s="236">
        <v>0</v>
      </c>
      <c r="F54" s="237">
        <f>B54+C54-D54-E54</f>
        <v>21069633.829999998</v>
      </c>
      <c r="G54" s="237">
        <f>18347508.36-D54-E54</f>
        <v>17743303.699999999</v>
      </c>
      <c r="H54" s="377">
        <f>+G54/F54*100</f>
        <v>84.212681829981278</v>
      </c>
      <c r="I54" s="238">
        <f>F54-G54</f>
        <v>3326330.129999999</v>
      </c>
      <c r="J54" s="377">
        <f>+I54/F54*100</f>
        <v>15.787318170018711</v>
      </c>
      <c r="K54" s="49"/>
    </row>
    <row r="55" spans="1:11" s="131" customFormat="1" ht="17.25" thickBot="1" x14ac:dyDescent="0.35">
      <c r="A55" s="575" t="s">
        <v>36</v>
      </c>
      <c r="B55" s="239">
        <f t="shared" ref="B55:G55" si="4">SUM(B53:B54)</f>
        <v>0</v>
      </c>
      <c r="C55" s="576">
        <f t="shared" si="4"/>
        <v>42782238.920000002</v>
      </c>
      <c r="D55" s="240">
        <f t="shared" si="4"/>
        <v>4354318.22</v>
      </c>
      <c r="E55" s="240">
        <f t="shared" si="4"/>
        <v>236676.13</v>
      </c>
      <c r="F55" s="239">
        <f t="shared" si="4"/>
        <v>38191244.57</v>
      </c>
      <c r="G55" s="239">
        <f t="shared" si="4"/>
        <v>33370337.359999999</v>
      </c>
      <c r="H55" s="239">
        <f>+G55/F55*100</f>
        <v>87.376930853447703</v>
      </c>
      <c r="I55" s="239">
        <f>SUM(I53:I54)</f>
        <v>4820907.2100000009</v>
      </c>
      <c r="J55" s="239">
        <f>+I55/F55*100</f>
        <v>12.623069146552302</v>
      </c>
      <c r="K55" s="49"/>
    </row>
    <row r="56" spans="1:11" s="131" customFormat="1" ht="17.25" thickTop="1" x14ac:dyDescent="0.3">
      <c r="A56" s="91"/>
      <c r="B56" s="37"/>
      <c r="C56" s="92"/>
      <c r="D56" s="37"/>
      <c r="E56" s="37"/>
      <c r="F56" s="37"/>
      <c r="G56" s="37"/>
      <c r="H56" s="37"/>
      <c r="I56" s="37"/>
      <c r="J56" s="37"/>
      <c r="K56" s="49"/>
    </row>
    <row r="57" spans="1:11" s="131" customFormat="1" ht="16.5" x14ac:dyDescent="0.3">
      <c r="A57" s="363" t="s">
        <v>84</v>
      </c>
      <c r="B57" s="131" t="s">
        <v>107</v>
      </c>
      <c r="C57" s="49"/>
      <c r="D57" s="132"/>
      <c r="E57" s="132"/>
      <c r="F57" s="132"/>
      <c r="G57" s="132"/>
      <c r="H57" s="132"/>
      <c r="I57" s="17"/>
      <c r="K57" s="49"/>
    </row>
    <row r="58" spans="1:11" s="131" customFormat="1" ht="16.5" x14ac:dyDescent="0.3">
      <c r="C58" s="49"/>
      <c r="D58" s="132"/>
      <c r="E58" s="132"/>
      <c r="F58" s="132"/>
      <c r="G58" s="132"/>
      <c r="H58" s="132"/>
      <c r="I58" s="17"/>
      <c r="K58" s="49"/>
    </row>
    <row r="59" spans="1:11" s="131" customFormat="1" ht="15.75" customHeight="1" x14ac:dyDescent="0.3">
      <c r="A59" s="134" t="s">
        <v>96</v>
      </c>
      <c r="B59" s="135" t="s">
        <v>686</v>
      </c>
      <c r="C59" s="136" t="s">
        <v>52</v>
      </c>
      <c r="D59" s="132"/>
      <c r="E59" s="132"/>
      <c r="F59" s="132"/>
      <c r="G59" s="132"/>
      <c r="H59" s="132"/>
      <c r="I59" s="17"/>
      <c r="K59" s="49"/>
    </row>
    <row r="60" spans="1:11" s="131" customFormat="1" ht="16.5" x14ac:dyDescent="0.3">
      <c r="B60" s="131" t="s">
        <v>47</v>
      </c>
      <c r="C60" s="49">
        <v>1494577.0799999982</v>
      </c>
      <c r="D60" s="132"/>
      <c r="E60" s="132" t="s">
        <v>687</v>
      </c>
      <c r="F60" s="132"/>
      <c r="G60" s="132"/>
      <c r="H60" s="132"/>
      <c r="I60" s="17"/>
      <c r="K60" s="49"/>
    </row>
    <row r="61" spans="1:11" s="131" customFormat="1" ht="16.5" x14ac:dyDescent="0.3">
      <c r="B61" s="131" t="s">
        <v>106</v>
      </c>
      <c r="C61" s="49">
        <v>3326330.129999999</v>
      </c>
      <c r="D61" s="132"/>
      <c r="E61" s="132" t="s">
        <v>687</v>
      </c>
      <c r="F61" s="132"/>
      <c r="G61" s="132"/>
      <c r="H61" s="132"/>
      <c r="I61" s="17"/>
      <c r="K61" s="49"/>
    </row>
    <row r="62" spans="1:11" s="131" customFormat="1" ht="17.25" thickBot="1" x14ac:dyDescent="0.35">
      <c r="C62" s="241">
        <f>SUM(C60:C61)</f>
        <v>4820907.2099999972</v>
      </c>
      <c r="D62" s="132"/>
      <c r="E62" s="132"/>
      <c r="F62" s="132"/>
      <c r="G62" s="132"/>
      <c r="H62" s="132"/>
      <c r="I62" s="17"/>
      <c r="K62" s="49"/>
    </row>
    <row r="63" spans="1:11" s="131" customFormat="1" ht="17.25" thickTop="1" x14ac:dyDescent="0.3">
      <c r="C63" s="127"/>
      <c r="D63" s="132"/>
      <c r="E63" s="132"/>
      <c r="F63" s="132"/>
      <c r="G63" s="132"/>
      <c r="H63" s="132"/>
      <c r="I63" s="17"/>
      <c r="K63" s="49"/>
    </row>
    <row r="64" spans="1:11" ht="20.100000000000001" customHeight="1" x14ac:dyDescent="0.3">
      <c r="A64" s="131"/>
      <c r="B64" s="131"/>
      <c r="C64" s="49"/>
      <c r="D64" s="132"/>
      <c r="E64" s="132"/>
      <c r="F64" s="132"/>
      <c r="G64" s="132"/>
      <c r="H64" s="132"/>
      <c r="I64" s="17"/>
      <c r="J64" s="131"/>
    </row>
    <row r="65" spans="1:11" s="119" customFormat="1" ht="20.100000000000001" customHeight="1" x14ac:dyDescent="0.25">
      <c r="A65" s="899" t="s">
        <v>757</v>
      </c>
      <c r="B65" s="899"/>
      <c r="C65" s="899"/>
      <c r="D65" s="899"/>
      <c r="E65" s="899"/>
      <c r="F65" s="899"/>
      <c r="G65" s="899"/>
      <c r="H65" s="899"/>
      <c r="I65" s="899"/>
      <c r="J65" s="899"/>
    </row>
    <row r="66" spans="1:11" ht="20.100000000000001" customHeight="1" x14ac:dyDescent="0.25">
      <c r="A66" s="621"/>
      <c r="B66" s="621"/>
      <c r="C66" s="647"/>
      <c r="D66" s="622"/>
      <c r="E66" s="622"/>
      <c r="F66" s="622"/>
      <c r="G66" s="622"/>
      <c r="H66" s="622"/>
      <c r="J66" s="621"/>
    </row>
    <row r="67" spans="1:11" ht="33" x14ac:dyDescent="0.25">
      <c r="A67" s="228" t="s">
        <v>758</v>
      </c>
      <c r="B67" s="229" t="s">
        <v>40</v>
      </c>
      <c r="C67" s="230" t="s">
        <v>759</v>
      </c>
      <c r="D67" s="229" t="s">
        <v>42</v>
      </c>
      <c r="E67" s="229" t="s">
        <v>43</v>
      </c>
      <c r="F67" s="229" t="s">
        <v>44</v>
      </c>
      <c r="G67" s="229" t="s">
        <v>20</v>
      </c>
      <c r="H67" s="229" t="s">
        <v>45</v>
      </c>
      <c r="I67" s="229" t="s">
        <v>22</v>
      </c>
      <c r="J67" s="229" t="s">
        <v>46</v>
      </c>
    </row>
    <row r="68" spans="1:11" ht="20.100000000000001" customHeight="1" x14ac:dyDescent="0.25">
      <c r="A68" s="231" t="s">
        <v>47</v>
      </c>
      <c r="B68" s="377">
        <v>1494577.0800000019</v>
      </c>
      <c r="C68" s="383">
        <f>22965852.53-874739.06</f>
        <v>22091113.470000003</v>
      </c>
      <c r="D68" s="234">
        <v>0</v>
      </c>
      <c r="E68" s="234">
        <v>0</v>
      </c>
      <c r="F68" s="377">
        <f>B68+C68-D68-E68</f>
        <v>23585690.550000004</v>
      </c>
      <c r="G68" s="377">
        <v>23519874.289999999</v>
      </c>
      <c r="H68" s="377">
        <f>+G68/F68*100</f>
        <v>99.720948344249322</v>
      </c>
      <c r="I68" s="377">
        <f>F68-G68</f>
        <v>65816.260000005364</v>
      </c>
      <c r="J68" s="377">
        <f>+I68/F68*100</f>
        <v>0.27905165575067442</v>
      </c>
    </row>
    <row r="69" spans="1:11" ht="12" customHeight="1" x14ac:dyDescent="0.25">
      <c r="A69" s="235" t="s">
        <v>106</v>
      </c>
      <c r="B69" s="238">
        <v>3326330.129999999</v>
      </c>
      <c r="C69" s="383">
        <v>17923201.25</v>
      </c>
      <c r="D69" s="236">
        <v>0</v>
      </c>
      <c r="E69" s="236">
        <v>0</v>
      </c>
      <c r="F69" s="237">
        <f>B69+C69-D69-E69</f>
        <v>21249531.379999999</v>
      </c>
      <c r="G69" s="237">
        <v>21249531.379999999</v>
      </c>
      <c r="H69" s="377">
        <f>+G69/F69*100</f>
        <v>100</v>
      </c>
      <c r="I69" s="238">
        <f>F69-G69</f>
        <v>0</v>
      </c>
      <c r="J69" s="377">
        <f>+I69/F69*100</f>
        <v>0</v>
      </c>
    </row>
    <row r="70" spans="1:11" s="119" customFormat="1" ht="17.25" thickBot="1" x14ac:dyDescent="0.3">
      <c r="A70" s="575" t="s">
        <v>36</v>
      </c>
      <c r="B70" s="239">
        <f t="shared" ref="B70:G70" si="5">SUM(B68:B69)</f>
        <v>4820907.2100000009</v>
      </c>
      <c r="C70" s="576">
        <f t="shared" si="5"/>
        <v>40014314.719999999</v>
      </c>
      <c r="D70" s="240">
        <f t="shared" si="5"/>
        <v>0</v>
      </c>
      <c r="E70" s="240">
        <f t="shared" si="5"/>
        <v>0</v>
      </c>
      <c r="F70" s="239">
        <f t="shared" si="5"/>
        <v>44835221.930000007</v>
      </c>
      <c r="G70" s="239">
        <f t="shared" si="5"/>
        <v>44769405.670000002</v>
      </c>
      <c r="H70" s="239">
        <f>+G70/F70*100</f>
        <v>99.853204116837517</v>
      </c>
      <c r="I70" s="239">
        <f>SUM(I68:I69)</f>
        <v>65816.260000005364</v>
      </c>
      <c r="J70" s="239">
        <f>+I70/F70*100</f>
        <v>0.14679588316248879</v>
      </c>
    </row>
    <row r="71" spans="1:11" ht="20.100000000000001" customHeight="1" thickTop="1" x14ac:dyDescent="0.25">
      <c r="A71" s="91"/>
      <c r="B71" s="37"/>
      <c r="C71" s="92"/>
      <c r="D71" s="37"/>
      <c r="E71" s="37"/>
      <c r="F71" s="37"/>
      <c r="G71" s="37"/>
      <c r="H71" s="37"/>
      <c r="I71" s="37"/>
      <c r="J71" s="37"/>
    </row>
    <row r="72" spans="1:11" ht="20.100000000000001" customHeight="1" x14ac:dyDescent="0.3">
      <c r="A72" s="641" t="s">
        <v>84</v>
      </c>
      <c r="B72" s="131" t="s">
        <v>107</v>
      </c>
      <c r="C72" s="49"/>
      <c r="D72" s="132"/>
      <c r="E72" s="132"/>
      <c r="F72" s="132"/>
      <c r="G72" s="132"/>
      <c r="H72" s="132"/>
      <c r="I72" s="17"/>
      <c r="J72" s="131"/>
    </row>
    <row r="73" spans="1:11" ht="20.100000000000001" customHeight="1" x14ac:dyDescent="0.3">
      <c r="A73" s="131"/>
      <c r="B73" s="131"/>
      <c r="C73" s="49"/>
      <c r="D73" s="132"/>
      <c r="E73" s="132"/>
      <c r="F73" s="132"/>
      <c r="G73" s="132"/>
      <c r="H73" s="132"/>
      <c r="I73" s="17"/>
      <c r="J73" s="131"/>
    </row>
    <row r="74" spans="1:11" ht="20.100000000000001" customHeight="1" x14ac:dyDescent="0.3">
      <c r="A74" s="134" t="s">
        <v>96</v>
      </c>
      <c r="B74" s="135" t="s">
        <v>760</v>
      </c>
      <c r="C74" s="136" t="s">
        <v>52</v>
      </c>
      <c r="D74" s="132"/>
      <c r="E74" s="132"/>
      <c r="F74" s="132"/>
      <c r="G74" s="132"/>
      <c r="H74" s="132"/>
      <c r="I74" s="17"/>
      <c r="J74" s="131"/>
    </row>
    <row r="75" spans="1:11" s="119" customFormat="1" ht="20.100000000000001" customHeight="1" x14ac:dyDescent="0.3">
      <c r="A75" s="131"/>
      <c r="B75" s="131" t="s">
        <v>47</v>
      </c>
      <c r="C75" s="49">
        <v>65816.260000005364</v>
      </c>
      <c r="D75" s="132"/>
      <c r="E75" s="132" t="s">
        <v>761</v>
      </c>
      <c r="F75" s="132"/>
      <c r="G75" s="132"/>
      <c r="H75" s="132"/>
      <c r="I75" s="17"/>
      <c r="J75" s="131"/>
    </row>
    <row r="76" spans="1:11" s="119" customFormat="1" ht="20.100000000000001" customHeight="1" x14ac:dyDescent="0.25">
      <c r="A76" s="91"/>
      <c r="B76" s="37"/>
      <c r="C76" s="92"/>
      <c r="D76" s="37"/>
      <c r="E76" s="37"/>
      <c r="F76" s="37"/>
      <c r="G76" s="37"/>
      <c r="H76" s="37"/>
      <c r="I76" s="37"/>
      <c r="J76" s="37"/>
    </row>
    <row r="77" spans="1:11" ht="20.100000000000001" customHeight="1" x14ac:dyDescent="0.3">
      <c r="A77" s="133"/>
      <c r="B77" s="131"/>
      <c r="C77" s="49"/>
      <c r="D77" s="132"/>
      <c r="E77" s="132"/>
      <c r="F77" s="132"/>
      <c r="G77" s="132"/>
      <c r="H77" s="132"/>
      <c r="I77" s="17"/>
      <c r="J77" s="131"/>
    </row>
    <row r="78" spans="1:11" ht="20.100000000000001" customHeight="1" x14ac:dyDescent="0.3">
      <c r="A78" s="131"/>
      <c r="B78" s="131"/>
      <c r="C78" s="49"/>
      <c r="D78" s="132"/>
      <c r="E78" s="132"/>
      <c r="F78" s="132"/>
      <c r="G78" s="132"/>
      <c r="H78" s="132"/>
      <c r="I78" s="17"/>
      <c r="J78" s="131"/>
    </row>
    <row r="79" spans="1:11" s="131" customFormat="1" ht="16.5" x14ac:dyDescent="0.3">
      <c r="A79" s="899" t="s">
        <v>922</v>
      </c>
      <c r="B79" s="899"/>
      <c r="C79" s="899"/>
      <c r="D79" s="899"/>
      <c r="E79" s="899"/>
      <c r="F79" s="899"/>
      <c r="G79" s="899"/>
      <c r="H79" s="899"/>
      <c r="I79" s="899"/>
      <c r="J79" s="899"/>
      <c r="K79" s="49"/>
    </row>
    <row r="80" spans="1:11" s="131" customFormat="1" ht="16.5" x14ac:dyDescent="0.3">
      <c r="A80" s="621"/>
      <c r="B80" s="621"/>
      <c r="C80" s="647"/>
      <c r="D80" s="622"/>
      <c r="E80" s="622"/>
      <c r="F80" s="622"/>
      <c r="G80" s="622"/>
      <c r="H80" s="622"/>
      <c r="I80" s="22"/>
      <c r="J80" s="621"/>
      <c r="K80" s="49"/>
    </row>
    <row r="81" spans="1:11" s="131" customFormat="1" ht="33" x14ac:dyDescent="0.3">
      <c r="A81" s="228" t="s">
        <v>923</v>
      </c>
      <c r="B81" s="229" t="s">
        <v>40</v>
      </c>
      <c r="C81" s="230" t="s">
        <v>924</v>
      </c>
      <c r="D81" s="229" t="s">
        <v>42</v>
      </c>
      <c r="E81" s="229" t="s">
        <v>43</v>
      </c>
      <c r="F81" s="229" t="s">
        <v>44</v>
      </c>
      <c r="G81" s="229" t="s">
        <v>20</v>
      </c>
      <c r="H81" s="229" t="s">
        <v>45</v>
      </c>
      <c r="I81" s="229" t="s">
        <v>22</v>
      </c>
      <c r="J81" s="229" t="s">
        <v>46</v>
      </c>
      <c r="K81" s="49"/>
    </row>
    <row r="82" spans="1:11" s="131" customFormat="1" ht="16.5" x14ac:dyDescent="0.3">
      <c r="A82" s="231" t="s">
        <v>47</v>
      </c>
      <c r="B82" s="377">
        <v>65816.260000005364</v>
      </c>
      <c r="C82" s="383">
        <v>19708558.420000002</v>
      </c>
      <c r="D82" s="234">
        <v>0</v>
      </c>
      <c r="E82" s="234">
        <v>76.099999999999994</v>
      </c>
      <c r="F82" s="377">
        <f>B82+C82-D82-E82</f>
        <v>19774298.580000006</v>
      </c>
      <c r="G82" s="377">
        <f>17210248.16-D82-E82</f>
        <v>17210172.059999999</v>
      </c>
      <c r="H82" s="377">
        <f>+G82/F82*100</f>
        <v>87.033034271094706</v>
      </c>
      <c r="I82" s="377">
        <f>F82-G82</f>
        <v>2564126.520000007</v>
      </c>
      <c r="J82" s="377">
        <f>+I82/F82*100</f>
        <v>12.966965728905294</v>
      </c>
      <c r="K82" s="49"/>
    </row>
    <row r="83" spans="1:11" s="131" customFormat="1" ht="16.5" x14ac:dyDescent="0.3">
      <c r="A83" s="235" t="s">
        <v>106</v>
      </c>
      <c r="B83" s="238">
        <v>0</v>
      </c>
      <c r="C83" s="383">
        <f>16001848.61-71986.18</f>
        <v>15929862.43</v>
      </c>
      <c r="D83" s="236">
        <v>0</v>
      </c>
      <c r="E83" s="236">
        <v>0</v>
      </c>
      <c r="F83" s="237">
        <f>B83+C83-D83-E83</f>
        <v>15929862.43</v>
      </c>
      <c r="G83" s="237">
        <v>9835508.4000000004</v>
      </c>
      <c r="H83" s="377">
        <f>+G83/F83*100</f>
        <v>61.742582167421766</v>
      </c>
      <c r="I83" s="238">
        <f>F83-G83</f>
        <v>6094354.0299999993</v>
      </c>
      <c r="J83" s="377">
        <f>+I83/F83*100</f>
        <v>38.257417832578227</v>
      </c>
      <c r="K83" s="49"/>
    </row>
    <row r="84" spans="1:11" s="131" customFormat="1" ht="17.25" thickBot="1" x14ac:dyDescent="0.35">
      <c r="A84" s="575" t="s">
        <v>36</v>
      </c>
      <c r="B84" s="239">
        <f t="shared" ref="B84:G84" si="6">SUM(B82:B83)</f>
        <v>65816.260000005364</v>
      </c>
      <c r="C84" s="576">
        <f t="shared" si="6"/>
        <v>35638420.850000001</v>
      </c>
      <c r="D84" s="240">
        <f t="shared" si="6"/>
        <v>0</v>
      </c>
      <c r="E84" s="240">
        <f t="shared" si="6"/>
        <v>76.099999999999994</v>
      </c>
      <c r="F84" s="239">
        <f t="shared" si="6"/>
        <v>35704161.010000005</v>
      </c>
      <c r="G84" s="239">
        <f t="shared" si="6"/>
        <v>27045680.460000001</v>
      </c>
      <c r="H84" s="239">
        <f>+G84/F84*100</f>
        <v>75.749379609914541</v>
      </c>
      <c r="I84" s="239">
        <f>SUM(I82:I83)</f>
        <v>8658480.5500000063</v>
      </c>
      <c r="J84" s="239">
        <f>+I84/F84*100</f>
        <v>24.250620390085466</v>
      </c>
      <c r="K84" s="49"/>
    </row>
    <row r="85" spans="1:11" s="131" customFormat="1" ht="17.25" thickTop="1" x14ac:dyDescent="0.3">
      <c r="A85" s="91"/>
      <c r="B85" s="37"/>
      <c r="C85" s="92"/>
      <c r="D85" s="37"/>
      <c r="E85" s="37"/>
      <c r="F85" s="37"/>
      <c r="G85" s="37"/>
      <c r="H85" s="37"/>
      <c r="I85" s="37"/>
      <c r="J85" s="37"/>
      <c r="K85" s="49"/>
    </row>
    <row r="86" spans="1:11" s="131" customFormat="1" ht="16.5" x14ac:dyDescent="0.3">
      <c r="A86" s="641" t="s">
        <v>84</v>
      </c>
      <c r="B86" s="131" t="s">
        <v>107</v>
      </c>
      <c r="C86" s="49"/>
      <c r="D86" s="132"/>
      <c r="E86" s="132"/>
      <c r="F86" s="132"/>
      <c r="G86" s="132"/>
      <c r="H86" s="132"/>
      <c r="I86" s="17"/>
      <c r="K86" s="49"/>
    </row>
    <row r="87" spans="1:11" s="131" customFormat="1" ht="16.5" x14ac:dyDescent="0.3">
      <c r="C87" s="49"/>
      <c r="D87" s="132"/>
      <c r="E87" s="132"/>
      <c r="F87" s="132"/>
      <c r="G87" s="132"/>
      <c r="H87" s="132"/>
      <c r="I87" s="17"/>
      <c r="K87" s="49"/>
    </row>
    <row r="88" spans="1:11" s="131" customFormat="1" ht="16.5" x14ac:dyDescent="0.3">
      <c r="A88" s="134" t="s">
        <v>96</v>
      </c>
      <c r="B88" s="135" t="s">
        <v>925</v>
      </c>
      <c r="C88" s="136" t="s">
        <v>52</v>
      </c>
      <c r="D88" s="132"/>
      <c r="E88" s="132"/>
      <c r="F88" s="132"/>
      <c r="G88" s="132"/>
      <c r="H88" s="132"/>
      <c r="I88" s="17"/>
      <c r="K88" s="49"/>
    </row>
    <row r="89" spans="1:11" s="131" customFormat="1" ht="16.5" x14ac:dyDescent="0.3">
      <c r="B89" s="131" t="s">
        <v>47</v>
      </c>
      <c r="C89" s="49">
        <v>2442312.96</v>
      </c>
      <c r="D89" s="132"/>
      <c r="E89" s="132" t="s">
        <v>926</v>
      </c>
      <c r="F89" s="132"/>
      <c r="G89" s="132"/>
      <c r="H89" s="132"/>
      <c r="I89" s="17"/>
      <c r="K89" s="49"/>
    </row>
    <row r="90" spans="1:11" s="131" customFormat="1" ht="16.5" x14ac:dyDescent="0.3">
      <c r="B90" s="131" t="s">
        <v>47</v>
      </c>
      <c r="C90" s="49">
        <v>121813.56</v>
      </c>
      <c r="D90" s="132"/>
      <c r="E90" s="132" t="s">
        <v>927</v>
      </c>
      <c r="F90" s="132"/>
      <c r="G90" s="132"/>
      <c r="H90" s="132"/>
      <c r="I90" s="17"/>
      <c r="K90" s="49"/>
    </row>
    <row r="91" spans="1:11" s="131" customFormat="1" ht="16.5" x14ac:dyDescent="0.3">
      <c r="B91" s="131" t="s">
        <v>106</v>
      </c>
      <c r="C91" s="49">
        <v>6094354.0299999993</v>
      </c>
      <c r="D91" s="132"/>
      <c r="E91" s="132" t="s">
        <v>926</v>
      </c>
      <c r="F91" s="132"/>
      <c r="G91" s="132"/>
      <c r="H91" s="132"/>
      <c r="I91" s="17"/>
      <c r="K91" s="49"/>
    </row>
    <row r="92" spans="1:11" s="131" customFormat="1" ht="17.25" thickBot="1" x14ac:dyDescent="0.35">
      <c r="C92" s="241">
        <f>SUM(C89:C91)</f>
        <v>8658480.5499999989</v>
      </c>
      <c r="D92" s="132"/>
      <c r="E92" s="132"/>
      <c r="F92" s="132"/>
      <c r="G92" s="132"/>
      <c r="H92" s="132"/>
      <c r="I92" s="17"/>
      <c r="K92" s="49"/>
    </row>
    <row r="93" spans="1:11" s="825" customFormat="1" ht="17.25" thickTop="1" x14ac:dyDescent="0.3">
      <c r="C93" s="127"/>
      <c r="D93" s="826"/>
      <c r="E93" s="826"/>
      <c r="F93" s="826"/>
      <c r="G93" s="826"/>
      <c r="H93" s="826"/>
      <c r="I93" s="17"/>
      <c r="K93" s="831"/>
    </row>
    <row r="94" spans="1:11" ht="20.100000000000001" customHeight="1" x14ac:dyDescent="0.25">
      <c r="A94" s="91"/>
      <c r="B94" s="34"/>
      <c r="C94" s="122"/>
      <c r="D94" s="117"/>
      <c r="E94" s="117"/>
      <c r="F94" s="34"/>
      <c r="G94" s="34"/>
      <c r="H94" s="34"/>
      <c r="I94" s="34"/>
      <c r="J94" s="34"/>
    </row>
    <row r="95" spans="1:11" s="825" customFormat="1" ht="16.5" x14ac:dyDescent="0.3">
      <c r="A95" s="899" t="s">
        <v>1025</v>
      </c>
      <c r="B95" s="899"/>
      <c r="C95" s="899"/>
      <c r="D95" s="899"/>
      <c r="E95" s="899"/>
      <c r="F95" s="899"/>
      <c r="G95" s="899"/>
      <c r="H95" s="899"/>
      <c r="I95" s="899"/>
      <c r="J95" s="899"/>
      <c r="K95" s="831"/>
    </row>
    <row r="96" spans="1:11" s="825" customFormat="1" ht="16.5" x14ac:dyDescent="0.3">
      <c r="A96" s="781"/>
      <c r="B96" s="781"/>
      <c r="C96" s="803"/>
      <c r="D96" s="780"/>
      <c r="E96" s="780"/>
      <c r="F96" s="780"/>
      <c r="G96" s="780"/>
      <c r="H96" s="780"/>
      <c r="I96" s="782"/>
      <c r="J96" s="781"/>
      <c r="K96" s="831"/>
    </row>
    <row r="97" spans="1:11" s="825" customFormat="1" ht="33" x14ac:dyDescent="0.3">
      <c r="A97" s="228" t="s">
        <v>1026</v>
      </c>
      <c r="B97" s="229" t="s">
        <v>40</v>
      </c>
      <c r="C97" s="230" t="s">
        <v>1027</v>
      </c>
      <c r="D97" s="229" t="s">
        <v>42</v>
      </c>
      <c r="E97" s="229" t="s">
        <v>43</v>
      </c>
      <c r="F97" s="229" t="s">
        <v>44</v>
      </c>
      <c r="G97" s="229" t="s">
        <v>20</v>
      </c>
      <c r="H97" s="229" t="s">
        <v>45</v>
      </c>
      <c r="I97" s="229" t="s">
        <v>22</v>
      </c>
      <c r="J97" s="229" t="s">
        <v>46</v>
      </c>
      <c r="K97" s="831"/>
    </row>
    <row r="98" spans="1:11" s="825" customFormat="1" ht="16.5" x14ac:dyDescent="0.3">
      <c r="A98" s="231" t="s">
        <v>47</v>
      </c>
      <c r="B98" s="377">
        <v>2564126.520000007</v>
      </c>
      <c r="C98" s="383">
        <f>20182253.26-57480.9</f>
        <v>20124772.360000003</v>
      </c>
      <c r="D98" s="234">
        <v>3408672.8</v>
      </c>
      <c r="E98" s="234">
        <v>155941.31</v>
      </c>
      <c r="F98" s="377">
        <f>B98+C98-D98-E98</f>
        <v>19124284.770000011</v>
      </c>
      <c r="G98" s="377">
        <f>17549244.11-D98-E98</f>
        <v>13984629.999999998</v>
      </c>
      <c r="H98" s="377">
        <f>+G98/F98*100</f>
        <v>73.124983068320986</v>
      </c>
      <c r="I98" s="377">
        <f>F98-G98</f>
        <v>5139654.7700000126</v>
      </c>
      <c r="J98" s="377">
        <f>+I98/F98*100</f>
        <v>26.875016931679006</v>
      </c>
      <c r="K98" s="831"/>
    </row>
    <row r="99" spans="1:11" s="825" customFormat="1" ht="16.5" x14ac:dyDescent="0.3">
      <c r="A99" s="235" t="s">
        <v>106</v>
      </c>
      <c r="B99" s="238">
        <v>6094354.0299999993</v>
      </c>
      <c r="C99" s="383">
        <f>14128396.92-122376.5</f>
        <v>14006020.42</v>
      </c>
      <c r="D99" s="236">
        <v>441651.55</v>
      </c>
      <c r="E99" s="236">
        <v>3524.58</v>
      </c>
      <c r="F99" s="237">
        <f>B99+C99-D99-E99</f>
        <v>19655198.32</v>
      </c>
      <c r="G99" s="237">
        <f>15806496.24-D99-E99</f>
        <v>15361320.109999999</v>
      </c>
      <c r="H99" s="377">
        <f>+G99/F99*100</f>
        <v>78.153981760485223</v>
      </c>
      <c r="I99" s="238">
        <f>F99-G99</f>
        <v>4293878.2100000009</v>
      </c>
      <c r="J99" s="377">
        <f>+I99/F99*100</f>
        <v>21.846018239514773</v>
      </c>
      <c r="K99" s="831"/>
    </row>
    <row r="100" spans="1:11" s="825" customFormat="1" ht="17.25" thickBot="1" x14ac:dyDescent="0.35">
      <c r="A100" s="575" t="s">
        <v>36</v>
      </c>
      <c r="B100" s="239">
        <f t="shared" ref="B100:G100" si="7">SUM(B98:B99)</f>
        <v>8658480.5500000063</v>
      </c>
      <c r="C100" s="576">
        <f t="shared" si="7"/>
        <v>34130792.780000001</v>
      </c>
      <c r="D100" s="240">
        <f t="shared" si="7"/>
        <v>3850324.3499999996</v>
      </c>
      <c r="E100" s="240">
        <f t="shared" si="7"/>
        <v>159465.88999999998</v>
      </c>
      <c r="F100" s="239">
        <f t="shared" si="7"/>
        <v>38779483.090000011</v>
      </c>
      <c r="G100" s="239">
        <f t="shared" si="7"/>
        <v>29345950.109999999</v>
      </c>
      <c r="H100" s="239">
        <f>+G100/F100*100</f>
        <v>75.67390736460689</v>
      </c>
      <c r="I100" s="239">
        <f>SUM(I98:I99)</f>
        <v>9433532.9800000135</v>
      </c>
      <c r="J100" s="239">
        <f>+I100/F100*100</f>
        <v>24.32609263539312</v>
      </c>
      <c r="K100" s="831"/>
    </row>
    <row r="101" spans="1:11" s="825" customFormat="1" ht="17.25" thickTop="1" x14ac:dyDescent="0.3">
      <c r="A101" s="91"/>
      <c r="B101" s="37"/>
      <c r="C101" s="92"/>
      <c r="D101" s="37"/>
      <c r="E101" s="37"/>
      <c r="F101" s="37"/>
      <c r="G101" s="37"/>
      <c r="H101" s="37"/>
      <c r="I101" s="37"/>
      <c r="J101" s="37"/>
      <c r="K101" s="831"/>
    </row>
    <row r="102" spans="1:11" s="825" customFormat="1" ht="16.5" x14ac:dyDescent="0.3">
      <c r="A102" s="767" t="s">
        <v>84</v>
      </c>
      <c r="B102" s="825" t="s">
        <v>107</v>
      </c>
      <c r="C102" s="831"/>
      <c r="D102" s="826"/>
      <c r="E102" s="826"/>
      <c r="F102" s="826"/>
      <c r="G102" s="826"/>
      <c r="H102" s="826"/>
      <c r="I102" s="17"/>
      <c r="K102" s="831"/>
    </row>
    <row r="103" spans="1:11" s="825" customFormat="1" ht="16.5" x14ac:dyDescent="0.3">
      <c r="C103" s="831"/>
      <c r="D103" s="826"/>
      <c r="E103" s="826"/>
      <c r="F103" s="826"/>
      <c r="G103" s="826"/>
      <c r="H103" s="826"/>
      <c r="I103" s="17"/>
      <c r="K103" s="831"/>
    </row>
    <row r="104" spans="1:11" s="825" customFormat="1" ht="16.5" x14ac:dyDescent="0.3">
      <c r="A104" s="134" t="s">
        <v>96</v>
      </c>
      <c r="B104" s="135" t="s">
        <v>1028</v>
      </c>
      <c r="C104" s="136" t="s">
        <v>52</v>
      </c>
      <c r="D104" s="826"/>
      <c r="E104" s="826"/>
      <c r="F104" s="826"/>
      <c r="G104" s="826"/>
      <c r="H104" s="826"/>
      <c r="I104" s="17"/>
      <c r="K104" s="831"/>
    </row>
    <row r="105" spans="1:11" s="825" customFormat="1" ht="16.5" x14ac:dyDescent="0.3">
      <c r="B105" s="825" t="s">
        <v>47</v>
      </c>
      <c r="C105" s="831">
        <v>4568460.25</v>
      </c>
      <c r="D105" s="826"/>
      <c r="E105" s="826" t="s">
        <v>1029</v>
      </c>
      <c r="F105" s="826"/>
      <c r="G105" s="826"/>
      <c r="H105" s="826"/>
      <c r="I105" s="17"/>
      <c r="K105" s="831"/>
    </row>
    <row r="106" spans="1:11" s="825" customFormat="1" ht="16.5" x14ac:dyDescent="0.3">
      <c r="B106" s="825" t="s">
        <v>47</v>
      </c>
      <c r="C106" s="831">
        <v>121813.56</v>
      </c>
      <c r="D106" s="826"/>
      <c r="E106" s="826" t="s">
        <v>927</v>
      </c>
      <c r="F106" s="826"/>
      <c r="G106" s="826"/>
      <c r="H106" s="826"/>
      <c r="I106" s="17"/>
      <c r="K106" s="831"/>
    </row>
    <row r="107" spans="1:11" s="825" customFormat="1" ht="16.5" x14ac:dyDescent="0.3">
      <c r="B107" s="825" t="s">
        <v>47</v>
      </c>
      <c r="C107" s="831">
        <v>449380.96</v>
      </c>
      <c r="D107" s="826"/>
      <c r="E107" s="826" t="s">
        <v>1030</v>
      </c>
      <c r="F107" s="826"/>
      <c r="G107" s="826"/>
      <c r="H107" s="826"/>
      <c r="I107" s="17"/>
      <c r="K107" s="831"/>
    </row>
    <row r="108" spans="1:11" s="825" customFormat="1" ht="16.5" x14ac:dyDescent="0.3">
      <c r="B108" s="825" t="s">
        <v>106</v>
      </c>
      <c r="C108" s="831">
        <v>4293878.209999999</v>
      </c>
      <c r="D108" s="826"/>
      <c r="E108" s="826" t="s">
        <v>1029</v>
      </c>
      <c r="F108" s="826"/>
      <c r="G108" s="826"/>
      <c r="H108" s="826"/>
      <c r="I108" s="17"/>
      <c r="K108" s="831"/>
    </row>
    <row r="109" spans="1:11" s="825" customFormat="1" ht="17.25" thickBot="1" x14ac:dyDescent="0.35">
      <c r="C109" s="241">
        <f>SUM(C105:C108)</f>
        <v>9433532.9799999986</v>
      </c>
      <c r="D109" s="826"/>
      <c r="E109" s="826"/>
      <c r="F109" s="826"/>
      <c r="G109" s="826"/>
      <c r="H109" s="826"/>
      <c r="I109" s="17"/>
      <c r="K109" s="831"/>
    </row>
    <row r="110" spans="1:11" ht="20.100000000000001" customHeight="1" thickTop="1" x14ac:dyDescent="0.25">
      <c r="A110" s="135"/>
      <c r="B110" s="19"/>
      <c r="C110" s="93"/>
      <c r="D110" s="38"/>
      <c r="E110" s="38"/>
      <c r="F110" s="19"/>
      <c r="G110" s="19"/>
      <c r="H110" s="19"/>
      <c r="I110" s="19"/>
      <c r="J110" s="19"/>
    </row>
    <row r="111" spans="1:11" s="825" customFormat="1" ht="16.5" x14ac:dyDescent="0.3">
      <c r="A111" s="899" t="s">
        <v>1153</v>
      </c>
      <c r="B111" s="899"/>
      <c r="C111" s="899"/>
      <c r="D111" s="899"/>
      <c r="E111" s="899"/>
      <c r="F111" s="899"/>
      <c r="G111" s="899"/>
      <c r="H111" s="899"/>
      <c r="I111" s="899"/>
      <c r="J111" s="899"/>
      <c r="K111" s="831"/>
    </row>
    <row r="112" spans="1:11" s="825" customFormat="1" ht="16.5" x14ac:dyDescent="0.3">
      <c r="A112" s="781"/>
      <c r="B112" s="781"/>
      <c r="C112" s="803"/>
      <c r="D112" s="780"/>
      <c r="E112" s="780"/>
      <c r="F112" s="780"/>
      <c r="G112" s="780"/>
      <c r="H112" s="780"/>
      <c r="I112" s="782"/>
      <c r="J112" s="781"/>
      <c r="K112" s="831"/>
    </row>
    <row r="113" spans="1:11" s="825" customFormat="1" ht="33" x14ac:dyDescent="0.3">
      <c r="A113" s="228" t="s">
        <v>1154</v>
      </c>
      <c r="B113" s="229" t="s">
        <v>40</v>
      </c>
      <c r="C113" s="230" t="s">
        <v>1155</v>
      </c>
      <c r="D113" s="229" t="s">
        <v>42</v>
      </c>
      <c r="E113" s="229" t="s">
        <v>43</v>
      </c>
      <c r="F113" s="229" t="s">
        <v>44</v>
      </c>
      <c r="G113" s="229" t="s">
        <v>20</v>
      </c>
      <c r="H113" s="229" t="s">
        <v>45</v>
      </c>
      <c r="I113" s="229" t="s">
        <v>22</v>
      </c>
      <c r="J113" s="229" t="s">
        <v>46</v>
      </c>
      <c r="K113" s="831"/>
    </row>
    <row r="114" spans="1:11" s="825" customFormat="1" ht="16.5" x14ac:dyDescent="0.3">
      <c r="A114" s="231" t="s">
        <v>47</v>
      </c>
      <c r="B114" s="377">
        <v>5139654.7700000126</v>
      </c>
      <c r="C114" s="383">
        <v>22026450.800000001</v>
      </c>
      <c r="D114" s="234">
        <v>4093342.12</v>
      </c>
      <c r="E114" s="234">
        <v>220243.31</v>
      </c>
      <c r="F114" s="377">
        <f>B114+C114-D114-E114</f>
        <v>22852520.140000015</v>
      </c>
      <c r="G114" s="377">
        <f>26594911.05-D114-E114</f>
        <v>22281325.620000001</v>
      </c>
      <c r="H114" s="377">
        <f>+G114/F114*100</f>
        <v>97.500518470169851</v>
      </c>
      <c r="I114" s="377">
        <f>F114-G114</f>
        <v>571194.52000001445</v>
      </c>
      <c r="J114" s="377">
        <f>+I114/F114*100</f>
        <v>2.4994815298301454</v>
      </c>
      <c r="K114" s="831"/>
    </row>
    <row r="115" spans="1:11" s="825" customFormat="1" ht="16.5" x14ac:dyDescent="0.3">
      <c r="A115" s="235" t="s">
        <v>106</v>
      </c>
      <c r="B115" s="238">
        <v>4293878.2100000009</v>
      </c>
      <c r="C115" s="383">
        <v>13514259.51</v>
      </c>
      <c r="D115" s="236">
        <v>1090956.6100000001</v>
      </c>
      <c r="E115" s="236">
        <v>0</v>
      </c>
      <c r="F115" s="237">
        <f>B115+C115-D115-E115</f>
        <v>16717181.109999999</v>
      </c>
      <c r="G115" s="237">
        <f>16171219.29-D115-E115</f>
        <v>15080262.68</v>
      </c>
      <c r="H115" s="377">
        <f>+G115/F115*100</f>
        <v>90.208167159110246</v>
      </c>
      <c r="I115" s="238">
        <f>F115-G115</f>
        <v>1636918.4299999997</v>
      </c>
      <c r="J115" s="377">
        <f>+I115/F115*100</f>
        <v>9.7918328408897626</v>
      </c>
      <c r="K115" s="831"/>
    </row>
    <row r="116" spans="1:11" s="825" customFormat="1" ht="17.25" thickBot="1" x14ac:dyDescent="0.35">
      <c r="A116" s="575" t="s">
        <v>36</v>
      </c>
      <c r="B116" s="239">
        <f t="shared" ref="B116:G116" si="8">SUM(B114:B115)</f>
        <v>9433532.9800000135</v>
      </c>
      <c r="C116" s="576">
        <f t="shared" si="8"/>
        <v>35540710.310000002</v>
      </c>
      <c r="D116" s="240">
        <f t="shared" si="8"/>
        <v>5184298.7300000004</v>
      </c>
      <c r="E116" s="240">
        <f t="shared" si="8"/>
        <v>220243.31</v>
      </c>
      <c r="F116" s="239">
        <f t="shared" si="8"/>
        <v>39569701.250000015</v>
      </c>
      <c r="G116" s="239">
        <f t="shared" si="8"/>
        <v>37361588.299999997</v>
      </c>
      <c r="H116" s="239">
        <f>+G116/F116*100</f>
        <v>94.419687588619297</v>
      </c>
      <c r="I116" s="239">
        <f>SUM(I114:I115)</f>
        <v>2208112.9500000142</v>
      </c>
      <c r="J116" s="239">
        <f>+I116/F116*100</f>
        <v>5.5803124113806977</v>
      </c>
      <c r="K116" s="831"/>
    </row>
    <row r="117" spans="1:11" s="825" customFormat="1" ht="17.25" thickTop="1" x14ac:dyDescent="0.3">
      <c r="A117" s="91"/>
      <c r="B117" s="37"/>
      <c r="C117" s="92"/>
      <c r="D117" s="37"/>
      <c r="E117" s="37"/>
      <c r="F117" s="37"/>
      <c r="G117" s="37"/>
      <c r="H117" s="37"/>
      <c r="I117" s="37"/>
      <c r="J117" s="37"/>
      <c r="K117" s="831"/>
    </row>
    <row r="118" spans="1:11" s="825" customFormat="1" ht="16.5" x14ac:dyDescent="0.3">
      <c r="A118" s="767" t="s">
        <v>84</v>
      </c>
      <c r="B118" s="825" t="s">
        <v>107</v>
      </c>
      <c r="C118" s="831"/>
      <c r="D118" s="826"/>
      <c r="E118" s="826"/>
      <c r="F118" s="826"/>
      <c r="G118" s="826"/>
      <c r="H118" s="826"/>
      <c r="I118" s="17"/>
      <c r="K118" s="831"/>
    </row>
    <row r="119" spans="1:11" s="825" customFormat="1" ht="16.5" x14ac:dyDescent="0.3">
      <c r="C119" s="831"/>
      <c r="D119" s="826"/>
      <c r="E119" s="826"/>
      <c r="F119" s="826"/>
      <c r="G119" s="826"/>
      <c r="H119" s="826"/>
      <c r="I119" s="17"/>
      <c r="K119" s="831"/>
    </row>
    <row r="120" spans="1:11" s="825" customFormat="1" ht="16.5" x14ac:dyDescent="0.3">
      <c r="A120" s="134" t="s">
        <v>96</v>
      </c>
      <c r="B120" s="135" t="s">
        <v>1156</v>
      </c>
      <c r="C120" s="136" t="s">
        <v>52</v>
      </c>
      <c r="D120" s="826"/>
      <c r="E120" s="826"/>
      <c r="F120" s="826"/>
      <c r="G120" s="826"/>
      <c r="H120" s="826"/>
      <c r="I120" s="17"/>
      <c r="K120" s="831"/>
    </row>
    <row r="121" spans="1:11" s="825" customFormat="1" ht="16.5" x14ac:dyDescent="0.3">
      <c r="B121" s="825" t="s">
        <v>47</v>
      </c>
      <c r="C121" s="831">
        <v>121813.56</v>
      </c>
      <c r="D121" s="826"/>
      <c r="E121" s="826" t="s">
        <v>1157</v>
      </c>
      <c r="F121" s="826"/>
      <c r="G121" s="826"/>
      <c r="H121" s="826"/>
      <c r="I121" s="17"/>
      <c r="K121" s="831"/>
    </row>
    <row r="122" spans="1:11" s="825" customFormat="1" ht="16.5" x14ac:dyDescent="0.3">
      <c r="B122" s="825" t="s">
        <v>47</v>
      </c>
      <c r="C122" s="831">
        <v>449380.96</v>
      </c>
      <c r="D122" s="826"/>
      <c r="E122" s="826" t="s">
        <v>1158</v>
      </c>
      <c r="F122" s="826"/>
      <c r="G122" s="826"/>
      <c r="H122" s="826"/>
      <c r="I122" s="17"/>
      <c r="K122" s="831"/>
    </row>
    <row r="123" spans="1:11" s="825" customFormat="1" ht="16.5" x14ac:dyDescent="0.3">
      <c r="B123" s="825" t="s">
        <v>106</v>
      </c>
      <c r="C123" s="831">
        <v>1636918.4299999997</v>
      </c>
      <c r="D123" s="826"/>
      <c r="E123" s="826" t="s">
        <v>1159</v>
      </c>
      <c r="F123" s="826"/>
      <c r="G123" s="826"/>
      <c r="H123" s="826"/>
      <c r="I123" s="17"/>
      <c r="K123" s="831"/>
    </row>
    <row r="124" spans="1:11" s="825" customFormat="1" ht="17.25" thickBot="1" x14ac:dyDescent="0.35">
      <c r="C124" s="241">
        <f>SUM(C121:C123)</f>
        <v>2208112.9499999997</v>
      </c>
      <c r="D124" s="826"/>
      <c r="E124" s="826"/>
      <c r="F124" s="826"/>
      <c r="G124" s="826"/>
      <c r="H124" s="826"/>
      <c r="I124" s="17"/>
      <c r="K124" s="831"/>
    </row>
    <row r="125" spans="1:11" ht="20.100000000000001" customHeight="1" thickTop="1" x14ac:dyDescent="0.3">
      <c r="A125" s="131"/>
      <c r="B125" s="131"/>
      <c r="C125" s="49"/>
      <c r="D125" s="132"/>
      <c r="E125" s="132"/>
      <c r="F125" s="132"/>
      <c r="G125" s="132"/>
      <c r="H125" s="132"/>
      <c r="I125" s="17"/>
      <c r="J125" s="131"/>
    </row>
    <row r="126" spans="1:11" ht="20.100000000000001" customHeight="1" x14ac:dyDescent="0.3">
      <c r="A126" s="134"/>
      <c r="B126" s="135"/>
      <c r="C126" s="136"/>
      <c r="D126" s="132"/>
      <c r="E126" s="132"/>
      <c r="F126" s="132"/>
      <c r="G126" s="132"/>
      <c r="H126" s="132"/>
      <c r="I126" s="17"/>
      <c r="J126" s="131"/>
    </row>
    <row r="127" spans="1:11" s="825" customFormat="1" ht="16.5" x14ac:dyDescent="0.3">
      <c r="A127" s="899" t="s">
        <v>1216</v>
      </c>
      <c r="B127" s="899"/>
      <c r="C127" s="899"/>
      <c r="D127" s="899"/>
      <c r="E127" s="899"/>
      <c r="F127" s="899"/>
      <c r="G127" s="899"/>
      <c r="H127" s="899"/>
      <c r="I127" s="899"/>
      <c r="J127" s="899"/>
      <c r="K127" s="831"/>
    </row>
    <row r="128" spans="1:11" s="825" customFormat="1" ht="16.5" x14ac:dyDescent="0.3">
      <c r="A128" s="781"/>
      <c r="B128" s="781"/>
      <c r="C128" s="803"/>
      <c r="D128" s="780"/>
      <c r="E128" s="780"/>
      <c r="F128" s="780"/>
      <c r="G128" s="780"/>
      <c r="H128" s="780"/>
      <c r="I128" s="782"/>
      <c r="J128" s="781"/>
      <c r="K128" s="831"/>
    </row>
    <row r="129" spans="1:11" s="825" customFormat="1" ht="33" x14ac:dyDescent="0.3">
      <c r="A129" s="228" t="s">
        <v>1217</v>
      </c>
      <c r="B129" s="229" t="s">
        <v>40</v>
      </c>
      <c r="C129" s="230" t="s">
        <v>1218</v>
      </c>
      <c r="D129" s="229" t="s">
        <v>42</v>
      </c>
      <c r="E129" s="229" t="s">
        <v>43</v>
      </c>
      <c r="F129" s="229" t="s">
        <v>44</v>
      </c>
      <c r="G129" s="229" t="s">
        <v>20</v>
      </c>
      <c r="H129" s="229" t="s">
        <v>45</v>
      </c>
      <c r="I129" s="229" t="s">
        <v>22</v>
      </c>
      <c r="J129" s="229" t="s">
        <v>46</v>
      </c>
      <c r="K129" s="831"/>
    </row>
    <row r="130" spans="1:11" s="825" customFormat="1" ht="16.5" x14ac:dyDescent="0.3">
      <c r="A130" s="231" t="s">
        <v>47</v>
      </c>
      <c r="B130" s="377">
        <v>571194.52000001445</v>
      </c>
      <c r="C130" s="383">
        <v>31924399.469999999</v>
      </c>
      <c r="D130" s="234">
        <v>5053660.59</v>
      </c>
      <c r="E130" s="234">
        <v>174287.8</v>
      </c>
      <c r="F130" s="377">
        <f>B130+C130-D130-E130</f>
        <v>27267645.600000013</v>
      </c>
      <c r="G130" s="377">
        <f>29656525.66-D130-E130</f>
        <v>24428577.27</v>
      </c>
      <c r="H130" s="377">
        <f>+G130/F130*100</f>
        <v>89.588142769465904</v>
      </c>
      <c r="I130" s="377">
        <f>F130-G130</f>
        <v>2839068.3300000131</v>
      </c>
      <c r="J130" s="377">
        <f>+I130/F130*100</f>
        <v>10.411857230534094</v>
      </c>
      <c r="K130" s="831"/>
    </row>
    <row r="131" spans="1:11" s="825" customFormat="1" ht="16.5" x14ac:dyDescent="0.3">
      <c r="A131" s="235" t="s">
        <v>106</v>
      </c>
      <c r="B131" s="238">
        <v>1636918.4299999997</v>
      </c>
      <c r="C131" s="383">
        <v>14676844.24</v>
      </c>
      <c r="D131" s="236">
        <v>598737.96</v>
      </c>
      <c r="E131" s="236">
        <v>84589.92</v>
      </c>
      <c r="F131" s="237">
        <f>B131+C131-D131-E131</f>
        <v>15630434.790000001</v>
      </c>
      <c r="G131" s="237">
        <f>14703071.92-D131-E131</f>
        <v>14019744.040000001</v>
      </c>
      <c r="H131" s="377">
        <f>+G131/F131*100</f>
        <v>89.695163495832603</v>
      </c>
      <c r="I131" s="238">
        <f>F131-G131</f>
        <v>1610690.75</v>
      </c>
      <c r="J131" s="377">
        <f>+I131/F131*100</f>
        <v>10.304836504167392</v>
      </c>
      <c r="K131" s="831"/>
    </row>
    <row r="132" spans="1:11" s="825" customFormat="1" ht="17.25" thickBot="1" x14ac:dyDescent="0.35">
      <c r="A132" s="575" t="s">
        <v>36</v>
      </c>
      <c r="B132" s="239">
        <f t="shared" ref="B132:G132" si="9">SUM(B130:B131)</f>
        <v>2208112.9500000142</v>
      </c>
      <c r="C132" s="576">
        <f t="shared" si="9"/>
        <v>46601243.710000001</v>
      </c>
      <c r="D132" s="240">
        <f t="shared" si="9"/>
        <v>5652398.5499999998</v>
      </c>
      <c r="E132" s="240">
        <f t="shared" si="9"/>
        <v>258877.71999999997</v>
      </c>
      <c r="F132" s="239">
        <f t="shared" si="9"/>
        <v>42898080.390000015</v>
      </c>
      <c r="G132" s="239">
        <f t="shared" si="9"/>
        <v>38448321.310000002</v>
      </c>
      <c r="H132" s="239">
        <f>+G132/F132*100</f>
        <v>89.627137066400536</v>
      </c>
      <c r="I132" s="239">
        <f>SUM(I130:I131)</f>
        <v>4449759.0800000131</v>
      </c>
      <c r="J132" s="239">
        <f>+I132/F132*100</f>
        <v>10.372862933599466</v>
      </c>
      <c r="K132" s="831"/>
    </row>
    <row r="133" spans="1:11" s="825" customFormat="1" ht="17.25" thickTop="1" x14ac:dyDescent="0.3">
      <c r="A133" s="91"/>
      <c r="B133" s="37"/>
      <c r="C133" s="92"/>
      <c r="D133" s="37"/>
      <c r="E133" s="37"/>
      <c r="F133" s="37"/>
      <c r="G133" s="37"/>
      <c r="H133" s="37"/>
      <c r="I133" s="37"/>
      <c r="J133" s="37"/>
      <c r="K133" s="831"/>
    </row>
    <row r="134" spans="1:11" s="825" customFormat="1" ht="16.5" x14ac:dyDescent="0.3">
      <c r="A134" s="767" t="s">
        <v>84</v>
      </c>
      <c r="B134" s="825" t="s">
        <v>107</v>
      </c>
      <c r="C134" s="831"/>
      <c r="D134" s="826"/>
      <c r="E134" s="826"/>
      <c r="F134" s="826"/>
      <c r="G134" s="826"/>
      <c r="H134" s="826"/>
      <c r="I134" s="17"/>
      <c r="K134" s="831"/>
    </row>
    <row r="135" spans="1:11" s="825" customFormat="1" ht="16.5" x14ac:dyDescent="0.3">
      <c r="C135" s="831"/>
      <c r="D135" s="826"/>
      <c r="E135" s="826"/>
      <c r="F135" s="826"/>
      <c r="G135" s="826"/>
      <c r="H135" s="826"/>
      <c r="I135" s="17"/>
      <c r="K135" s="831"/>
    </row>
    <row r="136" spans="1:11" s="825" customFormat="1" ht="16.5" x14ac:dyDescent="0.3">
      <c r="A136" s="134" t="s">
        <v>96</v>
      </c>
      <c r="B136" s="135" t="s">
        <v>1219</v>
      </c>
      <c r="C136" s="136" t="s">
        <v>52</v>
      </c>
      <c r="D136" s="826"/>
      <c r="E136" s="826"/>
      <c r="F136" s="826"/>
      <c r="G136" s="826"/>
      <c r="H136" s="826"/>
      <c r="I136" s="17"/>
      <c r="K136" s="831"/>
    </row>
    <row r="137" spans="1:11" s="825" customFormat="1" ht="16.5" x14ac:dyDescent="0.3">
      <c r="B137" s="825" t="s">
        <v>47</v>
      </c>
      <c r="C137" s="831">
        <v>2839068.3300000131</v>
      </c>
      <c r="D137" s="826"/>
      <c r="E137" s="826" t="s">
        <v>1220</v>
      </c>
      <c r="F137" s="826"/>
      <c r="G137" s="826"/>
      <c r="H137" s="826"/>
      <c r="I137" s="17"/>
      <c r="K137" s="831"/>
    </row>
    <row r="138" spans="1:11" s="825" customFormat="1" ht="16.5" x14ac:dyDescent="0.3">
      <c r="B138" s="825" t="s">
        <v>106</v>
      </c>
      <c r="C138" s="831">
        <v>1610690.75</v>
      </c>
      <c r="D138" s="826"/>
      <c r="E138" s="826" t="s">
        <v>1220</v>
      </c>
      <c r="F138" s="826"/>
      <c r="G138" s="826"/>
      <c r="H138" s="826"/>
      <c r="I138" s="17"/>
      <c r="K138" s="831"/>
    </row>
    <row r="139" spans="1:11" s="825" customFormat="1" ht="17.25" thickBot="1" x14ac:dyDescent="0.35">
      <c r="C139" s="241">
        <f>SUM(C137:C138)</f>
        <v>4449759.0800000131</v>
      </c>
      <c r="D139" s="826"/>
      <c r="E139" s="826"/>
      <c r="F139" s="826"/>
      <c r="G139" s="826"/>
      <c r="H139" s="826"/>
      <c r="I139" s="17"/>
      <c r="K139" s="831"/>
    </row>
    <row r="140" spans="1:11" s="825" customFormat="1" ht="17.25" thickTop="1" x14ac:dyDescent="0.3">
      <c r="C140" s="831"/>
      <c r="D140" s="826"/>
      <c r="E140" s="826"/>
      <c r="F140" s="826"/>
      <c r="G140" s="826"/>
      <c r="H140" s="826"/>
      <c r="I140" s="17"/>
      <c r="K140" s="831"/>
    </row>
    <row r="141" spans="1:11" ht="20.100000000000001" customHeight="1" x14ac:dyDescent="0.25">
      <c r="A141" s="91"/>
      <c r="B141" s="37"/>
      <c r="C141" s="92"/>
      <c r="D141" s="37"/>
      <c r="E141" s="37"/>
      <c r="F141" s="37"/>
      <c r="G141" s="37"/>
      <c r="H141" s="37"/>
      <c r="I141" s="37"/>
      <c r="J141" s="37"/>
    </row>
    <row r="142" spans="1:11" s="825" customFormat="1" ht="16.5" x14ac:dyDescent="0.3">
      <c r="C142" s="831"/>
      <c r="D142" s="826"/>
      <c r="E142" s="826"/>
      <c r="F142" s="826"/>
      <c r="G142" s="826"/>
      <c r="H142" s="826"/>
      <c r="I142" s="17"/>
      <c r="K142" s="831"/>
    </row>
    <row r="143" spans="1:11" s="825" customFormat="1" ht="16.5" x14ac:dyDescent="0.3">
      <c r="A143" s="899" t="s">
        <v>1313</v>
      </c>
      <c r="B143" s="899"/>
      <c r="C143" s="899"/>
      <c r="D143" s="899"/>
      <c r="E143" s="899"/>
      <c r="F143" s="899"/>
      <c r="G143" s="899"/>
      <c r="H143" s="899"/>
      <c r="I143" s="899"/>
      <c r="J143" s="899"/>
      <c r="K143" s="831"/>
    </row>
    <row r="144" spans="1:11" s="825" customFormat="1" ht="16.5" x14ac:dyDescent="0.3">
      <c r="A144" s="781"/>
      <c r="B144" s="781"/>
      <c r="C144" s="803"/>
      <c r="D144" s="780"/>
      <c r="E144" s="780"/>
      <c r="F144" s="780"/>
      <c r="G144" s="780"/>
      <c r="H144" s="780"/>
      <c r="I144" s="782"/>
      <c r="J144" s="781"/>
      <c r="K144" s="831"/>
    </row>
    <row r="145" spans="1:11" s="825" customFormat="1" ht="33" x14ac:dyDescent="0.3">
      <c r="A145" s="228" t="s">
        <v>1314</v>
      </c>
      <c r="B145" s="229" t="s">
        <v>40</v>
      </c>
      <c r="C145" s="230" t="s">
        <v>1315</v>
      </c>
      <c r="D145" s="229" t="s">
        <v>42</v>
      </c>
      <c r="E145" s="229" t="s">
        <v>43</v>
      </c>
      <c r="F145" s="229" t="s">
        <v>44</v>
      </c>
      <c r="G145" s="229" t="s">
        <v>20</v>
      </c>
      <c r="H145" s="229" t="s">
        <v>45</v>
      </c>
      <c r="I145" s="229" t="s">
        <v>22</v>
      </c>
      <c r="J145" s="229" t="s">
        <v>46</v>
      </c>
      <c r="K145" s="831"/>
    </row>
    <row r="146" spans="1:11" s="825" customFormat="1" ht="16.5" x14ac:dyDescent="0.3">
      <c r="A146" s="231" t="s">
        <v>47</v>
      </c>
      <c r="B146" s="377">
        <v>2839068.3300000131</v>
      </c>
      <c r="C146" s="383">
        <f>37128677.8-69850.36</f>
        <v>37058827.439999998</v>
      </c>
      <c r="D146" s="234">
        <v>7863704.3799999999</v>
      </c>
      <c r="E146" s="234">
        <v>66915.47</v>
      </c>
      <c r="F146" s="377">
        <f>B146+C146-D146-E146</f>
        <v>31967275.920000013</v>
      </c>
      <c r="G146" s="377">
        <f>33147018.06-D146-E146</f>
        <v>25216398.210000001</v>
      </c>
      <c r="H146" s="377">
        <f>+G146/F146*100</f>
        <v>78.881911217913967</v>
      </c>
      <c r="I146" s="377">
        <f>F146-G146</f>
        <v>6750877.7100000121</v>
      </c>
      <c r="J146" s="377">
        <f>+I146/F146*100</f>
        <v>21.11808878208603</v>
      </c>
      <c r="K146" s="831"/>
    </row>
    <row r="147" spans="1:11" s="825" customFormat="1" ht="16.5" x14ac:dyDescent="0.3">
      <c r="A147" s="235" t="s">
        <v>106</v>
      </c>
      <c r="B147" s="238">
        <v>1610690.75</v>
      </c>
      <c r="C147" s="383">
        <v>23745316.52</v>
      </c>
      <c r="D147" s="236">
        <v>2274832.7400000002</v>
      </c>
      <c r="E147" s="236">
        <v>0</v>
      </c>
      <c r="F147" s="237">
        <f>B147+C147-D147-E147</f>
        <v>23081174.530000001</v>
      </c>
      <c r="G147" s="237">
        <f>16796290.91-D147-E147</f>
        <v>14521458.17</v>
      </c>
      <c r="H147" s="377">
        <f>+G147/F147*100</f>
        <v>62.914727979399757</v>
      </c>
      <c r="I147" s="238">
        <f>F147-G147</f>
        <v>8559716.3600000013</v>
      </c>
      <c r="J147" s="377">
        <f>+I147/F147*100</f>
        <v>37.085272020600243</v>
      </c>
      <c r="K147" s="831"/>
    </row>
    <row r="148" spans="1:11" s="825" customFormat="1" ht="17.25" thickBot="1" x14ac:dyDescent="0.35">
      <c r="A148" s="575" t="s">
        <v>36</v>
      </c>
      <c r="B148" s="239">
        <f t="shared" ref="B148:G148" si="10">SUM(B146:B147)</f>
        <v>4449759.0800000131</v>
      </c>
      <c r="C148" s="576">
        <f t="shared" si="10"/>
        <v>60804143.959999993</v>
      </c>
      <c r="D148" s="240">
        <f t="shared" si="10"/>
        <v>10138537.120000001</v>
      </c>
      <c r="E148" s="240">
        <f t="shared" si="10"/>
        <v>66915.47</v>
      </c>
      <c r="F148" s="239">
        <f t="shared" si="10"/>
        <v>55048450.450000018</v>
      </c>
      <c r="G148" s="239">
        <f t="shared" si="10"/>
        <v>39737856.380000003</v>
      </c>
      <c r="H148" s="239">
        <f>+G148/F148*100</f>
        <v>72.187057138136012</v>
      </c>
      <c r="I148" s="239">
        <f>SUM(I146:I147)</f>
        <v>15310594.070000013</v>
      </c>
      <c r="J148" s="239">
        <f>+I148/F148*100</f>
        <v>27.812942861863988</v>
      </c>
      <c r="K148" s="831"/>
    </row>
    <row r="149" spans="1:11" s="825" customFormat="1" ht="17.25" thickTop="1" x14ac:dyDescent="0.3">
      <c r="A149" s="91"/>
      <c r="B149" s="37"/>
      <c r="C149" s="92"/>
      <c r="D149" s="37"/>
      <c r="E149" s="37"/>
      <c r="F149" s="37"/>
      <c r="G149" s="37"/>
      <c r="H149" s="37"/>
      <c r="I149" s="37"/>
      <c r="J149" s="37"/>
      <c r="K149" s="831"/>
    </row>
    <row r="150" spans="1:11" s="825" customFormat="1" ht="16.5" x14ac:dyDescent="0.3">
      <c r="A150" s="767" t="s">
        <v>84</v>
      </c>
      <c r="B150" s="825" t="s">
        <v>107</v>
      </c>
      <c r="C150" s="831"/>
      <c r="D150" s="826"/>
      <c r="E150" s="826"/>
      <c r="F150" s="826"/>
      <c r="G150" s="826"/>
      <c r="H150" s="826"/>
      <c r="I150" s="17"/>
      <c r="K150" s="831"/>
    </row>
    <row r="151" spans="1:11" s="825" customFormat="1" ht="16.5" x14ac:dyDescent="0.3">
      <c r="C151" s="831"/>
      <c r="D151" s="826"/>
      <c r="E151" s="826"/>
      <c r="F151" s="826"/>
      <c r="G151" s="826"/>
      <c r="H151" s="826"/>
      <c r="I151" s="17"/>
      <c r="K151" s="831"/>
    </row>
    <row r="152" spans="1:11" s="825" customFormat="1" ht="16.5" x14ac:dyDescent="0.3">
      <c r="A152" s="134" t="s">
        <v>96</v>
      </c>
      <c r="B152" s="135" t="s">
        <v>1316</v>
      </c>
      <c r="C152" s="136" t="s">
        <v>52</v>
      </c>
      <c r="D152" s="826"/>
      <c r="E152" s="826"/>
      <c r="F152" s="826"/>
      <c r="G152" s="826"/>
      <c r="H152" s="826"/>
      <c r="I152" s="17"/>
      <c r="K152" s="831"/>
    </row>
    <row r="153" spans="1:11" s="825" customFormat="1" ht="16.5" x14ac:dyDescent="0.3">
      <c r="B153" s="825" t="s">
        <v>47</v>
      </c>
      <c r="C153" s="831">
        <v>6750877.7100000121</v>
      </c>
      <c r="D153" s="826"/>
      <c r="E153" s="826" t="s">
        <v>1317</v>
      </c>
      <c r="F153" s="826"/>
      <c r="G153" s="826"/>
      <c r="H153" s="826"/>
      <c r="I153" s="17"/>
      <c r="K153" s="831"/>
    </row>
    <row r="154" spans="1:11" s="825" customFormat="1" ht="16.5" x14ac:dyDescent="0.3">
      <c r="B154" s="825" t="s">
        <v>106</v>
      </c>
      <c r="C154" s="831">
        <v>8559716.3599999994</v>
      </c>
      <c r="D154" s="826"/>
      <c r="E154" s="826" t="s">
        <v>1317</v>
      </c>
      <c r="F154" s="826"/>
      <c r="G154" s="826"/>
      <c r="H154" s="826"/>
      <c r="I154" s="17"/>
      <c r="K154" s="831"/>
    </row>
    <row r="155" spans="1:11" s="825" customFormat="1" ht="17.25" thickBot="1" x14ac:dyDescent="0.35">
      <c r="C155" s="241">
        <f>SUM(C153:C154)</f>
        <v>15310594.070000011</v>
      </c>
      <c r="D155" s="826"/>
      <c r="E155" s="826"/>
      <c r="F155" s="826"/>
      <c r="G155" s="826"/>
      <c r="H155" s="826"/>
      <c r="I155" s="17"/>
      <c r="K155" s="831"/>
    </row>
    <row r="156" spans="1:11" s="825" customFormat="1" ht="17.25" thickTop="1" x14ac:dyDescent="0.3">
      <c r="C156" s="831"/>
      <c r="D156" s="826"/>
      <c r="E156" s="826"/>
      <c r="F156" s="826"/>
      <c r="G156" s="826"/>
      <c r="H156" s="826"/>
      <c r="I156" s="17"/>
      <c r="K156" s="831"/>
    </row>
    <row r="157" spans="1:11" s="825" customFormat="1" ht="16.5" x14ac:dyDescent="0.3">
      <c r="A157" s="899"/>
      <c r="B157" s="899"/>
      <c r="C157" s="899"/>
      <c r="D157" s="899"/>
      <c r="E157" s="899"/>
      <c r="F157" s="899"/>
      <c r="G157" s="899"/>
      <c r="H157" s="899"/>
      <c r="I157" s="899"/>
      <c r="J157" s="899"/>
      <c r="K157" s="831"/>
    </row>
    <row r="158" spans="1:11" s="825" customFormat="1" ht="16.5" x14ac:dyDescent="0.3">
      <c r="A158" s="899" t="s">
        <v>1425</v>
      </c>
      <c r="B158" s="899"/>
      <c r="C158" s="899"/>
      <c r="D158" s="899"/>
      <c r="E158" s="899"/>
      <c r="F158" s="899"/>
      <c r="G158" s="899"/>
      <c r="H158" s="899"/>
      <c r="I158" s="899"/>
      <c r="J158" s="899"/>
      <c r="K158" s="831"/>
    </row>
    <row r="159" spans="1:11" s="825" customFormat="1" ht="16.5" x14ac:dyDescent="0.3">
      <c r="A159" s="781"/>
      <c r="B159" s="781"/>
      <c r="C159" s="803"/>
      <c r="D159" s="780"/>
      <c r="E159" s="780"/>
      <c r="F159" s="780"/>
      <c r="G159" s="780"/>
      <c r="H159" s="780"/>
      <c r="I159" s="782"/>
      <c r="J159" s="781"/>
      <c r="K159" s="831"/>
    </row>
    <row r="160" spans="1:11" s="825" customFormat="1" ht="33" x14ac:dyDescent="0.3">
      <c r="A160" s="228" t="s">
        <v>1426</v>
      </c>
      <c r="B160" s="229" t="s">
        <v>40</v>
      </c>
      <c r="C160" s="230" t="s">
        <v>1427</v>
      </c>
      <c r="D160" s="229" t="s">
        <v>42</v>
      </c>
      <c r="E160" s="229" t="s">
        <v>43</v>
      </c>
      <c r="F160" s="229" t="s">
        <v>44</v>
      </c>
      <c r="G160" s="229" t="s">
        <v>20</v>
      </c>
      <c r="H160" s="229" t="s">
        <v>45</v>
      </c>
      <c r="I160" s="229" t="s">
        <v>22</v>
      </c>
      <c r="J160" s="229" t="s">
        <v>46</v>
      </c>
      <c r="K160" s="831"/>
    </row>
    <row r="161" spans="1:11" s="825" customFormat="1" ht="16.5" x14ac:dyDescent="0.3">
      <c r="A161" s="231" t="s">
        <v>47</v>
      </c>
      <c r="B161" s="377">
        <v>6750877.7100000121</v>
      </c>
      <c r="C161" s="383">
        <f>24317757.73-10065.14</f>
        <v>24307692.59</v>
      </c>
      <c r="D161" s="234">
        <v>5343531.68</v>
      </c>
      <c r="E161" s="234">
        <v>131968.87</v>
      </c>
      <c r="F161" s="377">
        <f>B161+C161-D161-E161</f>
        <v>25583069.750000011</v>
      </c>
      <c r="G161" s="377">
        <f>27393705.67+21907.92-D161-E161</f>
        <v>21940113.040000003</v>
      </c>
      <c r="H161" s="377">
        <f>+G161/F161*100</f>
        <v>85.760283087216266</v>
      </c>
      <c r="I161" s="377">
        <f>F161-G161</f>
        <v>3642956.7100000083</v>
      </c>
      <c r="J161" s="377">
        <f>+I161/F161*100</f>
        <v>14.239716912783724</v>
      </c>
      <c r="K161" s="831"/>
    </row>
    <row r="162" spans="1:11" s="825" customFormat="1" ht="16.5" x14ac:dyDescent="0.3">
      <c r="A162" s="235" t="s">
        <v>106</v>
      </c>
      <c r="B162" s="238">
        <v>8559716.3600000013</v>
      </c>
      <c r="C162" s="383">
        <v>29642967.640000001</v>
      </c>
      <c r="D162" s="236">
        <v>3641872.9</v>
      </c>
      <c r="E162" s="236">
        <v>0</v>
      </c>
      <c r="F162" s="237">
        <f>B162+C162-D162-E162</f>
        <v>34560811.100000001</v>
      </c>
      <c r="G162" s="237">
        <f>28750930.59-D162-E162</f>
        <v>25109057.690000001</v>
      </c>
      <c r="H162" s="377">
        <f>+G162/F162*100</f>
        <v>72.651818319159773</v>
      </c>
      <c r="I162" s="238">
        <f>F162-G162</f>
        <v>9451753.4100000001</v>
      </c>
      <c r="J162" s="377">
        <f>+I162/F162*100</f>
        <v>27.348181680840238</v>
      </c>
      <c r="K162" s="831"/>
    </row>
    <row r="163" spans="1:11" s="825" customFormat="1" ht="17.25" thickBot="1" x14ac:dyDescent="0.35">
      <c r="A163" s="575" t="s">
        <v>36</v>
      </c>
      <c r="B163" s="239">
        <f t="shared" ref="B163:G163" si="11">SUM(B161:B162)</f>
        <v>15310594.070000013</v>
      </c>
      <c r="C163" s="576">
        <f t="shared" si="11"/>
        <v>53950660.230000004</v>
      </c>
      <c r="D163" s="240">
        <f t="shared" si="11"/>
        <v>8985404.5800000001</v>
      </c>
      <c r="E163" s="240">
        <f t="shared" si="11"/>
        <v>131968.87</v>
      </c>
      <c r="F163" s="239">
        <f t="shared" si="11"/>
        <v>60143880.850000009</v>
      </c>
      <c r="G163" s="239">
        <f t="shared" si="11"/>
        <v>47049170.730000004</v>
      </c>
      <c r="H163" s="239">
        <f>+G163/F163*100</f>
        <v>78.227693432922194</v>
      </c>
      <c r="I163" s="239">
        <f>SUM(I161:I162)</f>
        <v>13094710.120000008</v>
      </c>
      <c r="J163" s="239">
        <f>+I163/F163*100</f>
        <v>21.772306567077816</v>
      </c>
      <c r="K163" s="831"/>
    </row>
    <row r="164" spans="1:11" s="825" customFormat="1" ht="17.25" thickTop="1" x14ac:dyDescent="0.3">
      <c r="A164" s="91"/>
      <c r="B164" s="37"/>
      <c r="C164" s="92"/>
      <c r="D164" s="37"/>
      <c r="E164" s="37"/>
      <c r="F164" s="37"/>
      <c r="G164" s="37"/>
      <c r="H164" s="37"/>
      <c r="I164" s="37"/>
      <c r="J164" s="37"/>
      <c r="K164" s="831"/>
    </row>
    <row r="165" spans="1:11" s="825" customFormat="1" ht="16.5" x14ac:dyDescent="0.3">
      <c r="A165" s="767" t="s">
        <v>84</v>
      </c>
      <c r="B165" s="825" t="s">
        <v>107</v>
      </c>
      <c r="C165" s="831"/>
      <c r="D165" s="826"/>
      <c r="E165" s="826"/>
      <c r="F165" s="826"/>
      <c r="G165" s="826"/>
      <c r="H165" s="826"/>
      <c r="I165" s="17"/>
      <c r="K165" s="831"/>
    </row>
    <row r="166" spans="1:11" s="825" customFormat="1" ht="16.5" x14ac:dyDescent="0.3">
      <c r="C166" s="831"/>
      <c r="D166" s="826"/>
      <c r="E166" s="826"/>
      <c r="F166" s="826"/>
      <c r="G166" s="826"/>
      <c r="H166" s="826"/>
      <c r="I166" s="17"/>
      <c r="K166" s="831"/>
    </row>
    <row r="167" spans="1:11" s="825" customFormat="1" ht="16.5" x14ac:dyDescent="0.3">
      <c r="A167" s="134" t="s">
        <v>96</v>
      </c>
      <c r="B167" s="135" t="s">
        <v>1428</v>
      </c>
      <c r="C167" s="136" t="s">
        <v>52</v>
      </c>
      <c r="D167" s="826"/>
      <c r="E167" s="826"/>
      <c r="F167" s="826"/>
      <c r="G167" s="826"/>
      <c r="H167" s="826"/>
      <c r="I167" s="17"/>
      <c r="K167" s="831"/>
    </row>
    <row r="168" spans="1:11" s="825" customFormat="1" ht="16.5" x14ac:dyDescent="0.3">
      <c r="B168" s="825" t="s">
        <v>47</v>
      </c>
      <c r="C168" s="831">
        <v>249.85</v>
      </c>
      <c r="D168" s="826"/>
      <c r="E168" s="826" t="s">
        <v>1429</v>
      </c>
      <c r="F168" s="826"/>
      <c r="G168" s="826"/>
      <c r="H168" s="826"/>
      <c r="I168" s="17"/>
      <c r="K168" s="831"/>
    </row>
    <row r="169" spans="1:11" s="825" customFormat="1" ht="16.5" x14ac:dyDescent="0.3">
      <c r="B169" s="825" t="s">
        <v>47</v>
      </c>
      <c r="C169" s="831">
        <v>525378.6</v>
      </c>
      <c r="D169" s="826"/>
      <c r="E169" s="826" t="s">
        <v>1436</v>
      </c>
      <c r="F169" s="826"/>
      <c r="G169" s="826"/>
      <c r="H169" s="826"/>
      <c r="I169" s="17"/>
      <c r="K169" s="831"/>
    </row>
    <row r="170" spans="1:11" s="825" customFormat="1" ht="16.5" x14ac:dyDescent="0.3">
      <c r="B170" s="825" t="s">
        <v>47</v>
      </c>
      <c r="C170" s="831">
        <v>3117328.26</v>
      </c>
      <c r="D170" s="826"/>
      <c r="E170" s="826" t="s">
        <v>1520</v>
      </c>
      <c r="F170" s="826"/>
      <c r="G170" s="826"/>
      <c r="H170" s="826"/>
      <c r="I170" s="17"/>
      <c r="K170" s="831"/>
    </row>
    <row r="171" spans="1:11" s="825" customFormat="1" ht="16.5" x14ac:dyDescent="0.3">
      <c r="B171" s="825" t="s">
        <v>106</v>
      </c>
      <c r="C171" s="831">
        <v>8349901.6500000004</v>
      </c>
      <c r="D171" s="826"/>
      <c r="E171" s="826" t="s">
        <v>1520</v>
      </c>
      <c r="F171" s="826"/>
      <c r="G171" s="826"/>
      <c r="H171" s="826"/>
      <c r="I171" s="17"/>
      <c r="K171" s="831"/>
    </row>
    <row r="172" spans="1:11" s="825" customFormat="1" ht="16.5" x14ac:dyDescent="0.3">
      <c r="B172" s="825" t="s">
        <v>106</v>
      </c>
      <c r="C172" s="831">
        <v>1101851.76</v>
      </c>
      <c r="D172" s="826"/>
      <c r="E172" s="826" t="s">
        <v>1521</v>
      </c>
      <c r="F172" s="826"/>
      <c r="G172" s="826"/>
      <c r="H172" s="826"/>
      <c r="I172" s="17"/>
      <c r="K172" s="831"/>
    </row>
    <row r="173" spans="1:11" s="825" customFormat="1" ht="17.25" thickBot="1" x14ac:dyDescent="0.35">
      <c r="C173" s="241">
        <f>SUM(C168:C172)</f>
        <v>13094710.119999999</v>
      </c>
      <c r="D173" s="826"/>
      <c r="E173" s="826"/>
      <c r="F173" s="826"/>
      <c r="G173" s="826"/>
      <c r="H173" s="826"/>
      <c r="I173" s="17"/>
      <c r="K173" s="831"/>
    </row>
    <row r="174" spans="1:11" ht="20.100000000000001" customHeight="1" thickTop="1" x14ac:dyDescent="0.25">
      <c r="C174" s="40"/>
    </row>
    <row r="175" spans="1:11" ht="20.100000000000001" customHeight="1" x14ac:dyDescent="0.25">
      <c r="C175" s="40"/>
    </row>
    <row r="176" spans="1:11" ht="20.100000000000001" customHeight="1" x14ac:dyDescent="0.25">
      <c r="C176" s="126"/>
    </row>
    <row r="177" spans="3:3" ht="20.100000000000001" customHeight="1" x14ac:dyDescent="0.25">
      <c r="C177" s="40"/>
    </row>
    <row r="178" spans="3:3" ht="20.100000000000001" customHeight="1" x14ac:dyDescent="0.25">
      <c r="C178" s="40"/>
    </row>
    <row r="179" spans="3:3" ht="20.100000000000001" customHeight="1" x14ac:dyDescent="0.25">
      <c r="C179" s="40"/>
    </row>
    <row r="180" spans="3:3" ht="20.100000000000001" customHeight="1" x14ac:dyDescent="0.25">
      <c r="C180" s="126"/>
    </row>
    <row r="181" spans="3:3" ht="20.100000000000001" customHeight="1" x14ac:dyDescent="0.25">
      <c r="C181" s="40"/>
    </row>
    <row r="182" spans="3:3" ht="20.100000000000001" customHeight="1" x14ac:dyDescent="0.25">
      <c r="C182" s="126"/>
    </row>
    <row r="183" spans="3:3" ht="20.100000000000001" customHeight="1" x14ac:dyDescent="0.25">
      <c r="C183" s="40"/>
    </row>
    <row r="184" spans="3:3" ht="20.100000000000001" customHeight="1" x14ac:dyDescent="0.25">
      <c r="C184" s="126"/>
    </row>
    <row r="185" spans="3:3" ht="20.100000000000001" customHeight="1" x14ac:dyDescent="0.25">
      <c r="C185" s="40"/>
    </row>
    <row r="186" spans="3:3" ht="20.100000000000001" customHeight="1" x14ac:dyDescent="0.25">
      <c r="C186" s="126"/>
    </row>
    <row r="187" spans="3:3" ht="20.100000000000001" customHeight="1" x14ac:dyDescent="0.25">
      <c r="C187" s="40"/>
    </row>
    <row r="188" spans="3:3" ht="20.100000000000001" customHeight="1" x14ac:dyDescent="0.25">
      <c r="C188" s="40"/>
    </row>
    <row r="189" spans="3:3" ht="20.100000000000001" customHeight="1" x14ac:dyDescent="0.25">
      <c r="C189" s="40"/>
    </row>
    <row r="190" spans="3:3" ht="20.100000000000001" customHeight="1" x14ac:dyDescent="0.25">
      <c r="C190" s="126"/>
    </row>
    <row r="191" spans="3:3" ht="20.100000000000001" customHeight="1" x14ac:dyDescent="0.25">
      <c r="C191" s="40"/>
    </row>
    <row r="193" spans="1:10" ht="20.100000000000001" customHeight="1" x14ac:dyDescent="0.25">
      <c r="A193" s="905"/>
      <c r="B193" s="905"/>
      <c r="C193" s="905"/>
      <c r="D193" s="905"/>
      <c r="E193" s="905"/>
      <c r="F193" s="905"/>
      <c r="G193" s="905"/>
      <c r="H193" s="905"/>
      <c r="I193" s="905"/>
      <c r="J193" s="905"/>
    </row>
    <row r="194" spans="1:10" ht="20.100000000000001" customHeight="1" x14ac:dyDescent="0.25">
      <c r="C194" s="40"/>
    </row>
    <row r="195" spans="1:10" ht="20.100000000000001" customHeight="1" x14ac:dyDescent="0.25">
      <c r="A195" s="74"/>
      <c r="B195" s="76"/>
      <c r="C195" s="143"/>
      <c r="D195" s="76"/>
      <c r="E195" s="76"/>
      <c r="F195" s="76"/>
      <c r="G195" s="76"/>
      <c r="H195" s="76"/>
      <c r="I195" s="76"/>
      <c r="J195" s="76"/>
    </row>
    <row r="196" spans="1:10" ht="20.100000000000001" customHeight="1" x14ac:dyDescent="0.25">
      <c r="A196" s="135"/>
      <c r="B196" s="19"/>
      <c r="C196" s="93"/>
      <c r="D196" s="19"/>
      <c r="E196" s="19"/>
      <c r="F196" s="19"/>
      <c r="G196" s="19"/>
      <c r="H196" s="19"/>
      <c r="I196" s="19"/>
      <c r="J196" s="19"/>
    </row>
    <row r="197" spans="1:10" ht="20.100000000000001" customHeight="1" x14ac:dyDescent="0.25">
      <c r="A197" s="135"/>
      <c r="B197" s="19"/>
      <c r="C197" s="93"/>
      <c r="D197" s="19"/>
      <c r="E197" s="19"/>
      <c r="F197" s="19"/>
      <c r="G197" s="19"/>
      <c r="H197" s="19"/>
      <c r="I197" s="19"/>
      <c r="J197" s="19"/>
    </row>
    <row r="198" spans="1:10" ht="20.100000000000001" customHeight="1" x14ac:dyDescent="0.25">
      <c r="A198" s="135"/>
      <c r="B198" s="19"/>
      <c r="C198" s="93"/>
      <c r="D198" s="19"/>
      <c r="E198" s="19"/>
      <c r="F198" s="19"/>
      <c r="G198" s="19"/>
      <c r="H198" s="19"/>
      <c r="I198" s="19"/>
      <c r="J198" s="19"/>
    </row>
    <row r="199" spans="1:10" ht="20.100000000000001" customHeight="1" x14ac:dyDescent="0.25">
      <c r="A199" s="135"/>
      <c r="B199" s="19"/>
      <c r="C199" s="93"/>
      <c r="D199" s="19"/>
      <c r="E199" s="19"/>
      <c r="F199" s="19"/>
      <c r="G199" s="19"/>
      <c r="H199" s="19"/>
      <c r="I199" s="19"/>
      <c r="J199" s="19"/>
    </row>
    <row r="200" spans="1:10" ht="20.100000000000001" customHeight="1" x14ac:dyDescent="0.25">
      <c r="A200" s="135"/>
      <c r="B200" s="19"/>
      <c r="C200" s="40"/>
      <c r="D200" s="19"/>
      <c r="E200" s="19"/>
      <c r="F200" s="19"/>
      <c r="G200" s="19"/>
      <c r="H200" s="19"/>
      <c r="I200" s="19"/>
      <c r="J200" s="19"/>
    </row>
    <row r="201" spans="1:10" ht="20.100000000000001" customHeight="1" x14ac:dyDescent="0.25">
      <c r="A201" s="135"/>
      <c r="B201" s="19"/>
      <c r="C201" s="93"/>
      <c r="D201" s="19"/>
      <c r="E201" s="19"/>
      <c r="F201" s="19"/>
      <c r="G201" s="19"/>
      <c r="H201" s="19"/>
      <c r="I201" s="19"/>
      <c r="J201" s="19"/>
    </row>
    <row r="202" spans="1:10" ht="20.100000000000001" customHeight="1" x14ac:dyDescent="0.25">
      <c r="A202" s="91"/>
      <c r="B202" s="36"/>
      <c r="C202" s="136"/>
      <c r="D202" s="36"/>
      <c r="E202" s="36"/>
      <c r="F202" s="36"/>
      <c r="G202" s="36"/>
      <c r="H202" s="36"/>
      <c r="I202" s="36"/>
      <c r="J202" s="36"/>
    </row>
    <row r="203" spans="1:10" ht="20.100000000000001" customHeight="1" x14ac:dyDescent="0.25">
      <c r="A203" s="91"/>
      <c r="B203" s="37"/>
      <c r="C203" s="92"/>
      <c r="D203" s="37"/>
      <c r="E203" s="37"/>
      <c r="F203" s="37"/>
      <c r="G203" s="37"/>
      <c r="H203" s="37"/>
      <c r="I203" s="37"/>
      <c r="J203" s="37"/>
    </row>
    <row r="204" spans="1:10" ht="20.100000000000001" customHeight="1" x14ac:dyDescent="0.25">
      <c r="A204" s="133"/>
      <c r="C204" s="40"/>
    </row>
    <row r="205" spans="1:10" ht="20.100000000000001" customHeight="1" x14ac:dyDescent="0.25">
      <c r="C205" s="40"/>
    </row>
    <row r="206" spans="1:10" ht="20.100000000000001" customHeight="1" x14ac:dyDescent="0.25">
      <c r="A206" s="134"/>
      <c r="B206" s="135"/>
      <c r="C206" s="136"/>
    </row>
    <row r="207" spans="1:10" ht="20.100000000000001" customHeight="1" x14ac:dyDescent="0.25">
      <c r="A207" s="134"/>
      <c r="B207" s="25"/>
      <c r="C207" s="93"/>
    </row>
    <row r="208" spans="1:10" ht="20.100000000000001" customHeight="1" x14ac:dyDescent="0.25">
      <c r="C208" s="40"/>
    </row>
    <row r="209" spans="1:10" ht="20.100000000000001" customHeight="1" x14ac:dyDescent="0.25">
      <c r="C209" s="40"/>
    </row>
    <row r="210" spans="1:10" ht="20.100000000000001" customHeight="1" x14ac:dyDescent="0.25">
      <c r="C210" s="40"/>
    </row>
    <row r="211" spans="1:10" ht="20.100000000000001" customHeight="1" x14ac:dyDescent="0.25">
      <c r="C211" s="126"/>
    </row>
    <row r="212" spans="1:10" ht="20.100000000000001" customHeight="1" x14ac:dyDescent="0.25">
      <c r="C212" s="40"/>
    </row>
    <row r="213" spans="1:10" ht="20.100000000000001" customHeight="1" x14ac:dyDescent="0.25">
      <c r="C213" s="126"/>
    </row>
    <row r="214" spans="1:10" ht="20.100000000000001" customHeight="1" x14ac:dyDescent="0.25">
      <c r="C214" s="40"/>
    </row>
    <row r="215" spans="1:10" ht="20.100000000000001" customHeight="1" x14ac:dyDescent="0.25">
      <c r="C215" s="126"/>
    </row>
    <row r="216" spans="1:10" ht="20.100000000000001" customHeight="1" x14ac:dyDescent="0.25">
      <c r="C216" s="40"/>
    </row>
    <row r="217" spans="1:10" ht="20.100000000000001" customHeight="1" x14ac:dyDescent="0.25">
      <c r="C217" s="126"/>
    </row>
    <row r="218" spans="1:10" ht="20.100000000000001" customHeight="1" x14ac:dyDescent="0.25">
      <c r="C218" s="40"/>
    </row>
    <row r="220" spans="1:10" ht="20.100000000000001" customHeight="1" x14ac:dyDescent="0.25">
      <c r="A220" s="905"/>
      <c r="B220" s="905"/>
      <c r="C220" s="905"/>
      <c r="D220" s="905"/>
      <c r="E220" s="905"/>
      <c r="F220" s="905"/>
      <c r="G220" s="905"/>
      <c r="H220" s="905"/>
      <c r="I220" s="905"/>
      <c r="J220" s="905"/>
    </row>
    <row r="221" spans="1:10" ht="20.100000000000001" customHeight="1" x14ac:dyDescent="0.25">
      <c r="C221" s="40"/>
    </row>
    <row r="222" spans="1:10" ht="20.100000000000001" customHeight="1" x14ac:dyDescent="0.25">
      <c r="A222" s="74"/>
      <c r="B222" s="76"/>
      <c r="C222" s="143"/>
      <c r="D222" s="76"/>
      <c r="E222" s="76"/>
      <c r="F222" s="76"/>
      <c r="G222" s="76"/>
      <c r="H222" s="76"/>
      <c r="I222" s="76"/>
      <c r="J222" s="76"/>
    </row>
    <row r="223" spans="1:10" ht="20.100000000000001" customHeight="1" x14ac:dyDescent="0.25">
      <c r="A223" s="135"/>
      <c r="B223" s="19"/>
      <c r="C223" s="93"/>
      <c r="D223" s="19"/>
      <c r="E223" s="19"/>
      <c r="F223" s="19"/>
      <c r="G223" s="19"/>
      <c r="H223" s="19"/>
      <c r="I223" s="19"/>
      <c r="J223" s="19"/>
    </row>
    <row r="224" spans="1:10" ht="20.100000000000001" customHeight="1" x14ac:dyDescent="0.25">
      <c r="A224" s="135"/>
      <c r="B224" s="19"/>
      <c r="C224" s="93"/>
      <c r="D224" s="19"/>
      <c r="E224" s="19"/>
      <c r="F224" s="19"/>
      <c r="G224" s="19"/>
      <c r="H224" s="19"/>
      <c r="I224" s="19"/>
      <c r="J224" s="19"/>
    </row>
    <row r="225" spans="1:10" ht="20.100000000000001" customHeight="1" x14ac:dyDescent="0.25">
      <c r="A225" s="135"/>
      <c r="B225" s="19"/>
      <c r="C225" s="93"/>
      <c r="D225" s="19"/>
      <c r="E225" s="19"/>
      <c r="F225" s="19"/>
      <c r="G225" s="19"/>
      <c r="H225" s="19"/>
      <c r="I225" s="19"/>
      <c r="J225" s="19"/>
    </row>
    <row r="226" spans="1:10" ht="20.100000000000001" customHeight="1" x14ac:dyDescent="0.25">
      <c r="A226" s="135"/>
      <c r="B226" s="19"/>
      <c r="C226" s="93"/>
      <c r="D226" s="19"/>
      <c r="E226" s="19"/>
      <c r="F226" s="19"/>
      <c r="G226" s="19"/>
      <c r="H226" s="19"/>
      <c r="I226" s="19"/>
      <c r="J226" s="19"/>
    </row>
    <row r="227" spans="1:10" ht="20.100000000000001" customHeight="1" x14ac:dyDescent="0.25">
      <c r="A227" s="135"/>
      <c r="B227" s="19"/>
      <c r="C227" s="40"/>
      <c r="D227" s="19"/>
      <c r="E227" s="19"/>
      <c r="F227" s="19"/>
      <c r="G227" s="19"/>
      <c r="H227" s="19"/>
      <c r="I227" s="19"/>
      <c r="J227" s="19"/>
    </row>
    <row r="228" spans="1:10" ht="20.100000000000001" customHeight="1" x14ac:dyDescent="0.25">
      <c r="A228" s="135"/>
      <c r="B228" s="19"/>
      <c r="C228" s="93"/>
      <c r="D228" s="19"/>
      <c r="E228" s="19"/>
      <c r="F228" s="19"/>
      <c r="G228" s="19"/>
      <c r="H228" s="19"/>
      <c r="I228" s="19"/>
      <c r="J228" s="19"/>
    </row>
    <row r="229" spans="1:10" ht="20.100000000000001" customHeight="1" x14ac:dyDescent="0.25">
      <c r="A229" s="91"/>
      <c r="B229" s="36"/>
      <c r="C229" s="136"/>
      <c r="D229" s="36"/>
      <c r="E229" s="36"/>
      <c r="F229" s="36"/>
      <c r="G229" s="36"/>
      <c r="H229" s="36"/>
      <c r="I229" s="36"/>
      <c r="J229" s="36"/>
    </row>
    <row r="230" spans="1:10" ht="20.100000000000001" customHeight="1" x14ac:dyDescent="0.25">
      <c r="A230" s="91"/>
      <c r="B230" s="37"/>
      <c r="C230" s="92"/>
      <c r="D230" s="37"/>
      <c r="E230" s="37"/>
      <c r="F230" s="37"/>
      <c r="G230" s="37"/>
      <c r="H230" s="37"/>
      <c r="I230" s="37"/>
      <c r="J230" s="37"/>
    </row>
    <row r="231" spans="1:10" ht="20.100000000000001" customHeight="1" x14ac:dyDescent="0.25">
      <c r="A231" s="133"/>
      <c r="C231" s="40"/>
    </row>
    <row r="232" spans="1:10" ht="20.100000000000001" customHeight="1" x14ac:dyDescent="0.25">
      <c r="C232" s="40"/>
    </row>
    <row r="233" spans="1:10" ht="20.100000000000001" customHeight="1" x14ac:dyDescent="0.25">
      <c r="A233" s="134"/>
      <c r="B233" s="135"/>
      <c r="C233" s="136"/>
    </row>
    <row r="234" spans="1:10" ht="20.100000000000001" customHeight="1" x14ac:dyDescent="0.25">
      <c r="C234" s="40"/>
    </row>
    <row r="235" spans="1:10" ht="20.100000000000001" customHeight="1" x14ac:dyDescent="0.25">
      <c r="C235" s="40"/>
    </row>
    <row r="236" spans="1:10" ht="20.100000000000001" customHeight="1" x14ac:dyDescent="0.25">
      <c r="C236" s="126"/>
    </row>
    <row r="237" spans="1:10" ht="20.100000000000001" customHeight="1" x14ac:dyDescent="0.25">
      <c r="C237" s="126"/>
    </row>
    <row r="238" spans="1:10" ht="20.100000000000001" customHeight="1" x14ac:dyDescent="0.25">
      <c r="C238" s="40"/>
    </row>
    <row r="239" spans="1:10" ht="20.100000000000001" customHeight="1" x14ac:dyDescent="0.25">
      <c r="C239" s="40"/>
    </row>
    <row r="240" spans="1:10" ht="20.100000000000001" customHeight="1" x14ac:dyDescent="0.25">
      <c r="C240" s="40"/>
    </row>
    <row r="241" spans="1:10" ht="20.100000000000001" customHeight="1" x14ac:dyDescent="0.25">
      <c r="C241" s="40"/>
    </row>
    <row r="242" spans="1:10" ht="20.100000000000001" customHeight="1" x14ac:dyDescent="0.25">
      <c r="C242" s="40"/>
    </row>
    <row r="245" spans="1:10" ht="20.100000000000001" customHeight="1" x14ac:dyDescent="0.25">
      <c r="A245" s="905"/>
      <c r="B245" s="905"/>
      <c r="C245" s="905"/>
      <c r="D245" s="905"/>
      <c r="E245" s="905"/>
      <c r="F245" s="905"/>
      <c r="G245" s="905"/>
      <c r="H245" s="905"/>
      <c r="I245" s="905"/>
      <c r="J245" s="905"/>
    </row>
    <row r="246" spans="1:10" ht="20.100000000000001" customHeight="1" x14ac:dyDescent="0.25">
      <c r="C246" s="40"/>
    </row>
    <row r="247" spans="1:10" ht="20.100000000000001" customHeight="1" x14ac:dyDescent="0.25">
      <c r="A247" s="74"/>
      <c r="B247" s="76"/>
      <c r="C247" s="143"/>
      <c r="D247" s="76"/>
      <c r="E247" s="76"/>
      <c r="F247" s="76"/>
      <c r="G247" s="76"/>
      <c r="H247" s="76"/>
      <c r="I247" s="76"/>
      <c r="J247" s="76"/>
    </row>
    <row r="248" spans="1:10" ht="20.100000000000001" customHeight="1" x14ac:dyDescent="0.25">
      <c r="A248" s="135"/>
      <c r="B248" s="19"/>
      <c r="C248" s="93"/>
      <c r="D248" s="19"/>
      <c r="E248" s="19"/>
      <c r="F248" s="19"/>
      <c r="G248" s="19"/>
      <c r="H248" s="19"/>
      <c r="I248" s="19"/>
      <c r="J248" s="19"/>
    </row>
    <row r="249" spans="1:10" ht="20.100000000000001" customHeight="1" x14ac:dyDescent="0.25">
      <c r="A249" s="135"/>
      <c r="B249" s="19"/>
      <c r="C249" s="93"/>
      <c r="D249" s="19"/>
      <c r="E249" s="19"/>
      <c r="F249" s="19"/>
      <c r="G249" s="19"/>
      <c r="H249" s="19"/>
      <c r="I249" s="19"/>
      <c r="J249" s="19"/>
    </row>
    <row r="250" spans="1:10" ht="20.100000000000001" customHeight="1" x14ac:dyDescent="0.25">
      <c r="A250" s="135"/>
      <c r="B250" s="19"/>
      <c r="C250" s="93"/>
      <c r="D250" s="19"/>
      <c r="E250" s="19"/>
      <c r="F250" s="19"/>
      <c r="G250" s="19"/>
      <c r="H250" s="19"/>
      <c r="I250" s="19"/>
      <c r="J250" s="19"/>
    </row>
    <row r="251" spans="1:10" ht="20.100000000000001" customHeight="1" x14ac:dyDescent="0.25">
      <c r="A251" s="135"/>
      <c r="B251" s="19"/>
      <c r="C251" s="93"/>
      <c r="D251" s="19"/>
      <c r="E251" s="19"/>
      <c r="F251" s="19"/>
      <c r="G251" s="19"/>
      <c r="H251" s="19"/>
      <c r="I251" s="19"/>
      <c r="J251" s="19"/>
    </row>
    <row r="252" spans="1:10" ht="20.100000000000001" customHeight="1" x14ac:dyDescent="0.25">
      <c r="A252" s="135"/>
      <c r="B252" s="19"/>
      <c r="C252" s="40"/>
      <c r="D252" s="19"/>
      <c r="E252" s="19"/>
      <c r="F252" s="19"/>
      <c r="G252" s="19"/>
      <c r="H252" s="19"/>
      <c r="I252" s="19"/>
      <c r="J252" s="19"/>
    </row>
    <row r="253" spans="1:10" ht="20.100000000000001" customHeight="1" x14ac:dyDescent="0.25">
      <c r="A253" s="135"/>
      <c r="B253" s="19"/>
      <c r="C253" s="93"/>
      <c r="D253" s="19"/>
      <c r="E253" s="19"/>
      <c r="F253" s="19"/>
      <c r="G253" s="19"/>
      <c r="H253" s="19"/>
      <c r="I253" s="19"/>
      <c r="J253" s="19"/>
    </row>
    <row r="254" spans="1:10" s="27" customFormat="1" ht="20.100000000000001" customHeight="1" x14ac:dyDescent="0.25">
      <c r="A254" s="91"/>
      <c r="B254" s="34"/>
      <c r="C254" s="122"/>
      <c r="D254" s="34"/>
      <c r="E254" s="34"/>
      <c r="F254" s="34"/>
      <c r="G254" s="34"/>
      <c r="H254" s="34"/>
      <c r="I254" s="34"/>
      <c r="J254" s="34"/>
    </row>
    <row r="255" spans="1:10" ht="20.100000000000001" customHeight="1" x14ac:dyDescent="0.25">
      <c r="A255" s="91"/>
      <c r="B255" s="37"/>
      <c r="C255" s="92"/>
      <c r="D255" s="37"/>
      <c r="E255" s="37"/>
      <c r="F255" s="37"/>
      <c r="G255" s="37"/>
      <c r="H255" s="37"/>
      <c r="I255" s="37"/>
      <c r="J255" s="37"/>
    </row>
    <row r="256" spans="1:10" ht="20.100000000000001" customHeight="1" x14ac:dyDescent="0.25">
      <c r="A256" s="133"/>
      <c r="C256" s="40"/>
    </row>
    <row r="257" spans="1:10" ht="20.100000000000001" customHeight="1" x14ac:dyDescent="0.25">
      <c r="C257" s="40"/>
    </row>
    <row r="258" spans="1:10" ht="20.100000000000001" customHeight="1" x14ac:dyDescent="0.25">
      <c r="A258" s="134"/>
      <c r="B258" s="135"/>
      <c r="C258" s="136"/>
    </row>
    <row r="259" spans="1:10" ht="20.100000000000001" customHeight="1" x14ac:dyDescent="0.25">
      <c r="C259" s="40"/>
    </row>
    <row r="260" spans="1:10" ht="20.100000000000001" customHeight="1" x14ac:dyDescent="0.25">
      <c r="C260" s="40"/>
    </row>
    <row r="261" spans="1:10" ht="20.100000000000001" customHeight="1" x14ac:dyDescent="0.25">
      <c r="C261" s="126"/>
    </row>
    <row r="262" spans="1:10" ht="20.100000000000001" customHeight="1" x14ac:dyDescent="0.25">
      <c r="C262" s="40"/>
    </row>
    <row r="263" spans="1:10" ht="20.100000000000001" customHeight="1" x14ac:dyDescent="0.25">
      <c r="C263" s="40"/>
    </row>
    <row r="264" spans="1:10" ht="20.100000000000001" customHeight="1" x14ac:dyDescent="0.25">
      <c r="C264" s="40"/>
    </row>
    <row r="265" spans="1:10" ht="20.100000000000001" customHeight="1" x14ac:dyDescent="0.25">
      <c r="C265" s="40"/>
    </row>
    <row r="266" spans="1:10" ht="20.100000000000001" customHeight="1" x14ac:dyDescent="0.25">
      <c r="C266" s="40"/>
    </row>
    <row r="267" spans="1:10" ht="20.100000000000001" customHeight="1" x14ac:dyDescent="0.25">
      <c r="C267" s="40"/>
    </row>
    <row r="268" spans="1:10" ht="20.100000000000001" customHeight="1" x14ac:dyDescent="0.25">
      <c r="C268" s="40"/>
    </row>
    <row r="270" spans="1:10" ht="20.100000000000001" customHeight="1" x14ac:dyDescent="0.25">
      <c r="A270" s="905"/>
      <c r="B270" s="905"/>
      <c r="C270" s="905"/>
      <c r="D270" s="905"/>
      <c r="E270" s="905"/>
      <c r="F270" s="905"/>
      <c r="G270" s="905"/>
      <c r="H270" s="905"/>
      <c r="I270" s="905"/>
      <c r="J270" s="905"/>
    </row>
    <row r="271" spans="1:10" ht="20.100000000000001" customHeight="1" x14ac:dyDescent="0.25">
      <c r="C271" s="40"/>
    </row>
    <row r="272" spans="1:10" ht="20.100000000000001" customHeight="1" x14ac:dyDescent="0.25">
      <c r="A272" s="74"/>
      <c r="B272" s="76"/>
      <c r="C272" s="143"/>
      <c r="D272" s="76"/>
      <c r="E272" s="76"/>
      <c r="F272" s="76"/>
      <c r="G272" s="76"/>
      <c r="H272" s="76"/>
      <c r="I272" s="76"/>
      <c r="J272" s="76"/>
    </row>
    <row r="273" spans="1:10" ht="20.100000000000001" customHeight="1" x14ac:dyDescent="0.25">
      <c r="A273" s="135"/>
      <c r="B273" s="19"/>
      <c r="C273" s="93"/>
      <c r="D273" s="38"/>
      <c r="E273" s="38"/>
      <c r="F273" s="19"/>
      <c r="G273" s="19"/>
      <c r="H273" s="19"/>
      <c r="I273" s="19"/>
      <c r="J273" s="19"/>
    </row>
    <row r="274" spans="1:10" ht="20.100000000000001" customHeight="1" x14ac:dyDescent="0.25">
      <c r="A274" s="135"/>
      <c r="B274" s="19"/>
      <c r="C274" s="93"/>
      <c r="D274" s="38"/>
      <c r="E274" s="38"/>
      <c r="F274" s="19"/>
      <c r="G274" s="19"/>
      <c r="H274" s="19"/>
      <c r="I274" s="19"/>
      <c r="J274" s="19"/>
    </row>
    <row r="275" spans="1:10" ht="20.100000000000001" customHeight="1" x14ac:dyDescent="0.25">
      <c r="A275" s="135"/>
      <c r="B275" s="19"/>
      <c r="C275" s="93"/>
      <c r="D275" s="38"/>
      <c r="E275" s="38"/>
      <c r="F275" s="19"/>
      <c r="G275" s="19"/>
      <c r="H275" s="19"/>
      <c r="I275" s="19"/>
      <c r="J275" s="19"/>
    </row>
    <row r="276" spans="1:10" ht="20.100000000000001" customHeight="1" x14ac:dyDescent="0.25">
      <c r="A276" s="135"/>
      <c r="B276" s="19"/>
      <c r="C276" s="93"/>
      <c r="D276" s="38"/>
      <c r="E276" s="38"/>
      <c r="F276" s="19"/>
      <c r="G276" s="19"/>
      <c r="H276" s="19"/>
      <c r="I276" s="19"/>
      <c r="J276" s="19"/>
    </row>
    <row r="277" spans="1:10" ht="20.100000000000001" customHeight="1" x14ac:dyDescent="0.25">
      <c r="A277" s="135"/>
      <c r="B277" s="19"/>
      <c r="C277" s="93"/>
      <c r="D277" s="38"/>
      <c r="E277" s="38"/>
      <c r="F277" s="19"/>
      <c r="G277" s="19"/>
      <c r="H277" s="19"/>
      <c r="I277" s="19"/>
      <c r="J277" s="19"/>
    </row>
    <row r="278" spans="1:10" ht="20.100000000000001" customHeight="1" x14ac:dyDescent="0.25">
      <c r="A278" s="91"/>
      <c r="B278" s="34"/>
      <c r="C278" s="122"/>
      <c r="D278" s="117"/>
      <c r="E278" s="117"/>
      <c r="F278" s="34"/>
      <c r="G278" s="34"/>
      <c r="H278" s="34"/>
      <c r="I278" s="34"/>
      <c r="J278" s="34"/>
    </row>
    <row r="279" spans="1:10" ht="20.100000000000001" customHeight="1" x14ac:dyDescent="0.25">
      <c r="A279" s="91"/>
      <c r="B279" s="37"/>
      <c r="C279" s="92"/>
      <c r="D279" s="37"/>
      <c r="E279" s="37"/>
      <c r="F279" s="37"/>
      <c r="G279" s="37"/>
      <c r="H279" s="37"/>
      <c r="I279" s="37"/>
      <c r="J279" s="37"/>
    </row>
    <row r="280" spans="1:10" ht="20.100000000000001" customHeight="1" x14ac:dyDescent="0.25">
      <c r="A280" s="133"/>
      <c r="C280" s="40"/>
    </row>
    <row r="281" spans="1:10" ht="20.100000000000001" customHeight="1" x14ac:dyDescent="0.25">
      <c r="C281" s="40"/>
    </row>
    <row r="282" spans="1:10" ht="20.100000000000001" customHeight="1" x14ac:dyDescent="0.25">
      <c r="A282" s="134"/>
      <c r="B282" s="135"/>
      <c r="C282" s="136"/>
    </row>
    <row r="283" spans="1:10" ht="20.100000000000001" customHeight="1" x14ac:dyDescent="0.25">
      <c r="C283" s="40"/>
    </row>
    <row r="284" spans="1:10" ht="20.100000000000001" customHeight="1" x14ac:dyDescent="0.25">
      <c r="C284" s="40"/>
    </row>
    <row r="285" spans="1:10" ht="20.100000000000001" customHeight="1" x14ac:dyDescent="0.25">
      <c r="C285" s="40"/>
    </row>
    <row r="286" spans="1:10" ht="20.100000000000001" customHeight="1" x14ac:dyDescent="0.25">
      <c r="C286" s="126"/>
    </row>
    <row r="287" spans="1:10" ht="20.100000000000001" customHeight="1" x14ac:dyDescent="0.25">
      <c r="C287" s="40"/>
    </row>
    <row r="288" spans="1:10" ht="20.100000000000001" customHeight="1" x14ac:dyDescent="0.25">
      <c r="C288" s="40"/>
    </row>
    <row r="289" spans="1:10" ht="20.100000000000001" customHeight="1" x14ac:dyDescent="0.25">
      <c r="C289" s="40"/>
    </row>
    <row r="290" spans="1:10" ht="20.100000000000001" customHeight="1" x14ac:dyDescent="0.25">
      <c r="C290" s="40"/>
    </row>
    <row r="291" spans="1:10" ht="20.100000000000001" customHeight="1" x14ac:dyDescent="0.25">
      <c r="C291" s="40"/>
    </row>
    <row r="293" spans="1:10" ht="20.100000000000001" customHeight="1" x14ac:dyDescent="0.25">
      <c r="A293" s="905"/>
      <c r="B293" s="905"/>
      <c r="C293" s="905"/>
      <c r="D293" s="905"/>
      <c r="E293" s="905"/>
      <c r="F293" s="905"/>
      <c r="G293" s="905"/>
      <c r="H293" s="905"/>
      <c r="I293" s="905"/>
      <c r="J293" s="905"/>
    </row>
    <row r="294" spans="1:10" ht="20.100000000000001" customHeight="1" x14ac:dyDescent="0.25">
      <c r="C294" s="40"/>
    </row>
    <row r="295" spans="1:10" ht="20.100000000000001" customHeight="1" x14ac:dyDescent="0.25">
      <c r="A295" s="74"/>
      <c r="B295" s="76"/>
      <c r="C295" s="143"/>
      <c r="D295" s="76"/>
      <c r="E295" s="76"/>
      <c r="F295" s="76"/>
      <c r="G295" s="76"/>
      <c r="H295" s="76"/>
      <c r="I295" s="76"/>
      <c r="J295" s="76"/>
    </row>
    <row r="296" spans="1:10" ht="20.100000000000001" customHeight="1" x14ac:dyDescent="0.25">
      <c r="A296" s="135"/>
      <c r="B296" s="19"/>
      <c r="C296" s="93"/>
      <c r="D296" s="38"/>
      <c r="E296" s="38"/>
      <c r="F296" s="19"/>
      <c r="G296" s="19"/>
      <c r="H296" s="19"/>
      <c r="I296" s="19"/>
      <c r="J296" s="19"/>
    </row>
    <row r="297" spans="1:10" ht="20.100000000000001" customHeight="1" x14ac:dyDescent="0.25">
      <c r="A297" s="135"/>
      <c r="B297" s="19"/>
      <c r="C297" s="93"/>
      <c r="D297" s="38"/>
      <c r="E297" s="38"/>
      <c r="F297" s="19"/>
      <c r="G297" s="19"/>
      <c r="H297" s="19"/>
      <c r="I297" s="19"/>
      <c r="J297" s="19"/>
    </row>
    <row r="298" spans="1:10" ht="20.100000000000001" customHeight="1" x14ac:dyDescent="0.25">
      <c r="A298" s="135"/>
      <c r="B298" s="19"/>
      <c r="C298" s="93"/>
      <c r="D298" s="38"/>
      <c r="E298" s="38"/>
      <c r="F298" s="19"/>
      <c r="G298" s="19"/>
      <c r="H298" s="19"/>
      <c r="I298" s="19"/>
      <c r="J298" s="19"/>
    </row>
    <row r="299" spans="1:10" ht="20.100000000000001" customHeight="1" x14ac:dyDescent="0.25">
      <c r="A299" s="135"/>
      <c r="B299" s="19"/>
      <c r="C299" s="93"/>
      <c r="D299" s="38"/>
      <c r="E299" s="38"/>
      <c r="F299" s="19"/>
      <c r="G299" s="19"/>
      <c r="H299" s="19"/>
      <c r="I299" s="19"/>
      <c r="J299" s="19"/>
    </row>
    <row r="300" spans="1:10" ht="20.100000000000001" customHeight="1" x14ac:dyDescent="0.25">
      <c r="A300" s="135"/>
      <c r="B300" s="19"/>
      <c r="C300" s="93"/>
      <c r="D300" s="38"/>
      <c r="E300" s="38"/>
      <c r="F300" s="19"/>
      <c r="G300" s="19"/>
      <c r="H300" s="19"/>
      <c r="I300" s="19"/>
      <c r="J300" s="19"/>
    </row>
    <row r="301" spans="1:10" ht="20.100000000000001" customHeight="1" x14ac:dyDescent="0.25">
      <c r="A301" s="91"/>
      <c r="B301" s="34"/>
      <c r="C301" s="122"/>
      <c r="D301" s="117"/>
      <c r="E301" s="117"/>
      <c r="F301" s="34"/>
      <c r="G301" s="34"/>
      <c r="H301" s="34"/>
      <c r="I301" s="34"/>
      <c r="J301" s="34"/>
    </row>
    <row r="302" spans="1:10" ht="20.100000000000001" customHeight="1" x14ac:dyDescent="0.25">
      <c r="A302" s="91"/>
      <c r="B302" s="37"/>
      <c r="C302" s="92"/>
      <c r="D302" s="37"/>
      <c r="E302" s="37"/>
      <c r="F302" s="37"/>
      <c r="G302" s="37"/>
      <c r="H302" s="37"/>
      <c r="I302" s="37"/>
      <c r="J302" s="37"/>
    </row>
    <row r="303" spans="1:10" ht="20.100000000000001" customHeight="1" x14ac:dyDescent="0.25">
      <c r="A303" s="133"/>
      <c r="C303" s="40"/>
    </row>
    <row r="304" spans="1:10" ht="20.100000000000001" customHeight="1" x14ac:dyDescent="0.25">
      <c r="C304" s="40"/>
    </row>
    <row r="305" spans="1:3" ht="20.100000000000001" customHeight="1" x14ac:dyDescent="0.25">
      <c r="A305" s="134"/>
      <c r="B305" s="135"/>
      <c r="C305" s="136"/>
    </row>
    <row r="306" spans="1:3" ht="20.100000000000001" customHeight="1" x14ac:dyDescent="0.25">
      <c r="C306" s="40"/>
    </row>
    <row r="307" spans="1:3" ht="20.100000000000001" customHeight="1" x14ac:dyDescent="0.25">
      <c r="C307" s="40"/>
    </row>
    <row r="308" spans="1:3" ht="20.100000000000001" customHeight="1" x14ac:dyDescent="0.25">
      <c r="C308" s="126"/>
    </row>
    <row r="309" spans="1:3" ht="20.100000000000001" customHeight="1" x14ac:dyDescent="0.25">
      <c r="C309" s="40"/>
    </row>
    <row r="310" spans="1:3" ht="20.100000000000001" customHeight="1" x14ac:dyDescent="0.25">
      <c r="C310" s="40"/>
    </row>
    <row r="311" spans="1:3" ht="20.100000000000001" customHeight="1" x14ac:dyDescent="0.25">
      <c r="C311" s="40"/>
    </row>
    <row r="312" spans="1:3" ht="20.100000000000001" customHeight="1" x14ac:dyDescent="0.25">
      <c r="C312" s="40"/>
    </row>
  </sheetData>
  <mergeCells count="19">
    <mergeCell ref="A50:J50"/>
    <mergeCell ref="A65:J65"/>
    <mergeCell ref="A293:J293"/>
    <mergeCell ref="A270:J270"/>
    <mergeCell ref="A245:J245"/>
    <mergeCell ref="A220:J220"/>
    <mergeCell ref="A193:J193"/>
    <mergeCell ref="A79:J79"/>
    <mergeCell ref="A95:J95"/>
    <mergeCell ref="A111:J111"/>
    <mergeCell ref="A127:J127"/>
    <mergeCell ref="A143:J143"/>
    <mergeCell ref="A157:J157"/>
    <mergeCell ref="A158:J158"/>
    <mergeCell ref="A49:J49"/>
    <mergeCell ref="A1:J1"/>
    <mergeCell ref="A14:J14"/>
    <mergeCell ref="A28:J28"/>
    <mergeCell ref="A40:J40"/>
  </mergeCells>
  <printOptions horizontalCentered="1"/>
  <pageMargins left="0.3" right="0.3" top="0.7" bottom="0.7" header="0.3" footer="0.3"/>
  <pageSetup scale="56" fitToHeight="0" orientation="landscape" r:id="rId1"/>
  <headerFooter>
    <oddHeader>&amp;F</oddHeader>
    <oddFooter>&amp;A&amp;RPage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6"/>
  <sheetViews>
    <sheetView topLeftCell="A144" zoomScaleNormal="100" workbookViewId="0">
      <selection activeCell="F192" sqref="F192"/>
    </sheetView>
  </sheetViews>
  <sheetFormatPr defaultColWidth="13.85546875" defaultRowHeight="20.100000000000001" customHeight="1" x14ac:dyDescent="0.25"/>
  <cols>
    <col min="1" max="1" width="31.42578125" style="18" customWidth="1"/>
    <col min="2" max="2" width="18.7109375" style="18" customWidth="1"/>
    <col min="3" max="3" width="18.7109375" style="24" customWidth="1"/>
    <col min="4" max="4" width="18.7109375" style="21" customWidth="1"/>
    <col min="5" max="6" width="18.7109375" style="19" customWidth="1"/>
    <col min="7" max="7" width="18.7109375" style="21" customWidth="1"/>
    <col min="8" max="8" width="18.7109375" style="19" customWidth="1"/>
    <col min="9" max="9" width="18.7109375" style="20" customWidth="1"/>
    <col min="10" max="11" width="18.7109375" style="25" customWidth="1"/>
    <col min="12" max="16384" width="13.85546875" style="18"/>
  </cols>
  <sheetData>
    <row r="1" spans="1:11" ht="20.100000000000001" customHeight="1" x14ac:dyDescent="0.25">
      <c r="A1" s="163"/>
      <c r="B1" s="163"/>
      <c r="C1" s="164"/>
      <c r="D1" s="906" t="s">
        <v>12</v>
      </c>
      <c r="E1" s="906"/>
      <c r="F1" s="906"/>
      <c r="G1" s="165"/>
      <c r="H1" s="166"/>
      <c r="I1" s="167"/>
      <c r="J1" s="168"/>
      <c r="K1" s="163"/>
    </row>
    <row r="2" spans="1:11" ht="20.100000000000001" customHeight="1" thickBot="1" x14ac:dyDescent="0.3">
      <c r="E2" s="21"/>
      <c r="F2" s="21"/>
      <c r="K2" s="18"/>
    </row>
    <row r="3" spans="1:11" ht="47.25" customHeight="1" thickBot="1" x14ac:dyDescent="0.3">
      <c r="A3" s="169" t="s">
        <v>13</v>
      </c>
      <c r="B3" s="170" t="s">
        <v>14</v>
      </c>
      <c r="C3" s="169" t="s">
        <v>15</v>
      </c>
      <c r="D3" s="171" t="s">
        <v>16</v>
      </c>
      <c r="E3" s="171" t="s">
        <v>17</v>
      </c>
      <c r="F3" s="171" t="s">
        <v>18</v>
      </c>
      <c r="G3" s="170" t="s">
        <v>19</v>
      </c>
      <c r="H3" s="172" t="s">
        <v>20</v>
      </c>
      <c r="I3" s="172" t="s">
        <v>21</v>
      </c>
      <c r="J3" s="172" t="s">
        <v>22</v>
      </c>
      <c r="K3" s="171" t="s">
        <v>23</v>
      </c>
    </row>
    <row r="4" spans="1:11" ht="20.100000000000001" customHeight="1" x14ac:dyDescent="0.25">
      <c r="A4" s="173" t="s">
        <v>24</v>
      </c>
      <c r="B4" s="174">
        <v>0</v>
      </c>
      <c r="C4" s="175" t="s">
        <v>25</v>
      </c>
      <c r="D4" s="174">
        <v>306051.77</v>
      </c>
      <c r="E4" s="176">
        <v>8580.89</v>
      </c>
      <c r="F4" s="176">
        <v>0</v>
      </c>
      <c r="G4" s="174">
        <f>B4+D4-E4-F4</f>
        <v>297470.88</v>
      </c>
      <c r="H4" s="177">
        <v>297470.88</v>
      </c>
      <c r="I4" s="178">
        <f t="shared" ref="I4:I11" si="0">H4/G4*100</f>
        <v>100</v>
      </c>
      <c r="J4" s="177">
        <f>G4-H4</f>
        <v>0</v>
      </c>
      <c r="K4" s="179">
        <f>J4/G4*100</f>
        <v>0</v>
      </c>
    </row>
    <row r="5" spans="1:11" ht="20.100000000000001" customHeight="1" x14ac:dyDescent="0.25">
      <c r="A5" s="173" t="s">
        <v>26</v>
      </c>
      <c r="B5" s="174">
        <v>0</v>
      </c>
      <c r="C5" s="175" t="s">
        <v>27</v>
      </c>
      <c r="D5" s="174">
        <v>6546086.1200000001</v>
      </c>
      <c r="E5" s="176">
        <v>0</v>
      </c>
      <c r="F5" s="176">
        <v>4625.04</v>
      </c>
      <c r="G5" s="174">
        <f t="shared" ref="G5:G6" si="1">B5+D5-E5-F5</f>
        <v>6541461.0800000001</v>
      </c>
      <c r="H5" s="177">
        <v>6541459.0599999996</v>
      </c>
      <c r="I5" s="178">
        <f t="shared" si="0"/>
        <v>99.999969120048632</v>
      </c>
      <c r="J5" s="177">
        <f t="shared" ref="J5:J10" si="2">G5-H5</f>
        <v>2.0200000004842877</v>
      </c>
      <c r="K5" s="179">
        <f t="shared" ref="K5:K11" si="3">J5/G5*100</f>
        <v>3.0879951371418813E-5</v>
      </c>
    </row>
    <row r="6" spans="1:11" ht="20.100000000000001" customHeight="1" x14ac:dyDescent="0.25">
      <c r="A6" s="173" t="s">
        <v>28</v>
      </c>
      <c r="B6" s="174">
        <v>0</v>
      </c>
      <c r="C6" s="175" t="s">
        <v>29</v>
      </c>
      <c r="D6" s="174">
        <v>235453.04</v>
      </c>
      <c r="E6" s="176">
        <v>0</v>
      </c>
      <c r="F6" s="176">
        <v>2197.61</v>
      </c>
      <c r="G6" s="174">
        <f t="shared" si="1"/>
        <v>233255.43000000002</v>
      </c>
      <c r="H6" s="177">
        <v>233255.43</v>
      </c>
      <c r="I6" s="178">
        <f t="shared" si="0"/>
        <v>99.999999999999986</v>
      </c>
      <c r="J6" s="177">
        <f t="shared" si="2"/>
        <v>0</v>
      </c>
      <c r="K6" s="179">
        <f t="shared" si="3"/>
        <v>0</v>
      </c>
    </row>
    <row r="7" spans="1:11" ht="20.100000000000001" customHeight="1" x14ac:dyDescent="0.25">
      <c r="A7" s="173" t="s">
        <v>30</v>
      </c>
      <c r="B7" s="174">
        <v>1799.74</v>
      </c>
      <c r="C7" s="175" t="s">
        <v>31</v>
      </c>
      <c r="D7" s="174">
        <v>487803.38</v>
      </c>
      <c r="E7" s="176">
        <v>0</v>
      </c>
      <c r="F7" s="176">
        <v>4088.7</v>
      </c>
      <c r="G7" s="174">
        <f>B7+D7-E7-F7</f>
        <v>485514.42</v>
      </c>
      <c r="H7" s="177">
        <v>483196.35</v>
      </c>
      <c r="I7" s="178">
        <f t="shared" si="0"/>
        <v>99.522553830635957</v>
      </c>
      <c r="J7" s="177">
        <f t="shared" si="2"/>
        <v>2318.070000000007</v>
      </c>
      <c r="K7" s="179">
        <f t="shared" si="3"/>
        <v>0.47744616936403395</v>
      </c>
    </row>
    <row r="8" spans="1:11" ht="20.100000000000001" customHeight="1" x14ac:dyDescent="0.25">
      <c r="A8" s="173" t="s">
        <v>32</v>
      </c>
      <c r="B8" s="174">
        <v>0</v>
      </c>
      <c r="C8" s="175" t="s">
        <v>33</v>
      </c>
      <c r="D8" s="174">
        <v>397709.2</v>
      </c>
      <c r="E8" s="176">
        <v>0</v>
      </c>
      <c r="F8" s="176">
        <v>106760.83</v>
      </c>
      <c r="G8" s="174">
        <f>B8+D8-E8-F8</f>
        <v>290948.37</v>
      </c>
      <c r="H8" s="177">
        <v>290948.37</v>
      </c>
      <c r="I8" s="178">
        <f t="shared" si="0"/>
        <v>100</v>
      </c>
      <c r="J8" s="177">
        <f t="shared" si="2"/>
        <v>0</v>
      </c>
      <c r="K8" s="179">
        <f t="shared" si="3"/>
        <v>0</v>
      </c>
    </row>
    <row r="9" spans="1:11" ht="20.100000000000001" customHeight="1" x14ac:dyDescent="0.25">
      <c r="A9" s="180" t="s">
        <v>34</v>
      </c>
      <c r="B9" s="181">
        <v>0</v>
      </c>
      <c r="C9" s="182" t="s">
        <v>27</v>
      </c>
      <c r="D9" s="181">
        <v>254168.15</v>
      </c>
      <c r="E9" s="183">
        <v>0</v>
      </c>
      <c r="F9" s="176">
        <v>0</v>
      </c>
      <c r="G9" s="181">
        <f t="shared" ref="G9:G10" si="4">B9+D9-E9-F9</f>
        <v>254168.15</v>
      </c>
      <c r="H9" s="184">
        <v>254168.15</v>
      </c>
      <c r="I9" s="178">
        <f t="shared" si="0"/>
        <v>100</v>
      </c>
      <c r="J9" s="177">
        <f t="shared" si="2"/>
        <v>0</v>
      </c>
      <c r="K9" s="179">
        <f t="shared" si="3"/>
        <v>0</v>
      </c>
    </row>
    <row r="10" spans="1:11" ht="20.100000000000001" customHeight="1" thickBot="1" x14ac:dyDescent="0.3">
      <c r="A10" s="180" t="s">
        <v>35</v>
      </c>
      <c r="B10" s="517">
        <v>0</v>
      </c>
      <c r="C10" s="523" t="s">
        <v>33</v>
      </c>
      <c r="D10" s="517">
        <v>82784.149999999994</v>
      </c>
      <c r="E10" s="417">
        <v>0</v>
      </c>
      <c r="F10" s="382">
        <v>287.5</v>
      </c>
      <c r="G10" s="517">
        <f t="shared" si="4"/>
        <v>82496.649999999994</v>
      </c>
      <c r="H10" s="199">
        <v>82496.649999999994</v>
      </c>
      <c r="I10" s="524">
        <f t="shared" si="0"/>
        <v>100</v>
      </c>
      <c r="J10" s="198">
        <f t="shared" si="2"/>
        <v>0</v>
      </c>
      <c r="K10" s="525">
        <f t="shared" si="3"/>
        <v>0</v>
      </c>
    </row>
    <row r="11" spans="1:11" ht="20.100000000000001" customHeight="1" thickTop="1" thickBot="1" x14ac:dyDescent="0.3">
      <c r="A11" s="200" t="s">
        <v>36</v>
      </c>
      <c r="B11" s="202">
        <f>SUM(B4:B10)</f>
        <v>1799.74</v>
      </c>
      <c r="C11" s="526"/>
      <c r="D11" s="202">
        <f>SUM(D4:D10)</f>
        <v>8310055.8100000015</v>
      </c>
      <c r="E11" s="201">
        <f>SUM(E4:E10)</f>
        <v>8580.89</v>
      </c>
      <c r="F11" s="201">
        <f>SUM(F4:F10)</f>
        <v>117959.67999999999</v>
      </c>
      <c r="G11" s="202">
        <f>SUM(G4:G10)</f>
        <v>8185314.9800000004</v>
      </c>
      <c r="H11" s="203">
        <f>SUM(H4:H10)</f>
        <v>8182994.8899999997</v>
      </c>
      <c r="I11" s="527">
        <f t="shared" si="0"/>
        <v>99.971655458517233</v>
      </c>
      <c r="J11" s="203">
        <f>G11-H11</f>
        <v>2320.0900000007823</v>
      </c>
      <c r="K11" s="528">
        <f t="shared" si="3"/>
        <v>2.8344541482761387E-2</v>
      </c>
    </row>
    <row r="12" spans="1:11" ht="20.100000000000001" customHeight="1" thickTop="1" x14ac:dyDescent="0.25">
      <c r="A12" s="27"/>
      <c r="B12" s="28"/>
      <c r="C12" s="44"/>
      <c r="D12" s="28"/>
      <c r="E12" s="29"/>
      <c r="F12" s="29"/>
      <c r="G12" s="28"/>
      <c r="H12" s="35"/>
      <c r="I12" s="35"/>
      <c r="J12" s="35"/>
      <c r="K12" s="29"/>
    </row>
    <row r="13" spans="1:11" ht="20.100000000000001" customHeight="1" x14ac:dyDescent="0.25">
      <c r="A13" s="133" t="s">
        <v>37</v>
      </c>
      <c r="D13" s="57"/>
      <c r="E13" s="21"/>
      <c r="F13" s="188"/>
      <c r="G13" s="188"/>
      <c r="H13" s="166"/>
      <c r="I13" s="19"/>
      <c r="J13" s="20"/>
      <c r="K13" s="18"/>
    </row>
    <row r="14" spans="1:11" ht="20.100000000000001" customHeight="1" x14ac:dyDescent="0.25">
      <c r="B14" s="23" t="s">
        <v>30</v>
      </c>
      <c r="C14" s="42"/>
      <c r="D14" s="21">
        <v>2318.0700000000002</v>
      </c>
      <c r="E14" s="188" t="s">
        <v>38</v>
      </c>
      <c r="F14" s="188"/>
      <c r="K14" s="18"/>
    </row>
    <row r="15" spans="1:11" ht="20.100000000000001" customHeight="1" thickBot="1" x14ac:dyDescent="0.3">
      <c r="D15" s="189">
        <f>SUM(D14:D14)</f>
        <v>2318.0700000000002</v>
      </c>
      <c r="E15" s="21"/>
      <c r="F15" s="21"/>
      <c r="K15" s="18"/>
    </row>
    <row r="16" spans="1:11" s="354" customFormat="1" ht="20.100000000000001" customHeight="1" thickTop="1" x14ac:dyDescent="0.25">
      <c r="C16" s="359"/>
      <c r="D16" s="370"/>
      <c r="E16" s="357"/>
      <c r="F16" s="357"/>
      <c r="G16" s="357"/>
      <c r="H16" s="355"/>
      <c r="I16" s="356"/>
      <c r="J16" s="25"/>
    </row>
    <row r="17" spans="1:11" ht="20.100000000000001" customHeight="1" x14ac:dyDescent="0.25">
      <c r="D17" s="47"/>
      <c r="E17" s="21"/>
      <c r="F17" s="21"/>
      <c r="K17" s="18"/>
    </row>
    <row r="18" spans="1:11" ht="20.100000000000001" customHeight="1" x14ac:dyDescent="0.25">
      <c r="A18" s="163"/>
      <c r="B18" s="163"/>
      <c r="C18" s="164"/>
      <c r="D18" s="906" t="s">
        <v>262</v>
      </c>
      <c r="E18" s="906"/>
      <c r="F18" s="906"/>
      <c r="G18" s="165"/>
      <c r="H18" s="166"/>
      <c r="I18" s="167"/>
      <c r="J18" s="168"/>
      <c r="K18" s="163"/>
    </row>
    <row r="19" spans="1:11" ht="20.100000000000001" customHeight="1" thickBot="1" x14ac:dyDescent="0.3">
      <c r="A19" s="354"/>
      <c r="B19" s="354"/>
      <c r="C19" s="359"/>
      <c r="D19" s="357"/>
      <c r="E19" s="357"/>
      <c r="F19" s="357"/>
      <c r="G19" s="357"/>
      <c r="H19" s="355"/>
      <c r="I19" s="356"/>
      <c r="K19" s="354"/>
    </row>
    <row r="20" spans="1:11" ht="50.25" thickBot="1" x14ac:dyDescent="0.3">
      <c r="A20" s="169" t="s">
        <v>263</v>
      </c>
      <c r="B20" s="170" t="s">
        <v>14</v>
      </c>
      <c r="C20" s="169" t="s">
        <v>15</v>
      </c>
      <c r="D20" s="171" t="s">
        <v>16</v>
      </c>
      <c r="E20" s="171" t="s">
        <v>17</v>
      </c>
      <c r="F20" s="171" t="s">
        <v>18</v>
      </c>
      <c r="G20" s="170" t="s">
        <v>19</v>
      </c>
      <c r="H20" s="172" t="s">
        <v>20</v>
      </c>
      <c r="I20" s="172" t="s">
        <v>21</v>
      </c>
      <c r="J20" s="172" t="s">
        <v>22</v>
      </c>
      <c r="K20" s="171" t="s">
        <v>23</v>
      </c>
    </row>
    <row r="21" spans="1:11" ht="16.5" x14ac:dyDescent="0.25">
      <c r="A21" s="173" t="s">
        <v>24</v>
      </c>
      <c r="B21" s="372">
        <v>0</v>
      </c>
      <c r="C21" s="175" t="s">
        <v>264</v>
      </c>
      <c r="D21" s="372">
        <v>103428.51</v>
      </c>
      <c r="E21" s="373">
        <v>2899.86</v>
      </c>
      <c r="F21" s="373">
        <v>0</v>
      </c>
      <c r="G21" s="372">
        <f>B21+D21-E21-F21</f>
        <v>100528.65</v>
      </c>
      <c r="H21" s="374">
        <v>100528.65</v>
      </c>
      <c r="I21" s="178">
        <f t="shared" ref="I21:I28" si="5">H21/G21*100</f>
        <v>100</v>
      </c>
      <c r="J21" s="374">
        <f>G21-H21</f>
        <v>0</v>
      </c>
      <c r="K21" s="179">
        <f>J21/G21*100</f>
        <v>0</v>
      </c>
    </row>
    <row r="22" spans="1:11" ht="20.100000000000001" customHeight="1" x14ac:dyDescent="0.25">
      <c r="A22" s="173" t="s">
        <v>26</v>
      </c>
      <c r="B22" s="372">
        <v>0</v>
      </c>
      <c r="C22" s="175" t="s">
        <v>265</v>
      </c>
      <c r="D22" s="372">
        <v>634427.03</v>
      </c>
      <c r="E22" s="373">
        <v>0</v>
      </c>
      <c r="F22" s="373">
        <v>3600.01</v>
      </c>
      <c r="G22" s="372">
        <f t="shared" ref="G22:G23" si="6">B22+D22-E22-F22</f>
        <v>630827.02</v>
      </c>
      <c r="H22" s="374">
        <v>630827.02</v>
      </c>
      <c r="I22" s="178">
        <f t="shared" si="5"/>
        <v>100</v>
      </c>
      <c r="J22" s="374">
        <f t="shared" ref="J22:J27" si="7">G22-H22</f>
        <v>0</v>
      </c>
      <c r="K22" s="179">
        <f t="shared" ref="K22:K28" si="8">J22/G22*100</f>
        <v>0</v>
      </c>
    </row>
    <row r="23" spans="1:11" ht="20.100000000000001" customHeight="1" x14ac:dyDescent="0.25">
      <c r="A23" s="173" t="s">
        <v>28</v>
      </c>
      <c r="B23" s="372">
        <v>0</v>
      </c>
      <c r="C23" s="175" t="s">
        <v>266</v>
      </c>
      <c r="D23" s="372">
        <v>363007.86</v>
      </c>
      <c r="E23" s="373">
        <v>0</v>
      </c>
      <c r="F23" s="373">
        <v>1494.11</v>
      </c>
      <c r="G23" s="372">
        <f t="shared" si="6"/>
        <v>361513.75</v>
      </c>
      <c r="H23" s="374">
        <v>361513.75</v>
      </c>
      <c r="I23" s="178">
        <f t="shared" si="5"/>
        <v>100</v>
      </c>
      <c r="J23" s="374">
        <f t="shared" si="7"/>
        <v>0</v>
      </c>
      <c r="K23" s="179">
        <f t="shared" si="8"/>
        <v>0</v>
      </c>
    </row>
    <row r="24" spans="1:11" ht="20.100000000000001" customHeight="1" x14ac:dyDescent="0.25">
      <c r="A24" s="173" t="s">
        <v>30</v>
      </c>
      <c r="B24" s="372">
        <v>1799.74</v>
      </c>
      <c r="C24" s="175" t="s">
        <v>267</v>
      </c>
      <c r="D24" s="372">
        <v>2603192.06</v>
      </c>
      <c r="E24" s="373">
        <v>0</v>
      </c>
      <c r="F24" s="373">
        <v>0</v>
      </c>
      <c r="G24" s="372">
        <f>B24+D24-E24-F24</f>
        <v>2604991.8000000003</v>
      </c>
      <c r="H24" s="374">
        <v>2603192.0299999998</v>
      </c>
      <c r="I24" s="178">
        <f t="shared" si="5"/>
        <v>99.93091072302029</v>
      </c>
      <c r="J24" s="374">
        <f t="shared" si="7"/>
        <v>1799.7700000004843</v>
      </c>
      <c r="K24" s="179">
        <f t="shared" si="8"/>
        <v>6.9089276979700437E-2</v>
      </c>
    </row>
    <row r="25" spans="1:11" ht="20.100000000000001" customHeight="1" x14ac:dyDescent="0.25">
      <c r="A25" s="173" t="s">
        <v>32</v>
      </c>
      <c r="B25" s="372">
        <v>0</v>
      </c>
      <c r="C25" s="175" t="s">
        <v>268</v>
      </c>
      <c r="D25" s="372">
        <v>193781.49</v>
      </c>
      <c r="E25" s="373">
        <v>0</v>
      </c>
      <c r="F25" s="373">
        <v>117041.62</v>
      </c>
      <c r="G25" s="372">
        <f>B25+D25-E25-F25</f>
        <v>76739.87</v>
      </c>
      <c r="H25" s="374">
        <v>76739.87</v>
      </c>
      <c r="I25" s="178">
        <f t="shared" si="5"/>
        <v>100</v>
      </c>
      <c r="J25" s="374">
        <f t="shared" si="7"/>
        <v>0</v>
      </c>
      <c r="K25" s="179">
        <f t="shared" si="8"/>
        <v>0</v>
      </c>
    </row>
    <row r="26" spans="1:11" ht="20.100000000000001" customHeight="1" x14ac:dyDescent="0.25">
      <c r="A26" s="180" t="s">
        <v>34</v>
      </c>
      <c r="B26" s="181">
        <v>0</v>
      </c>
      <c r="C26" s="182" t="s">
        <v>265</v>
      </c>
      <c r="D26" s="181">
        <v>315792.24</v>
      </c>
      <c r="E26" s="386">
        <v>0</v>
      </c>
      <c r="F26" s="373">
        <v>0</v>
      </c>
      <c r="G26" s="181">
        <f t="shared" ref="G26:G27" si="9">B26+D26-E26-F26</f>
        <v>315792.24</v>
      </c>
      <c r="H26" s="184">
        <v>315792.24</v>
      </c>
      <c r="I26" s="178">
        <f t="shared" si="5"/>
        <v>100</v>
      </c>
      <c r="J26" s="374">
        <f t="shared" si="7"/>
        <v>0</v>
      </c>
      <c r="K26" s="179">
        <f t="shared" si="8"/>
        <v>0</v>
      </c>
    </row>
    <row r="27" spans="1:11" ht="20.100000000000001" customHeight="1" thickBot="1" x14ac:dyDescent="0.3">
      <c r="A27" s="180" t="s">
        <v>35</v>
      </c>
      <c r="B27" s="517">
        <v>0</v>
      </c>
      <c r="C27" s="523" t="s">
        <v>268</v>
      </c>
      <c r="D27" s="517">
        <v>89682.8</v>
      </c>
      <c r="E27" s="417">
        <v>0</v>
      </c>
      <c r="F27" s="382">
        <v>4024.22</v>
      </c>
      <c r="G27" s="517">
        <f t="shared" si="9"/>
        <v>85658.58</v>
      </c>
      <c r="H27" s="199">
        <v>85658.58</v>
      </c>
      <c r="I27" s="524">
        <f t="shared" si="5"/>
        <v>100</v>
      </c>
      <c r="J27" s="198">
        <f t="shared" si="7"/>
        <v>0</v>
      </c>
      <c r="K27" s="525">
        <f t="shared" si="8"/>
        <v>0</v>
      </c>
    </row>
    <row r="28" spans="1:11" ht="20.100000000000001" customHeight="1" thickTop="1" thickBot="1" x14ac:dyDescent="0.3">
      <c r="A28" s="200" t="s">
        <v>36</v>
      </c>
      <c r="B28" s="202">
        <f>SUM(B21:B27)</f>
        <v>1799.74</v>
      </c>
      <c r="C28" s="526"/>
      <c r="D28" s="202">
        <f>SUM(D21:D27)</f>
        <v>4303311.99</v>
      </c>
      <c r="E28" s="201">
        <f>SUM(E21:E27)</f>
        <v>2899.86</v>
      </c>
      <c r="F28" s="201">
        <f>SUM(F21:F27)</f>
        <v>126159.95999999999</v>
      </c>
      <c r="G28" s="202">
        <f>SUM(G21:G27)</f>
        <v>4176051.91</v>
      </c>
      <c r="H28" s="203">
        <f>SUM(H21:H27)</f>
        <v>4174252.1399999997</v>
      </c>
      <c r="I28" s="527">
        <f t="shared" si="5"/>
        <v>99.956902595111657</v>
      </c>
      <c r="J28" s="203">
        <f>G28-H28</f>
        <v>1799.7700000004843</v>
      </c>
      <c r="K28" s="528">
        <f t="shared" si="8"/>
        <v>4.3097404888352647E-2</v>
      </c>
    </row>
    <row r="29" spans="1:11" ht="20.100000000000001" customHeight="1" thickTop="1" x14ac:dyDescent="0.25">
      <c r="A29" s="360"/>
      <c r="B29" s="361"/>
      <c r="C29" s="369"/>
      <c r="D29" s="361"/>
      <c r="E29" s="362"/>
      <c r="F29" s="362"/>
      <c r="G29" s="361"/>
      <c r="H29" s="365"/>
      <c r="I29" s="365"/>
      <c r="J29" s="365"/>
      <c r="K29" s="362"/>
    </row>
    <row r="30" spans="1:11" ht="20.100000000000001" customHeight="1" x14ac:dyDescent="0.25">
      <c r="A30" s="363" t="s">
        <v>37</v>
      </c>
      <c r="B30" s="354"/>
      <c r="C30" s="359"/>
      <c r="D30" s="57"/>
      <c r="E30" s="357"/>
      <c r="F30" s="188"/>
      <c r="G30" s="188"/>
      <c r="H30" s="166"/>
      <c r="I30" s="355"/>
      <c r="J30" s="356"/>
      <c r="K30" s="354"/>
    </row>
    <row r="31" spans="1:11" ht="20.100000000000001" customHeight="1" x14ac:dyDescent="0.25">
      <c r="A31" s="354"/>
      <c r="B31" s="358" t="s">
        <v>30</v>
      </c>
      <c r="C31" s="42"/>
      <c r="D31" s="357">
        <v>1799.77</v>
      </c>
      <c r="E31" s="188" t="s">
        <v>269</v>
      </c>
      <c r="F31" s="188"/>
      <c r="G31" s="357"/>
      <c r="H31" s="355"/>
      <c r="I31" s="356"/>
      <c r="K31" s="354"/>
    </row>
    <row r="32" spans="1:11" ht="20.100000000000001" customHeight="1" thickBot="1" x14ac:dyDescent="0.3">
      <c r="A32" s="354"/>
      <c r="B32" s="354"/>
      <c r="C32" s="359"/>
      <c r="D32" s="189">
        <f>SUM(D31:D31)</f>
        <v>1799.77</v>
      </c>
      <c r="E32" s="357"/>
      <c r="F32" s="357"/>
      <c r="G32" s="357"/>
      <c r="H32" s="355"/>
      <c r="I32" s="356"/>
      <c r="K32" s="354"/>
    </row>
    <row r="33" spans="1:11" ht="20.100000000000001" customHeight="1" thickTop="1" x14ac:dyDescent="0.25">
      <c r="A33" s="354"/>
      <c r="B33" s="354"/>
      <c r="C33" s="359"/>
      <c r="D33" s="357"/>
      <c r="E33" s="357"/>
      <c r="F33" s="357"/>
      <c r="G33" s="357"/>
      <c r="H33" s="355"/>
      <c r="I33" s="356"/>
      <c r="K33" s="354"/>
    </row>
    <row r="34" spans="1:11" ht="20.100000000000001" customHeight="1" x14ac:dyDescent="0.25">
      <c r="A34" s="163"/>
      <c r="B34" s="163"/>
      <c r="C34" s="164"/>
      <c r="D34" s="906" t="s">
        <v>385</v>
      </c>
      <c r="E34" s="906"/>
      <c r="F34" s="906"/>
      <c r="G34" s="165"/>
      <c r="H34" s="166"/>
      <c r="I34" s="167"/>
      <c r="J34" s="168"/>
      <c r="K34" s="163"/>
    </row>
    <row r="35" spans="1:11" ht="20.100000000000001" customHeight="1" thickBot="1" x14ac:dyDescent="0.3">
      <c r="A35" s="354"/>
      <c r="B35" s="354"/>
      <c r="C35" s="359"/>
      <c r="D35" s="357"/>
      <c r="E35" s="357"/>
      <c r="F35" s="357"/>
      <c r="G35" s="357"/>
      <c r="H35" s="355"/>
      <c r="I35" s="356"/>
      <c r="K35" s="354"/>
    </row>
    <row r="36" spans="1:11" ht="50.25" thickBot="1" x14ac:dyDescent="0.3">
      <c r="A36" s="169" t="s">
        <v>373</v>
      </c>
      <c r="B36" s="170" t="s">
        <v>14</v>
      </c>
      <c r="C36" s="169" t="s">
        <v>15</v>
      </c>
      <c r="D36" s="171" t="s">
        <v>16</v>
      </c>
      <c r="E36" s="171" t="s">
        <v>17</v>
      </c>
      <c r="F36" s="171" t="s">
        <v>18</v>
      </c>
      <c r="G36" s="170" t="s">
        <v>19</v>
      </c>
      <c r="H36" s="172" t="s">
        <v>20</v>
      </c>
      <c r="I36" s="172" t="s">
        <v>21</v>
      </c>
      <c r="J36" s="172" t="s">
        <v>22</v>
      </c>
      <c r="K36" s="171" t="s">
        <v>23</v>
      </c>
    </row>
    <row r="37" spans="1:11" ht="16.5" x14ac:dyDescent="0.25">
      <c r="A37" s="173" t="s">
        <v>24</v>
      </c>
      <c r="B37" s="372">
        <v>0</v>
      </c>
      <c r="C37" s="175" t="s">
        <v>386</v>
      </c>
      <c r="D37" s="372">
        <v>105848.02</v>
      </c>
      <c r="E37" s="373">
        <v>3629.1</v>
      </c>
      <c r="F37" s="373">
        <v>1441.45</v>
      </c>
      <c r="G37" s="372">
        <f>B37+D37-E37-F37</f>
        <v>100777.47</v>
      </c>
      <c r="H37" s="374">
        <v>100777.47</v>
      </c>
      <c r="I37" s="178">
        <f t="shared" ref="I37:I44" si="10">H37/G37*100</f>
        <v>100</v>
      </c>
      <c r="J37" s="374">
        <f>G37-H37</f>
        <v>0</v>
      </c>
      <c r="K37" s="179">
        <f>J37/G37*100</f>
        <v>0</v>
      </c>
    </row>
    <row r="38" spans="1:11" ht="20.100000000000001" customHeight="1" x14ac:dyDescent="0.25">
      <c r="A38" s="173" t="s">
        <v>26</v>
      </c>
      <c r="B38" s="372">
        <v>0</v>
      </c>
      <c r="C38" s="175" t="s">
        <v>387</v>
      </c>
      <c r="D38" s="372">
        <v>823715.21</v>
      </c>
      <c r="E38" s="373">
        <v>0</v>
      </c>
      <c r="F38" s="373">
        <v>40745.120000000003</v>
      </c>
      <c r="G38" s="372">
        <f t="shared" ref="G38:G39" si="11">B38+D38-E38-F38</f>
        <v>782970.09</v>
      </c>
      <c r="H38" s="374">
        <v>782970.09</v>
      </c>
      <c r="I38" s="178">
        <f t="shared" si="10"/>
        <v>100</v>
      </c>
      <c r="J38" s="374">
        <f t="shared" ref="J38:J43" si="12">G38-H38</f>
        <v>0</v>
      </c>
      <c r="K38" s="179">
        <f t="shared" ref="K38:K44" si="13">J38/G38*100</f>
        <v>0</v>
      </c>
    </row>
    <row r="39" spans="1:11" ht="20.100000000000001" customHeight="1" x14ac:dyDescent="0.25">
      <c r="A39" s="173" t="s">
        <v>28</v>
      </c>
      <c r="B39" s="372">
        <v>0</v>
      </c>
      <c r="C39" s="175" t="s">
        <v>388</v>
      </c>
      <c r="D39" s="372">
        <v>690853.91</v>
      </c>
      <c r="E39" s="373">
        <v>0</v>
      </c>
      <c r="F39" s="373">
        <v>1641.51</v>
      </c>
      <c r="G39" s="372">
        <f t="shared" si="11"/>
        <v>689212.4</v>
      </c>
      <c r="H39" s="374">
        <v>689212.4</v>
      </c>
      <c r="I39" s="178">
        <f t="shared" si="10"/>
        <v>100</v>
      </c>
      <c r="J39" s="374">
        <f t="shared" si="12"/>
        <v>0</v>
      </c>
      <c r="K39" s="179">
        <f t="shared" si="13"/>
        <v>0</v>
      </c>
    </row>
    <row r="40" spans="1:11" ht="20.100000000000001" customHeight="1" x14ac:dyDescent="0.25">
      <c r="A40" s="173" t="s">
        <v>30</v>
      </c>
      <c r="B40" s="372">
        <v>1799.74</v>
      </c>
      <c r="C40" s="175" t="s">
        <v>265</v>
      </c>
      <c r="D40" s="372">
        <v>500829.59</v>
      </c>
      <c r="E40" s="373">
        <v>0</v>
      </c>
      <c r="F40" s="373">
        <v>3004.18</v>
      </c>
      <c r="G40" s="372">
        <f>B40+D40-E40-F40</f>
        <v>499625.15</v>
      </c>
      <c r="H40" s="374">
        <v>498216.33</v>
      </c>
      <c r="I40" s="178">
        <f t="shared" si="10"/>
        <v>99.718024603044896</v>
      </c>
      <c r="J40" s="374">
        <f t="shared" si="12"/>
        <v>1408.820000000007</v>
      </c>
      <c r="K40" s="179">
        <f t="shared" si="13"/>
        <v>0.28197539695509866</v>
      </c>
    </row>
    <row r="41" spans="1:11" ht="20.100000000000001" customHeight="1" x14ac:dyDescent="0.25">
      <c r="A41" s="173" t="s">
        <v>32</v>
      </c>
      <c r="B41" s="372">
        <v>0</v>
      </c>
      <c r="C41" s="175" t="s">
        <v>389</v>
      </c>
      <c r="D41" s="372">
        <v>265384.84000000003</v>
      </c>
      <c r="E41" s="373">
        <v>0</v>
      </c>
      <c r="F41" s="373">
        <v>22670.7</v>
      </c>
      <c r="G41" s="372">
        <f>B41+D41-E41-F41</f>
        <v>242714.14</v>
      </c>
      <c r="H41" s="374">
        <v>242714.14</v>
      </c>
      <c r="I41" s="178">
        <f t="shared" si="10"/>
        <v>100</v>
      </c>
      <c r="J41" s="374">
        <f t="shared" si="12"/>
        <v>0</v>
      </c>
      <c r="K41" s="179">
        <f t="shared" si="13"/>
        <v>0</v>
      </c>
    </row>
    <row r="42" spans="1:11" ht="20.100000000000001" customHeight="1" x14ac:dyDescent="0.25">
      <c r="A42" s="180" t="s">
        <v>34</v>
      </c>
      <c r="B42" s="181">
        <v>0</v>
      </c>
      <c r="C42" s="182" t="s">
        <v>390</v>
      </c>
      <c r="D42" s="181">
        <v>128026.29</v>
      </c>
      <c r="E42" s="386">
        <v>0</v>
      </c>
      <c r="F42" s="373">
        <v>0</v>
      </c>
      <c r="G42" s="181">
        <f t="shared" ref="G42:G43" si="14">B42+D42-E42-F42</f>
        <v>128026.29</v>
      </c>
      <c r="H42" s="184">
        <v>128026.29</v>
      </c>
      <c r="I42" s="178">
        <f t="shared" si="10"/>
        <v>100</v>
      </c>
      <c r="J42" s="374">
        <f t="shared" si="12"/>
        <v>0</v>
      </c>
      <c r="K42" s="179">
        <f t="shared" si="13"/>
        <v>0</v>
      </c>
    </row>
    <row r="43" spans="1:11" ht="20.100000000000001" customHeight="1" x14ac:dyDescent="0.25">
      <c r="A43" s="180" t="s">
        <v>35</v>
      </c>
      <c r="B43" s="181">
        <v>0</v>
      </c>
      <c r="C43" s="182" t="s">
        <v>389</v>
      </c>
      <c r="D43" s="181">
        <v>82784.13</v>
      </c>
      <c r="E43" s="386">
        <v>0</v>
      </c>
      <c r="F43" s="373">
        <v>287.44</v>
      </c>
      <c r="G43" s="181">
        <f t="shared" si="14"/>
        <v>82496.69</v>
      </c>
      <c r="H43" s="184">
        <v>82496.69</v>
      </c>
      <c r="I43" s="178">
        <f t="shared" si="10"/>
        <v>100</v>
      </c>
      <c r="J43" s="374">
        <f t="shared" si="12"/>
        <v>0</v>
      </c>
      <c r="K43" s="531">
        <f t="shared" si="13"/>
        <v>0</v>
      </c>
    </row>
    <row r="44" spans="1:11" ht="20.100000000000001" customHeight="1" thickBot="1" x14ac:dyDescent="0.3">
      <c r="A44" s="375" t="s">
        <v>36</v>
      </c>
      <c r="B44" s="376">
        <f>SUM(B37:B43)</f>
        <v>1799.74</v>
      </c>
      <c r="C44" s="185"/>
      <c r="D44" s="376">
        <f>SUM(D37:D43)</f>
        <v>2597441.9899999998</v>
      </c>
      <c r="E44" s="186">
        <f>SUM(E37:E43)</f>
        <v>3629.1</v>
      </c>
      <c r="F44" s="186">
        <f>SUM(F37:F43)</f>
        <v>69790.400000000009</v>
      </c>
      <c r="G44" s="376">
        <f>SUM(G37:G43)</f>
        <v>2525822.23</v>
      </c>
      <c r="H44" s="187">
        <f>SUM(H37:H43)</f>
        <v>2524413.41</v>
      </c>
      <c r="I44" s="532">
        <f t="shared" si="10"/>
        <v>99.944223311392747</v>
      </c>
      <c r="J44" s="187">
        <f>G44-H44</f>
        <v>1408.8199999998324</v>
      </c>
      <c r="K44" s="533">
        <f t="shared" si="13"/>
        <v>5.5776688607251365E-2</v>
      </c>
    </row>
    <row r="45" spans="1:11" ht="20.100000000000001" customHeight="1" thickTop="1" x14ac:dyDescent="0.25">
      <c r="A45" s="360"/>
      <c r="B45" s="361"/>
      <c r="C45" s="369"/>
      <c r="D45" s="361"/>
      <c r="E45" s="362"/>
      <c r="F45" s="362"/>
      <c r="G45" s="361"/>
      <c r="H45" s="365"/>
      <c r="I45" s="365"/>
      <c r="J45" s="365"/>
      <c r="K45" s="362"/>
    </row>
    <row r="46" spans="1:11" ht="20.100000000000001" customHeight="1" x14ac:dyDescent="0.25">
      <c r="A46" s="363" t="s">
        <v>37</v>
      </c>
      <c r="B46" s="354"/>
      <c r="C46" s="359"/>
      <c r="D46" s="57"/>
      <c r="E46" s="357"/>
      <c r="F46" s="188"/>
      <c r="G46" s="188"/>
      <c r="H46" s="166"/>
      <c r="I46" s="355"/>
      <c r="J46" s="356"/>
      <c r="K46" s="354"/>
    </row>
    <row r="47" spans="1:11" ht="20.100000000000001" customHeight="1" x14ac:dyDescent="0.25">
      <c r="A47" s="354"/>
      <c r="B47" s="358" t="s">
        <v>30</v>
      </c>
      <c r="C47" s="42"/>
      <c r="D47" s="357">
        <v>1408.82</v>
      </c>
      <c r="E47" s="188" t="s">
        <v>391</v>
      </c>
      <c r="F47" s="188"/>
      <c r="G47" s="357"/>
      <c r="H47" s="355"/>
      <c r="I47" s="356"/>
      <c r="K47" s="354"/>
    </row>
    <row r="48" spans="1:11" ht="20.100000000000001" customHeight="1" thickBot="1" x14ac:dyDescent="0.3">
      <c r="A48" s="354"/>
      <c r="B48" s="354"/>
      <c r="C48" s="359"/>
      <c r="D48" s="189">
        <f>SUM(D47:D47)</f>
        <v>1408.82</v>
      </c>
      <c r="E48" s="357"/>
      <c r="F48" s="357"/>
      <c r="G48" s="357"/>
      <c r="H48" s="355"/>
      <c r="I48" s="356"/>
      <c r="K48" s="354"/>
    </row>
    <row r="49" spans="1:12" ht="20.100000000000001" customHeight="1" thickTop="1" x14ac:dyDescent="0.25">
      <c r="A49" s="354"/>
      <c r="B49" s="354"/>
      <c r="C49" s="359"/>
      <c r="D49" s="357"/>
      <c r="E49" s="357"/>
      <c r="F49" s="357"/>
      <c r="G49" s="357"/>
      <c r="H49" s="355"/>
      <c r="I49" s="356"/>
      <c r="K49" s="354"/>
    </row>
    <row r="50" spans="1:12" ht="20.100000000000001" customHeight="1" x14ac:dyDescent="0.25">
      <c r="A50" s="163"/>
      <c r="B50" s="163"/>
      <c r="C50" s="164"/>
      <c r="D50" s="906" t="s">
        <v>469</v>
      </c>
      <c r="E50" s="906"/>
      <c r="F50" s="906"/>
      <c r="G50" s="165"/>
      <c r="H50" s="166"/>
      <c r="I50" s="167"/>
      <c r="J50" s="168"/>
      <c r="K50" s="163"/>
      <c r="L50" s="354"/>
    </row>
    <row r="51" spans="1:12" ht="20.100000000000001" customHeight="1" thickBot="1" x14ac:dyDescent="0.3">
      <c r="A51" s="354"/>
      <c r="B51" s="354"/>
      <c r="C51" s="359"/>
      <c r="D51" s="357"/>
      <c r="E51" s="357"/>
      <c r="F51" s="357"/>
      <c r="G51" s="357"/>
      <c r="H51" s="355"/>
      <c r="I51" s="356"/>
      <c r="K51" s="354"/>
      <c r="L51" s="354"/>
    </row>
    <row r="52" spans="1:12" ht="50.25" thickBot="1" x14ac:dyDescent="0.3">
      <c r="A52" s="169" t="s">
        <v>470</v>
      </c>
      <c r="B52" s="170" t="s">
        <v>14</v>
      </c>
      <c r="C52" s="169" t="s">
        <v>15</v>
      </c>
      <c r="D52" s="171" t="s">
        <v>16</v>
      </c>
      <c r="E52" s="171" t="s">
        <v>17</v>
      </c>
      <c r="F52" s="171" t="s">
        <v>18</v>
      </c>
      <c r="G52" s="170" t="s">
        <v>19</v>
      </c>
      <c r="H52" s="172" t="s">
        <v>20</v>
      </c>
      <c r="I52" s="172" t="s">
        <v>21</v>
      </c>
      <c r="J52" s="172" t="s">
        <v>22</v>
      </c>
      <c r="K52" s="171" t="s">
        <v>23</v>
      </c>
      <c r="L52" s="354"/>
    </row>
    <row r="53" spans="1:12" ht="16.5" x14ac:dyDescent="0.25">
      <c r="A53" s="173" t="s">
        <v>24</v>
      </c>
      <c r="B53" s="372">
        <v>0</v>
      </c>
      <c r="C53" s="175" t="s">
        <v>471</v>
      </c>
      <c r="D53" s="372">
        <v>102218.86</v>
      </c>
      <c r="E53" s="373">
        <v>2419.4</v>
      </c>
      <c r="F53" s="373">
        <v>2798.12</v>
      </c>
      <c r="G53" s="372">
        <f>B53+D53-E53-F53</f>
        <v>97001.340000000011</v>
      </c>
      <c r="H53" s="374">
        <v>97001.32</v>
      </c>
      <c r="I53" s="178">
        <f t="shared" ref="I53:I60" si="15">H53/G53*100</f>
        <v>99.999979381728124</v>
      </c>
      <c r="J53" s="374">
        <f>G53-H53</f>
        <v>2.0000000004074536E-2</v>
      </c>
      <c r="K53" s="179">
        <f>J53/G53*100</f>
        <v>2.0618271875496289E-5</v>
      </c>
      <c r="L53" s="354"/>
    </row>
    <row r="54" spans="1:12" ht="20.100000000000001" customHeight="1" x14ac:dyDescent="0.25">
      <c r="A54" s="173" t="s">
        <v>26</v>
      </c>
      <c r="B54" s="372">
        <v>0</v>
      </c>
      <c r="C54" s="175" t="s">
        <v>472</v>
      </c>
      <c r="D54" s="372">
        <v>3272800.91</v>
      </c>
      <c r="E54" s="373">
        <v>0</v>
      </c>
      <c r="F54" s="373">
        <v>118971.17</v>
      </c>
      <c r="G54" s="372">
        <f t="shared" ref="G54:G55" si="16">B54+D54-E54-F54</f>
        <v>3153829.74</v>
      </c>
      <c r="H54" s="374">
        <v>3153829.74</v>
      </c>
      <c r="I54" s="178">
        <f t="shared" si="15"/>
        <v>100</v>
      </c>
      <c r="J54" s="374">
        <f t="shared" ref="J54:J59" si="17">G54-H54</f>
        <v>0</v>
      </c>
      <c r="K54" s="179">
        <f t="shared" ref="K54:K60" si="18">J54/G54*100</f>
        <v>0</v>
      </c>
      <c r="L54" s="354"/>
    </row>
    <row r="55" spans="1:12" ht="16.5" x14ac:dyDescent="0.25">
      <c r="A55" s="173" t="s">
        <v>28</v>
      </c>
      <c r="B55" s="372">
        <v>0</v>
      </c>
      <c r="C55" s="175" t="s">
        <v>473</v>
      </c>
      <c r="D55" s="372">
        <v>537301.54</v>
      </c>
      <c r="E55" s="373">
        <v>0</v>
      </c>
      <c r="F55" s="373">
        <v>16857.23</v>
      </c>
      <c r="G55" s="372">
        <f t="shared" si="16"/>
        <v>520444.31000000006</v>
      </c>
      <c r="H55" s="374">
        <v>520444.31</v>
      </c>
      <c r="I55" s="178">
        <f t="shared" si="15"/>
        <v>99.999999999999986</v>
      </c>
      <c r="J55" s="374">
        <f t="shared" si="17"/>
        <v>0</v>
      </c>
      <c r="K55" s="179">
        <f t="shared" si="18"/>
        <v>0</v>
      </c>
      <c r="L55" s="354"/>
    </row>
    <row r="56" spans="1:12" ht="20.100000000000001" customHeight="1" x14ac:dyDescent="0.25">
      <c r="A56" s="173" t="s">
        <v>30</v>
      </c>
      <c r="B56" s="372">
        <v>1408.82</v>
      </c>
      <c r="C56" s="175" t="s">
        <v>264</v>
      </c>
      <c r="D56" s="372">
        <v>499897.11</v>
      </c>
      <c r="E56" s="373">
        <v>0</v>
      </c>
      <c r="F56" s="373">
        <v>2206.1999999999998</v>
      </c>
      <c r="G56" s="372">
        <f>B56+D56-E56-F56</f>
        <v>499099.73</v>
      </c>
      <c r="H56" s="374">
        <v>495888.59</v>
      </c>
      <c r="I56" s="178">
        <f t="shared" si="15"/>
        <v>99.356613556973883</v>
      </c>
      <c r="J56" s="374">
        <f t="shared" si="17"/>
        <v>3211.1399999999558</v>
      </c>
      <c r="K56" s="179">
        <f t="shared" si="18"/>
        <v>0.64338644302611736</v>
      </c>
      <c r="L56" s="354"/>
    </row>
    <row r="57" spans="1:12" ht="20.100000000000001" customHeight="1" x14ac:dyDescent="0.25">
      <c r="A57" s="173" t="s">
        <v>32</v>
      </c>
      <c r="B57" s="372">
        <v>0</v>
      </c>
      <c r="C57" s="175" t="s">
        <v>474</v>
      </c>
      <c r="D57" s="372">
        <v>230760.56</v>
      </c>
      <c r="E57" s="373">
        <v>0</v>
      </c>
      <c r="F57" s="373">
        <v>209812.02</v>
      </c>
      <c r="G57" s="372">
        <f>B57+D57-E57-F57</f>
        <v>20948.540000000008</v>
      </c>
      <c r="H57" s="374">
        <v>20948.54</v>
      </c>
      <c r="I57" s="178">
        <f t="shared" si="15"/>
        <v>99.999999999999972</v>
      </c>
      <c r="J57" s="374">
        <f t="shared" si="17"/>
        <v>0</v>
      </c>
      <c r="K57" s="179">
        <f t="shared" si="18"/>
        <v>0</v>
      </c>
      <c r="L57" s="354"/>
    </row>
    <row r="58" spans="1:12" ht="20.100000000000001" customHeight="1" x14ac:dyDescent="0.25">
      <c r="A58" s="180" t="s">
        <v>34</v>
      </c>
      <c r="B58" s="181">
        <v>0</v>
      </c>
      <c r="C58" s="182" t="s">
        <v>475</v>
      </c>
      <c r="D58" s="181">
        <v>99044.39</v>
      </c>
      <c r="E58" s="386">
        <v>0</v>
      </c>
      <c r="F58" s="373">
        <v>0</v>
      </c>
      <c r="G58" s="181">
        <f t="shared" ref="G58:G59" si="19">B58+D58-E58-F58</f>
        <v>99044.39</v>
      </c>
      <c r="H58" s="184">
        <v>99044.39</v>
      </c>
      <c r="I58" s="178">
        <f t="shared" si="15"/>
        <v>100</v>
      </c>
      <c r="J58" s="374">
        <f t="shared" si="17"/>
        <v>0</v>
      </c>
      <c r="K58" s="179">
        <f t="shared" si="18"/>
        <v>0</v>
      </c>
      <c r="L58" s="354"/>
    </row>
    <row r="59" spans="1:12" ht="20.100000000000001" customHeight="1" x14ac:dyDescent="0.25">
      <c r="A59" s="180" t="s">
        <v>35</v>
      </c>
      <c r="B59" s="181">
        <v>0</v>
      </c>
      <c r="C59" s="182" t="s">
        <v>474</v>
      </c>
      <c r="D59" s="181">
        <v>75885.440000000002</v>
      </c>
      <c r="E59" s="386">
        <v>0</v>
      </c>
      <c r="F59" s="373">
        <v>9172.69</v>
      </c>
      <c r="G59" s="181">
        <f t="shared" si="19"/>
        <v>66712.75</v>
      </c>
      <c r="H59" s="184">
        <v>66712.75</v>
      </c>
      <c r="I59" s="178">
        <f t="shared" si="15"/>
        <v>100</v>
      </c>
      <c r="J59" s="374">
        <f t="shared" si="17"/>
        <v>0</v>
      </c>
      <c r="K59" s="531">
        <f t="shared" si="18"/>
        <v>0</v>
      </c>
      <c r="L59" s="354"/>
    </row>
    <row r="60" spans="1:12" ht="20.100000000000001" customHeight="1" thickBot="1" x14ac:dyDescent="0.3">
      <c r="A60" s="375" t="s">
        <v>36</v>
      </c>
      <c r="B60" s="376">
        <f>SUM(B53:B59)</f>
        <v>1408.82</v>
      </c>
      <c r="C60" s="185"/>
      <c r="D60" s="376">
        <f>SUM(D53:D59)</f>
        <v>4817908.8099999996</v>
      </c>
      <c r="E60" s="186">
        <f>SUM(E53:E59)</f>
        <v>2419.4</v>
      </c>
      <c r="F60" s="186">
        <f>SUM(F53:F59)</f>
        <v>359817.43</v>
      </c>
      <c r="G60" s="376">
        <f>SUM(G53:G59)</f>
        <v>4457080.8</v>
      </c>
      <c r="H60" s="187">
        <f>SUM(H53:H59)</f>
        <v>4453869.6399999997</v>
      </c>
      <c r="I60" s="532">
        <f t="shared" si="15"/>
        <v>99.927953740484128</v>
      </c>
      <c r="J60" s="187">
        <f>G60-H60</f>
        <v>3211.160000000149</v>
      </c>
      <c r="K60" s="533">
        <f t="shared" si="18"/>
        <v>7.2046259515873012E-2</v>
      </c>
      <c r="L60" s="354"/>
    </row>
    <row r="61" spans="1:12" ht="20.100000000000001" customHeight="1" thickTop="1" x14ac:dyDescent="0.25">
      <c r="A61" s="360"/>
      <c r="B61" s="361"/>
      <c r="C61" s="369"/>
      <c r="D61" s="361"/>
      <c r="E61" s="362"/>
      <c r="F61" s="362"/>
      <c r="G61" s="361"/>
      <c r="H61" s="365"/>
      <c r="I61" s="365"/>
      <c r="J61" s="365"/>
      <c r="K61" s="362"/>
      <c r="L61" s="354"/>
    </row>
    <row r="62" spans="1:12" ht="20.100000000000001" customHeight="1" x14ac:dyDescent="0.25">
      <c r="A62" s="363" t="s">
        <v>37</v>
      </c>
      <c r="B62" s="354"/>
      <c r="C62" s="359"/>
      <c r="D62" s="57"/>
      <c r="E62" s="357"/>
      <c r="F62" s="188"/>
      <c r="G62" s="188"/>
      <c r="H62" s="166"/>
      <c r="I62" s="355"/>
      <c r="J62" s="356"/>
      <c r="K62" s="354"/>
      <c r="L62" s="354"/>
    </row>
    <row r="63" spans="1:12" ht="20.100000000000001" customHeight="1" x14ac:dyDescent="0.25">
      <c r="A63" s="354"/>
      <c r="B63" s="358" t="s">
        <v>30</v>
      </c>
      <c r="C63" s="42"/>
      <c r="D63" s="357">
        <v>3211.14</v>
      </c>
      <c r="E63" s="188" t="s">
        <v>476</v>
      </c>
      <c r="F63" s="188"/>
      <c r="G63" s="357"/>
      <c r="H63" s="355"/>
      <c r="I63" s="356"/>
      <c r="K63" s="354"/>
      <c r="L63" s="354"/>
    </row>
    <row r="64" spans="1:12" ht="20.100000000000001" customHeight="1" thickBot="1" x14ac:dyDescent="0.3">
      <c r="A64" s="354"/>
      <c r="B64" s="354"/>
      <c r="C64" s="359"/>
      <c r="D64" s="189">
        <f>SUM(D63:D63)</f>
        <v>3211.14</v>
      </c>
      <c r="E64" s="357"/>
      <c r="F64" s="357"/>
      <c r="G64" s="357"/>
      <c r="H64" s="355"/>
      <c r="I64" s="356"/>
      <c r="K64" s="354"/>
      <c r="L64" s="354"/>
    </row>
    <row r="65" spans="1:12" ht="20.100000000000001" customHeight="1" thickTop="1" x14ac:dyDescent="0.25">
      <c r="A65" s="354"/>
      <c r="B65" s="354"/>
      <c r="C65" s="359"/>
      <c r="D65" s="357"/>
      <c r="E65" s="357"/>
      <c r="F65" s="357"/>
      <c r="G65" s="357"/>
      <c r="H65" s="355"/>
      <c r="I65" s="356"/>
      <c r="K65" s="354"/>
      <c r="L65" s="354"/>
    </row>
    <row r="66" spans="1:12" ht="20.100000000000001" customHeight="1" x14ac:dyDescent="0.25">
      <c r="A66" s="163"/>
      <c r="B66" s="163"/>
      <c r="C66" s="164"/>
      <c r="D66" s="906" t="s">
        <v>595</v>
      </c>
      <c r="E66" s="906"/>
      <c r="F66" s="906"/>
      <c r="G66" s="165"/>
      <c r="H66" s="166"/>
      <c r="I66" s="167"/>
      <c r="J66" s="168"/>
      <c r="K66" s="163"/>
      <c r="L66" s="354"/>
    </row>
    <row r="67" spans="1:12" ht="20.100000000000001" customHeight="1" thickBot="1" x14ac:dyDescent="0.3">
      <c r="A67" s="354"/>
      <c r="B67" s="354"/>
      <c r="C67" s="359"/>
      <c r="D67" s="357"/>
      <c r="E67" s="357"/>
      <c r="F67" s="357"/>
      <c r="G67" s="357"/>
      <c r="H67" s="355"/>
      <c r="I67" s="356"/>
      <c r="K67" s="354"/>
    </row>
    <row r="68" spans="1:12" ht="50.25" thickBot="1" x14ac:dyDescent="0.3">
      <c r="A68" s="169" t="s">
        <v>587</v>
      </c>
      <c r="B68" s="170" t="s">
        <v>14</v>
      </c>
      <c r="C68" s="169" t="s">
        <v>15</v>
      </c>
      <c r="D68" s="171" t="s">
        <v>16</v>
      </c>
      <c r="E68" s="171" t="s">
        <v>17</v>
      </c>
      <c r="F68" s="171" t="s">
        <v>18</v>
      </c>
      <c r="G68" s="170" t="s">
        <v>19</v>
      </c>
      <c r="H68" s="172" t="s">
        <v>20</v>
      </c>
      <c r="I68" s="172" t="s">
        <v>21</v>
      </c>
      <c r="J68" s="172" t="s">
        <v>22</v>
      </c>
      <c r="K68" s="171" t="s">
        <v>23</v>
      </c>
    </row>
    <row r="69" spans="1:12" ht="20.100000000000001" customHeight="1" x14ac:dyDescent="0.25">
      <c r="A69" s="173" t="s">
        <v>24</v>
      </c>
      <c r="B69" s="372">
        <v>0</v>
      </c>
      <c r="C69" s="175" t="s">
        <v>596</v>
      </c>
      <c r="D69" s="372">
        <v>271575.59999999998</v>
      </c>
      <c r="E69" s="373">
        <v>7428.44</v>
      </c>
      <c r="F69" s="373">
        <v>6628.05</v>
      </c>
      <c r="G69" s="372">
        <f>B69+D69-E69-F69</f>
        <v>257519.11</v>
      </c>
      <c r="H69" s="374">
        <v>257519.11</v>
      </c>
      <c r="I69" s="178">
        <f t="shared" ref="I69:I76" si="20">H69/G69*100</f>
        <v>100</v>
      </c>
      <c r="J69" s="374">
        <f>G69-H69</f>
        <v>0</v>
      </c>
      <c r="K69" s="179">
        <f>J69/G69*100</f>
        <v>0</v>
      </c>
    </row>
    <row r="70" spans="1:12" ht="20.100000000000001" customHeight="1" x14ac:dyDescent="0.25">
      <c r="A70" s="173" t="s">
        <v>26</v>
      </c>
      <c r="B70" s="372">
        <v>0</v>
      </c>
      <c r="C70" s="175" t="s">
        <v>597</v>
      </c>
      <c r="D70" s="372">
        <v>5569804.1299999999</v>
      </c>
      <c r="E70" s="373">
        <v>0</v>
      </c>
      <c r="F70" s="373">
        <v>0</v>
      </c>
      <c r="G70" s="372">
        <f t="shared" ref="G70:G71" si="21">B70+D70-E70-F70</f>
        <v>5569804.1299999999</v>
      </c>
      <c r="H70" s="374">
        <v>5568233.2599999998</v>
      </c>
      <c r="I70" s="178">
        <f t="shared" si="20"/>
        <v>99.971796674293472</v>
      </c>
      <c r="J70" s="374">
        <f t="shared" ref="J70:J75" si="22">G70-H70</f>
        <v>1570.8700000001118</v>
      </c>
      <c r="K70" s="179">
        <f t="shared" ref="K70:K76" si="23">J70/G70*100</f>
        <v>2.8203325706538118E-2</v>
      </c>
    </row>
    <row r="71" spans="1:12" ht="20.100000000000001" customHeight="1" x14ac:dyDescent="0.25">
      <c r="A71" s="173" t="s">
        <v>28</v>
      </c>
      <c r="B71" s="372">
        <v>0</v>
      </c>
      <c r="C71" s="175" t="s">
        <v>598</v>
      </c>
      <c r="D71" s="372">
        <v>445627.3</v>
      </c>
      <c r="E71" s="373">
        <v>0</v>
      </c>
      <c r="F71" s="373">
        <v>160063.79999999999</v>
      </c>
      <c r="G71" s="372">
        <f t="shared" si="21"/>
        <v>285563.5</v>
      </c>
      <c r="H71" s="374">
        <v>285563.5</v>
      </c>
      <c r="I71" s="178">
        <f t="shared" si="20"/>
        <v>100</v>
      </c>
      <c r="J71" s="374">
        <f t="shared" si="22"/>
        <v>0</v>
      </c>
      <c r="K71" s="179">
        <f t="shared" si="23"/>
        <v>0</v>
      </c>
    </row>
    <row r="72" spans="1:12" ht="20.100000000000001" customHeight="1" x14ac:dyDescent="0.25">
      <c r="A72" s="173" t="s">
        <v>30</v>
      </c>
      <c r="B72" s="374">
        <v>3211.14</v>
      </c>
      <c r="C72" s="175" t="s">
        <v>599</v>
      </c>
      <c r="D72" s="372">
        <v>622562.81000000006</v>
      </c>
      <c r="E72" s="373">
        <v>0</v>
      </c>
      <c r="F72" s="373">
        <v>1137.52</v>
      </c>
      <c r="G72" s="372">
        <f>B72+D72-E72-F72</f>
        <v>624636.43000000005</v>
      </c>
      <c r="H72" s="374">
        <v>624636.43000000005</v>
      </c>
      <c r="I72" s="178">
        <f t="shared" si="20"/>
        <v>100</v>
      </c>
      <c r="J72" s="374">
        <f t="shared" si="22"/>
        <v>0</v>
      </c>
      <c r="K72" s="179">
        <f t="shared" si="23"/>
        <v>0</v>
      </c>
    </row>
    <row r="73" spans="1:12" ht="20.100000000000001" customHeight="1" x14ac:dyDescent="0.25">
      <c r="A73" s="173" t="s">
        <v>32</v>
      </c>
      <c r="B73" s="372">
        <v>0</v>
      </c>
      <c r="C73" s="175" t="s">
        <v>600</v>
      </c>
      <c r="D73" s="372">
        <v>539077.56999999995</v>
      </c>
      <c r="E73" s="373">
        <v>0</v>
      </c>
      <c r="F73" s="373">
        <v>0</v>
      </c>
      <c r="G73" s="372">
        <f>B73+D73-E73-F73</f>
        <v>539077.56999999995</v>
      </c>
      <c r="H73" s="374">
        <v>0</v>
      </c>
      <c r="I73" s="178">
        <f t="shared" si="20"/>
        <v>0</v>
      </c>
      <c r="J73" s="374">
        <f t="shared" si="22"/>
        <v>539077.56999999995</v>
      </c>
      <c r="K73" s="179">
        <f t="shared" si="23"/>
        <v>100</v>
      </c>
    </row>
    <row r="74" spans="1:12" ht="16.5" x14ac:dyDescent="0.25">
      <c r="A74" s="180" t="s">
        <v>34</v>
      </c>
      <c r="B74" s="181">
        <v>0</v>
      </c>
      <c r="C74" s="182" t="s">
        <v>601</v>
      </c>
      <c r="D74" s="181">
        <v>169330.45</v>
      </c>
      <c r="E74" s="386">
        <v>0</v>
      </c>
      <c r="F74" s="373">
        <v>0</v>
      </c>
      <c r="G74" s="181">
        <f t="shared" ref="G74:G75" si="24">B74+D74-E74-F74</f>
        <v>169330.45</v>
      </c>
      <c r="H74" s="184">
        <v>169330.45</v>
      </c>
      <c r="I74" s="178">
        <f t="shared" si="20"/>
        <v>100</v>
      </c>
      <c r="J74" s="374">
        <f t="shared" si="22"/>
        <v>0</v>
      </c>
      <c r="K74" s="179">
        <f t="shared" si="23"/>
        <v>0</v>
      </c>
    </row>
    <row r="75" spans="1:12" ht="16.5" x14ac:dyDescent="0.25">
      <c r="A75" s="180" t="s">
        <v>35</v>
      </c>
      <c r="B75" s="181">
        <v>0</v>
      </c>
      <c r="C75" s="182" t="s">
        <v>602</v>
      </c>
      <c r="D75" s="181">
        <v>103480.16</v>
      </c>
      <c r="E75" s="386">
        <v>0</v>
      </c>
      <c r="F75" s="373">
        <v>8365.7000000000007</v>
      </c>
      <c r="G75" s="181">
        <f t="shared" si="24"/>
        <v>95114.46</v>
      </c>
      <c r="H75" s="184">
        <v>95114.46</v>
      </c>
      <c r="I75" s="178">
        <f t="shared" si="20"/>
        <v>100</v>
      </c>
      <c r="J75" s="374">
        <f t="shared" si="22"/>
        <v>0</v>
      </c>
      <c r="K75" s="531">
        <f t="shared" si="23"/>
        <v>0</v>
      </c>
    </row>
    <row r="76" spans="1:12" ht="20.100000000000001" customHeight="1" thickBot="1" x14ac:dyDescent="0.3">
      <c r="A76" s="375" t="s">
        <v>36</v>
      </c>
      <c r="B76" s="376">
        <f>SUM(B69:B75)</f>
        <v>3211.14</v>
      </c>
      <c r="C76" s="185"/>
      <c r="D76" s="376">
        <f>SUM(D69:D75)</f>
        <v>7721458.0200000005</v>
      </c>
      <c r="E76" s="186">
        <f>SUM(E69:E75)</f>
        <v>7428.44</v>
      </c>
      <c r="F76" s="186">
        <f>SUM(F69:F75)</f>
        <v>176195.06999999998</v>
      </c>
      <c r="G76" s="376">
        <f>SUM(G69:G75)</f>
        <v>7541045.6500000004</v>
      </c>
      <c r="H76" s="187">
        <f>SUM(H69:H75)</f>
        <v>7000397.21</v>
      </c>
      <c r="I76" s="532">
        <f t="shared" si="20"/>
        <v>92.830590542838038</v>
      </c>
      <c r="J76" s="187">
        <f>G76-H76</f>
        <v>540648.44000000041</v>
      </c>
      <c r="K76" s="533">
        <f t="shared" si="23"/>
        <v>7.1694094571619571</v>
      </c>
    </row>
    <row r="77" spans="1:12" ht="20.100000000000001" customHeight="1" thickTop="1" x14ac:dyDescent="0.25">
      <c r="A77" s="360"/>
      <c r="B77" s="361"/>
      <c r="C77" s="369"/>
      <c r="D77" s="361"/>
      <c r="E77" s="362"/>
      <c r="F77" s="362"/>
      <c r="G77" s="361"/>
      <c r="H77" s="365"/>
      <c r="I77" s="365"/>
      <c r="J77" s="365"/>
      <c r="K77" s="362"/>
    </row>
    <row r="78" spans="1:12" ht="20.100000000000001" customHeight="1" x14ac:dyDescent="0.25">
      <c r="A78" s="363" t="s">
        <v>37</v>
      </c>
      <c r="B78" s="354"/>
      <c r="C78" s="359"/>
      <c r="D78" s="57"/>
      <c r="E78" s="357"/>
      <c r="F78" s="188"/>
      <c r="G78" s="188"/>
      <c r="H78" s="166"/>
      <c r="I78" s="355"/>
      <c r="J78" s="356"/>
      <c r="K78" s="354"/>
    </row>
    <row r="79" spans="1:12" s="354" customFormat="1" ht="20.100000000000001" customHeight="1" x14ac:dyDescent="0.25">
      <c r="A79" s="363"/>
      <c r="B79" s="138" t="s">
        <v>26</v>
      </c>
      <c r="C79" s="42"/>
      <c r="D79" s="357">
        <v>1570.87</v>
      </c>
      <c r="E79" s="188" t="s">
        <v>603</v>
      </c>
      <c r="F79" s="188"/>
      <c r="G79" s="357"/>
      <c r="H79" s="166"/>
      <c r="I79" s="355"/>
      <c r="J79" s="356"/>
    </row>
    <row r="80" spans="1:12" ht="20.100000000000001" customHeight="1" x14ac:dyDescent="0.25">
      <c r="A80" s="354"/>
      <c r="B80" s="138" t="s">
        <v>32</v>
      </c>
      <c r="C80" s="42"/>
      <c r="D80" s="357">
        <v>539077.56999999995</v>
      </c>
      <c r="E80" s="188" t="s">
        <v>604</v>
      </c>
      <c r="F80" s="188"/>
      <c r="G80" s="357"/>
      <c r="H80" s="355"/>
      <c r="I80" s="356"/>
      <c r="K80" s="354"/>
    </row>
    <row r="81" spans="1:11" ht="20.100000000000001" customHeight="1" thickBot="1" x14ac:dyDescent="0.3">
      <c r="A81" s="354"/>
      <c r="B81" s="354"/>
      <c r="C81" s="359"/>
      <c r="D81" s="189">
        <f>SUM(D79:D80)</f>
        <v>540648.43999999994</v>
      </c>
      <c r="E81" s="357"/>
      <c r="F81" s="357"/>
      <c r="G81" s="357"/>
      <c r="H81" s="355"/>
      <c r="I81" s="356"/>
      <c r="K81" s="354"/>
    </row>
    <row r="82" spans="1:11" ht="20.100000000000001" customHeight="1" thickTop="1" x14ac:dyDescent="0.25">
      <c r="A82" s="354"/>
      <c r="B82" s="354"/>
      <c r="C82" s="359"/>
      <c r="D82" s="357"/>
      <c r="E82" s="357"/>
      <c r="F82" s="357"/>
      <c r="G82" s="357"/>
      <c r="H82" s="355"/>
      <c r="I82" s="356"/>
      <c r="K82" s="354"/>
    </row>
    <row r="83" spans="1:11" ht="20.100000000000001" customHeight="1" x14ac:dyDescent="0.25">
      <c r="A83" s="163"/>
      <c r="B83" s="163"/>
      <c r="C83" s="164"/>
      <c r="D83" s="906" t="s">
        <v>695</v>
      </c>
      <c r="E83" s="906"/>
      <c r="F83" s="906"/>
      <c r="G83" s="165"/>
      <c r="H83" s="166"/>
      <c r="I83" s="167"/>
      <c r="J83" s="168"/>
      <c r="K83" s="163"/>
    </row>
    <row r="84" spans="1:11" ht="20.100000000000001" customHeight="1" thickBot="1" x14ac:dyDescent="0.3">
      <c r="A84" s="354"/>
      <c r="B84" s="354"/>
      <c r="C84" s="359"/>
      <c r="D84" s="357"/>
      <c r="E84" s="357"/>
      <c r="F84" s="357"/>
      <c r="G84" s="357"/>
      <c r="H84" s="355"/>
      <c r="I84" s="356"/>
      <c r="K84" s="354"/>
    </row>
    <row r="85" spans="1:11" ht="50.25" thickBot="1" x14ac:dyDescent="0.3">
      <c r="A85" s="169" t="s">
        <v>696</v>
      </c>
      <c r="B85" s="170" t="s">
        <v>14</v>
      </c>
      <c r="C85" s="169" t="s">
        <v>15</v>
      </c>
      <c r="D85" s="171" t="s">
        <v>16</v>
      </c>
      <c r="E85" s="171" t="s">
        <v>17</v>
      </c>
      <c r="F85" s="171" t="s">
        <v>18</v>
      </c>
      <c r="G85" s="170" t="s">
        <v>19</v>
      </c>
      <c r="H85" s="172" t="s">
        <v>20</v>
      </c>
      <c r="I85" s="172" t="s">
        <v>21</v>
      </c>
      <c r="J85" s="172" t="s">
        <v>22</v>
      </c>
      <c r="K85" s="171" t="s">
        <v>23</v>
      </c>
    </row>
    <row r="86" spans="1:11" ht="20.100000000000001" customHeight="1" x14ac:dyDescent="0.25">
      <c r="A86" s="173" t="s">
        <v>24</v>
      </c>
      <c r="B86" s="372">
        <v>0</v>
      </c>
      <c r="C86" s="175" t="s">
        <v>697</v>
      </c>
      <c r="D86" s="372">
        <v>87702.73</v>
      </c>
      <c r="E86" s="373">
        <v>2381.94</v>
      </c>
      <c r="F86" s="373">
        <v>932.47</v>
      </c>
      <c r="G86" s="372">
        <f>B86+D86-E86-F86</f>
        <v>84388.319999999992</v>
      </c>
      <c r="H86" s="374">
        <v>82573.78</v>
      </c>
      <c r="I86" s="178">
        <f t="shared" ref="I86:I93" si="25">H86/G86*100</f>
        <v>97.84977352316055</v>
      </c>
      <c r="J86" s="374">
        <f>G86-H86</f>
        <v>1814.5399999999936</v>
      </c>
      <c r="K86" s="179">
        <f>J86/G86*100</f>
        <v>2.1502264768394412</v>
      </c>
    </row>
    <row r="87" spans="1:11" ht="20.100000000000001" customHeight="1" x14ac:dyDescent="0.25">
      <c r="A87" s="173" t="s">
        <v>26</v>
      </c>
      <c r="B87" s="372">
        <v>0</v>
      </c>
      <c r="C87" s="175" t="s">
        <v>698</v>
      </c>
      <c r="D87" s="372">
        <v>867068.49</v>
      </c>
      <c r="E87" s="373">
        <v>0</v>
      </c>
      <c r="F87" s="373">
        <v>0</v>
      </c>
      <c r="G87" s="372">
        <f t="shared" ref="G87:G88" si="26">B87+D87-E87-F87</f>
        <v>867068.49</v>
      </c>
      <c r="H87" s="374">
        <v>867068.49</v>
      </c>
      <c r="I87" s="178">
        <f t="shared" si="25"/>
        <v>100</v>
      </c>
      <c r="J87" s="374">
        <f t="shared" ref="J87:J92" si="27">G87-H87</f>
        <v>0</v>
      </c>
      <c r="K87" s="179">
        <f t="shared" ref="K87:K93" si="28">J87/G87*100</f>
        <v>0</v>
      </c>
    </row>
    <row r="88" spans="1:11" ht="20.100000000000001" customHeight="1" x14ac:dyDescent="0.25">
      <c r="A88" s="173" t="s">
        <v>28</v>
      </c>
      <c r="B88" s="372">
        <v>0</v>
      </c>
      <c r="C88" s="175" t="s">
        <v>699</v>
      </c>
      <c r="D88" s="372">
        <v>406064.38</v>
      </c>
      <c r="E88" s="373">
        <v>0</v>
      </c>
      <c r="F88" s="373">
        <v>126.63</v>
      </c>
      <c r="G88" s="372">
        <f t="shared" si="26"/>
        <v>405937.75</v>
      </c>
      <c r="H88" s="374">
        <v>405937.75</v>
      </c>
      <c r="I88" s="178">
        <f t="shared" si="25"/>
        <v>100</v>
      </c>
      <c r="J88" s="374">
        <f t="shared" si="27"/>
        <v>0</v>
      </c>
      <c r="K88" s="179">
        <f t="shared" si="28"/>
        <v>0</v>
      </c>
    </row>
    <row r="89" spans="1:11" ht="20.100000000000001" customHeight="1" x14ac:dyDescent="0.25">
      <c r="A89" s="173" t="s">
        <v>30</v>
      </c>
      <c r="B89" s="372">
        <v>0</v>
      </c>
      <c r="C89" s="175" t="s">
        <v>700</v>
      </c>
      <c r="D89" s="372">
        <v>2412132.83</v>
      </c>
      <c r="E89" s="373">
        <v>0</v>
      </c>
      <c r="F89" s="373">
        <v>1109.98</v>
      </c>
      <c r="G89" s="372">
        <f>B89+D89-E89-F89</f>
        <v>2411022.85</v>
      </c>
      <c r="H89" s="374">
        <v>2409366.88</v>
      </c>
      <c r="I89" s="178">
        <f t="shared" si="25"/>
        <v>99.931316702369685</v>
      </c>
      <c r="J89" s="374">
        <f t="shared" si="27"/>
        <v>1655.9700000002049</v>
      </c>
      <c r="K89" s="179">
        <f t="shared" si="28"/>
        <v>6.8683297630306769E-2</v>
      </c>
    </row>
    <row r="90" spans="1:11" ht="20.100000000000001" customHeight="1" x14ac:dyDescent="0.25">
      <c r="A90" s="173" t="s">
        <v>32</v>
      </c>
      <c r="B90" s="372">
        <v>539077.56999999995</v>
      </c>
      <c r="C90" s="175" t="s">
        <v>701</v>
      </c>
      <c r="D90" s="372">
        <v>246227.61</v>
      </c>
      <c r="E90" s="373">
        <v>0</v>
      </c>
      <c r="F90" s="373">
        <v>0</v>
      </c>
      <c r="G90" s="372">
        <f>B90+D90-E90-F90</f>
        <v>785305.17999999993</v>
      </c>
      <c r="H90" s="374">
        <v>0</v>
      </c>
      <c r="I90" s="178">
        <f t="shared" si="25"/>
        <v>0</v>
      </c>
      <c r="J90" s="374">
        <f t="shared" si="27"/>
        <v>785305.17999999993</v>
      </c>
      <c r="K90" s="179">
        <f t="shared" si="28"/>
        <v>100</v>
      </c>
    </row>
    <row r="91" spans="1:11" ht="20.100000000000001" customHeight="1" x14ac:dyDescent="0.25">
      <c r="A91" s="180" t="s">
        <v>34</v>
      </c>
      <c r="B91" s="181">
        <v>0</v>
      </c>
      <c r="C91" s="182" t="s">
        <v>702</v>
      </c>
      <c r="D91" s="181">
        <v>80749.45</v>
      </c>
      <c r="E91" s="386">
        <v>0</v>
      </c>
      <c r="F91" s="373">
        <v>0</v>
      </c>
      <c r="G91" s="181">
        <f t="shared" ref="G91:G92" si="29">B91+D91-E91-F91</f>
        <v>80749.45</v>
      </c>
      <c r="H91" s="184">
        <v>80749.45</v>
      </c>
      <c r="I91" s="178">
        <f t="shared" si="25"/>
        <v>100</v>
      </c>
      <c r="J91" s="374">
        <f t="shared" si="27"/>
        <v>0</v>
      </c>
      <c r="K91" s="179">
        <f t="shared" si="28"/>
        <v>0</v>
      </c>
    </row>
    <row r="92" spans="1:11" ht="20.100000000000001" customHeight="1" x14ac:dyDescent="0.25">
      <c r="A92" s="180" t="s">
        <v>35</v>
      </c>
      <c r="B92" s="181">
        <v>0</v>
      </c>
      <c r="C92" s="182" t="s">
        <v>703</v>
      </c>
      <c r="D92" s="181">
        <v>68986.679999999993</v>
      </c>
      <c r="E92" s="386">
        <v>0</v>
      </c>
      <c r="F92" s="373">
        <v>0</v>
      </c>
      <c r="G92" s="181">
        <f t="shared" si="29"/>
        <v>68986.679999999993</v>
      </c>
      <c r="H92" s="184">
        <v>68986.78</v>
      </c>
      <c r="I92" s="178">
        <f t="shared" si="25"/>
        <v>100.00014495551896</v>
      </c>
      <c r="J92" s="374">
        <f t="shared" si="27"/>
        <v>-0.10000000000582077</v>
      </c>
      <c r="K92" s="531">
        <f t="shared" si="28"/>
        <v>-1.4495551895789272E-4</v>
      </c>
    </row>
    <row r="93" spans="1:11" s="621" customFormat="1" ht="20.100000000000001" customHeight="1" thickBot="1" x14ac:dyDescent="0.3">
      <c r="A93" s="637" t="s">
        <v>36</v>
      </c>
      <c r="B93" s="638">
        <f>SUM(B86:B92)</f>
        <v>539077.56999999995</v>
      </c>
      <c r="C93" s="185"/>
      <c r="D93" s="638">
        <f>SUM(D86:D92)</f>
        <v>4168932.1700000004</v>
      </c>
      <c r="E93" s="639">
        <f>SUM(E86:E92)</f>
        <v>2381.94</v>
      </c>
      <c r="F93" s="639">
        <f>SUM(F86:F92)</f>
        <v>2169.08</v>
      </c>
      <c r="G93" s="638">
        <f>SUM(G86:G92)</f>
        <v>4703458.72</v>
      </c>
      <c r="H93" s="640">
        <f>SUM(H86:H92)</f>
        <v>3914683.13</v>
      </c>
      <c r="I93" s="532">
        <f t="shared" si="25"/>
        <v>83.229881732649716</v>
      </c>
      <c r="J93" s="640">
        <f>G93-H93</f>
        <v>788775.58999999985</v>
      </c>
      <c r="K93" s="533">
        <f t="shared" si="28"/>
        <v>16.770118267350284</v>
      </c>
    </row>
    <row r="94" spans="1:11" ht="51" customHeight="1" thickTop="1" x14ac:dyDescent="0.25">
      <c r="A94" s="360"/>
      <c r="B94" s="361"/>
      <c r="C94" s="369"/>
      <c r="D94" s="361"/>
      <c r="E94" s="362"/>
      <c r="F94" s="362"/>
      <c r="G94" s="361"/>
      <c r="H94" s="365"/>
      <c r="I94" s="365"/>
      <c r="J94" s="365"/>
      <c r="K94" s="362"/>
    </row>
    <row r="95" spans="1:11" ht="16.5" x14ac:dyDescent="0.25">
      <c r="A95" s="363" t="s">
        <v>37</v>
      </c>
      <c r="B95" s="354"/>
      <c r="C95" s="359"/>
      <c r="D95" s="57"/>
      <c r="E95" s="357"/>
      <c r="F95" s="188"/>
      <c r="G95" s="188"/>
      <c r="H95" s="166"/>
      <c r="I95" s="355"/>
      <c r="J95" s="356"/>
      <c r="K95" s="354"/>
    </row>
    <row r="96" spans="1:11" ht="20.100000000000001" customHeight="1" x14ac:dyDescent="0.25">
      <c r="A96" s="354"/>
      <c r="B96" s="138" t="s">
        <v>24</v>
      </c>
      <c r="C96" s="42"/>
      <c r="D96" s="357">
        <v>1814.54</v>
      </c>
      <c r="E96" s="188" t="s">
        <v>704</v>
      </c>
      <c r="F96" s="188"/>
      <c r="G96" s="357"/>
      <c r="H96" s="355"/>
      <c r="I96" s="356"/>
      <c r="K96" s="354"/>
    </row>
    <row r="97" spans="1:12" ht="20.100000000000001" customHeight="1" x14ac:dyDescent="0.25">
      <c r="A97" s="354"/>
      <c r="B97" s="138" t="s">
        <v>30</v>
      </c>
      <c r="C97" s="42"/>
      <c r="D97" s="357">
        <v>1655.97</v>
      </c>
      <c r="E97" s="188" t="s">
        <v>704</v>
      </c>
      <c r="F97" s="188"/>
      <c r="G97" s="357"/>
      <c r="H97" s="355"/>
      <c r="I97" s="356"/>
      <c r="K97" s="354"/>
    </row>
    <row r="98" spans="1:12" ht="20.100000000000001" customHeight="1" x14ac:dyDescent="0.25">
      <c r="A98" s="354"/>
      <c r="B98" s="138" t="s">
        <v>32</v>
      </c>
      <c r="C98" s="42"/>
      <c r="D98" s="357">
        <v>785305.18</v>
      </c>
      <c r="E98" s="188" t="s">
        <v>604</v>
      </c>
      <c r="F98" s="188"/>
      <c r="G98" s="357"/>
      <c r="H98" s="355"/>
      <c r="I98" s="356"/>
      <c r="K98" s="354"/>
    </row>
    <row r="99" spans="1:12" ht="20.100000000000001" customHeight="1" thickBot="1" x14ac:dyDescent="0.3">
      <c r="A99" s="354"/>
      <c r="B99" s="354"/>
      <c r="C99" s="359"/>
      <c r="D99" s="189">
        <f>SUM(D96:D98)</f>
        <v>788775.69000000006</v>
      </c>
      <c r="E99" s="357"/>
      <c r="F99" s="357"/>
      <c r="G99" s="357"/>
      <c r="H99" s="355"/>
      <c r="I99" s="356"/>
      <c r="K99" s="354"/>
    </row>
    <row r="100" spans="1:12" s="621" customFormat="1" ht="20.100000000000001" customHeight="1" thickTop="1" x14ac:dyDescent="0.25">
      <c r="C100" s="359"/>
      <c r="D100" s="643"/>
      <c r="E100" s="622"/>
      <c r="F100" s="622"/>
      <c r="G100" s="622"/>
      <c r="H100" s="627"/>
      <c r="I100" s="628"/>
      <c r="J100" s="629"/>
    </row>
    <row r="101" spans="1:12" ht="20.100000000000001" customHeight="1" x14ac:dyDescent="0.25">
      <c r="A101" s="354"/>
      <c r="B101" s="354"/>
      <c r="C101" s="359"/>
      <c r="D101" s="357"/>
      <c r="E101" s="357"/>
      <c r="F101" s="357"/>
      <c r="G101" s="357"/>
      <c r="H101" s="355"/>
      <c r="I101" s="356"/>
      <c r="K101" s="354"/>
    </row>
    <row r="102" spans="1:12" ht="20.100000000000001" customHeight="1" x14ac:dyDescent="0.25">
      <c r="A102" s="616"/>
      <c r="B102" s="616"/>
      <c r="C102" s="164"/>
      <c r="D102" s="906" t="s">
        <v>810</v>
      </c>
      <c r="E102" s="906"/>
      <c r="F102" s="906"/>
      <c r="G102" s="617"/>
      <c r="H102" s="623"/>
      <c r="I102" s="624"/>
      <c r="J102" s="625"/>
      <c r="K102" s="616"/>
      <c r="L102" s="621"/>
    </row>
    <row r="103" spans="1:12" ht="20.100000000000001" customHeight="1" thickBot="1" x14ac:dyDescent="0.3">
      <c r="A103" s="621"/>
      <c r="B103" s="621"/>
      <c r="C103" s="359"/>
      <c r="D103" s="622"/>
      <c r="E103" s="622"/>
      <c r="F103" s="622"/>
      <c r="G103" s="622"/>
      <c r="H103" s="627"/>
      <c r="I103" s="628"/>
      <c r="J103" s="629"/>
      <c r="K103" s="621"/>
      <c r="L103" s="621"/>
    </row>
    <row r="104" spans="1:12" ht="50.25" thickBot="1" x14ac:dyDescent="0.3">
      <c r="A104" s="619" t="s">
        <v>800</v>
      </c>
      <c r="B104" s="620" t="s">
        <v>14</v>
      </c>
      <c r="C104" s="619" t="s">
        <v>15</v>
      </c>
      <c r="D104" s="618" t="s">
        <v>16</v>
      </c>
      <c r="E104" s="618" t="s">
        <v>17</v>
      </c>
      <c r="F104" s="618" t="s">
        <v>18</v>
      </c>
      <c r="G104" s="620" t="s">
        <v>19</v>
      </c>
      <c r="H104" s="626" t="s">
        <v>20</v>
      </c>
      <c r="I104" s="626" t="s">
        <v>21</v>
      </c>
      <c r="J104" s="626" t="s">
        <v>22</v>
      </c>
      <c r="K104" s="618" t="s">
        <v>23</v>
      </c>
      <c r="L104" s="621"/>
    </row>
    <row r="105" spans="1:12" ht="20.100000000000001" customHeight="1" x14ac:dyDescent="0.25">
      <c r="A105" s="173" t="s">
        <v>24</v>
      </c>
      <c r="B105" s="631">
        <v>1814.54</v>
      </c>
      <c r="C105" s="175" t="s">
        <v>811</v>
      </c>
      <c r="D105" s="631">
        <v>109477.24</v>
      </c>
      <c r="E105" s="632">
        <v>3068.04</v>
      </c>
      <c r="F105" s="632">
        <v>1864.95</v>
      </c>
      <c r="G105" s="631">
        <f>B105+D105-E105-F105</f>
        <v>106358.79000000001</v>
      </c>
      <c r="H105" s="633">
        <v>106358.79</v>
      </c>
      <c r="I105" s="178">
        <f t="shared" ref="I105:I112" si="30">H105/G105*100</f>
        <v>99.999999999999986</v>
      </c>
      <c r="J105" s="633">
        <f>G105-H105</f>
        <v>0</v>
      </c>
      <c r="K105" s="179">
        <f>J105/G105*100</f>
        <v>0</v>
      </c>
      <c r="L105" s="621"/>
    </row>
    <row r="106" spans="1:12" ht="20.100000000000001" customHeight="1" x14ac:dyDescent="0.25">
      <c r="A106" s="173" t="s">
        <v>26</v>
      </c>
      <c r="B106" s="631">
        <v>0</v>
      </c>
      <c r="C106" s="175" t="s">
        <v>812</v>
      </c>
      <c r="D106" s="631">
        <v>157120.22</v>
      </c>
      <c r="E106" s="632">
        <v>0</v>
      </c>
      <c r="F106" s="632">
        <v>0</v>
      </c>
      <c r="G106" s="631">
        <f t="shared" ref="G106:G107" si="31">B106+D106-E106-F106</f>
        <v>157120.22</v>
      </c>
      <c r="H106" s="633">
        <v>157120.22</v>
      </c>
      <c r="I106" s="178">
        <f t="shared" si="30"/>
        <v>100</v>
      </c>
      <c r="J106" s="633">
        <f t="shared" ref="J106:J111" si="32">G106-H106</f>
        <v>0</v>
      </c>
      <c r="K106" s="179">
        <f t="shared" ref="K106:K112" si="33">J106/G106*100</f>
        <v>0</v>
      </c>
      <c r="L106" s="621"/>
    </row>
    <row r="107" spans="1:12" ht="20.100000000000001" customHeight="1" x14ac:dyDescent="0.25">
      <c r="A107" s="173" t="s">
        <v>28</v>
      </c>
      <c r="B107" s="631">
        <v>0</v>
      </c>
      <c r="C107" s="175" t="s">
        <v>813</v>
      </c>
      <c r="D107" s="631">
        <v>379048.65</v>
      </c>
      <c r="E107" s="632">
        <v>0</v>
      </c>
      <c r="F107" s="632">
        <v>8495.64</v>
      </c>
      <c r="G107" s="631">
        <f t="shared" si="31"/>
        <v>370553.01</v>
      </c>
      <c r="H107" s="633">
        <v>370553.01</v>
      </c>
      <c r="I107" s="178">
        <f t="shared" si="30"/>
        <v>100</v>
      </c>
      <c r="J107" s="633">
        <f t="shared" si="32"/>
        <v>0</v>
      </c>
      <c r="K107" s="179">
        <f t="shared" si="33"/>
        <v>0</v>
      </c>
      <c r="L107" s="621"/>
    </row>
    <row r="108" spans="1:12" ht="20.100000000000001" customHeight="1" x14ac:dyDescent="0.25">
      <c r="A108" s="173" t="s">
        <v>30</v>
      </c>
      <c r="B108" s="631">
        <v>1655.97</v>
      </c>
      <c r="C108" s="175" t="s">
        <v>814</v>
      </c>
      <c r="D108" s="631">
        <v>493533.64</v>
      </c>
      <c r="E108" s="632">
        <v>0</v>
      </c>
      <c r="F108" s="632">
        <v>0</v>
      </c>
      <c r="G108" s="631">
        <f>B108+D108-E108-F108</f>
        <v>495189.61</v>
      </c>
      <c r="H108" s="633">
        <v>495189.61</v>
      </c>
      <c r="I108" s="178">
        <f t="shared" si="30"/>
        <v>100</v>
      </c>
      <c r="J108" s="633">
        <f t="shared" si="32"/>
        <v>0</v>
      </c>
      <c r="K108" s="179">
        <f t="shared" si="33"/>
        <v>0</v>
      </c>
      <c r="L108" s="621"/>
    </row>
    <row r="109" spans="1:12" ht="20.100000000000001" customHeight="1" x14ac:dyDescent="0.25">
      <c r="A109" s="173" t="s">
        <v>32</v>
      </c>
      <c r="B109" s="631">
        <v>785305.18</v>
      </c>
      <c r="C109" s="175" t="s">
        <v>815</v>
      </c>
      <c r="D109" s="631">
        <v>7494.08</v>
      </c>
      <c r="E109" s="632">
        <v>0</v>
      </c>
      <c r="F109" s="632">
        <v>788800.31</v>
      </c>
      <c r="G109" s="631">
        <f>B109+D109-E109-F109</f>
        <v>3998.9499999999534</v>
      </c>
      <c r="H109" s="633">
        <v>3998.95</v>
      </c>
      <c r="I109" s="178">
        <f t="shared" si="30"/>
        <v>100.00000000000115</v>
      </c>
      <c r="J109" s="633">
        <f t="shared" si="32"/>
        <v>-4.638422979041934E-11</v>
      </c>
      <c r="K109" s="179">
        <f t="shared" si="33"/>
        <v>-1.1599102211935602E-12</v>
      </c>
      <c r="L109" s="621"/>
    </row>
    <row r="110" spans="1:12" ht="20.100000000000001" customHeight="1" x14ac:dyDescent="0.25">
      <c r="A110" s="180" t="s">
        <v>34</v>
      </c>
      <c r="B110" s="181">
        <v>0</v>
      </c>
      <c r="C110" s="182" t="s">
        <v>816</v>
      </c>
      <c r="D110" s="181">
        <v>87367.3</v>
      </c>
      <c r="E110" s="386">
        <v>0</v>
      </c>
      <c r="F110" s="632">
        <v>0</v>
      </c>
      <c r="G110" s="181">
        <f t="shared" ref="G110:G111" si="34">B110+D110-E110-F110</f>
        <v>87367.3</v>
      </c>
      <c r="H110" s="184">
        <v>87367.3</v>
      </c>
      <c r="I110" s="178">
        <f t="shared" si="30"/>
        <v>100</v>
      </c>
      <c r="J110" s="633">
        <f t="shared" si="32"/>
        <v>0</v>
      </c>
      <c r="K110" s="179">
        <f t="shared" si="33"/>
        <v>0</v>
      </c>
      <c r="L110" s="621"/>
    </row>
    <row r="111" spans="1:12" ht="20.100000000000001" customHeight="1" x14ac:dyDescent="0.25">
      <c r="A111" s="180" t="s">
        <v>35</v>
      </c>
      <c r="B111" s="181">
        <v>0</v>
      </c>
      <c r="C111" s="182" t="s">
        <v>817</v>
      </c>
      <c r="D111" s="181">
        <v>48290.74</v>
      </c>
      <c r="E111" s="386">
        <v>0</v>
      </c>
      <c r="F111" s="632">
        <v>1149.77</v>
      </c>
      <c r="G111" s="181">
        <f t="shared" si="34"/>
        <v>47140.97</v>
      </c>
      <c r="H111" s="184">
        <f>B111+D111-E111-F111</f>
        <v>47140.97</v>
      </c>
      <c r="I111" s="178">
        <f t="shared" si="30"/>
        <v>100</v>
      </c>
      <c r="J111" s="633">
        <f t="shared" si="32"/>
        <v>0</v>
      </c>
      <c r="K111" s="531">
        <f t="shared" si="33"/>
        <v>0</v>
      </c>
      <c r="L111" s="621"/>
    </row>
    <row r="112" spans="1:12" ht="20.100000000000001" customHeight="1" thickBot="1" x14ac:dyDescent="0.3">
      <c r="A112" s="637" t="s">
        <v>36</v>
      </c>
      <c r="B112" s="638">
        <f>SUM(B105:B111)</f>
        <v>788775.69000000006</v>
      </c>
      <c r="C112" s="185"/>
      <c r="D112" s="638">
        <f>SUM(D105:D111)</f>
        <v>1282331.8700000001</v>
      </c>
      <c r="E112" s="639">
        <f>SUM(E105:E111)</f>
        <v>3068.04</v>
      </c>
      <c r="F112" s="639">
        <f>SUM(F105:F111)</f>
        <v>800310.67</v>
      </c>
      <c r="G112" s="638">
        <f>SUM(G105:G111)</f>
        <v>1267728.8499999999</v>
      </c>
      <c r="H112" s="640">
        <f>SUM(H105:H111)</f>
        <v>1267728.8499999999</v>
      </c>
      <c r="I112" s="532">
        <f t="shared" si="30"/>
        <v>100</v>
      </c>
      <c r="J112" s="640">
        <f>G112-H112</f>
        <v>0</v>
      </c>
      <c r="K112" s="533">
        <f t="shared" si="33"/>
        <v>0</v>
      </c>
      <c r="L112" s="621"/>
    </row>
    <row r="113" spans="1:12" ht="17.25" thickTop="1" x14ac:dyDescent="0.25">
      <c r="A113" s="360"/>
      <c r="B113" s="361"/>
      <c r="C113" s="369"/>
      <c r="D113" s="361"/>
      <c r="E113" s="362"/>
      <c r="F113" s="362"/>
      <c r="G113" s="361"/>
      <c r="H113" s="365"/>
      <c r="I113" s="365"/>
      <c r="J113" s="365"/>
      <c r="K113" s="362"/>
      <c r="L113" s="621"/>
    </row>
    <row r="114" spans="1:12" ht="20.100000000000001" customHeight="1" x14ac:dyDescent="0.25">
      <c r="A114" s="641" t="s">
        <v>37</v>
      </c>
      <c r="B114" s="621"/>
      <c r="C114" s="359"/>
      <c r="D114" s="57"/>
      <c r="E114" s="622"/>
      <c r="F114" s="188"/>
      <c r="G114" s="188"/>
      <c r="H114" s="623"/>
      <c r="I114" s="627"/>
      <c r="J114" s="628"/>
      <c r="K114" s="621"/>
      <c r="L114" s="621"/>
    </row>
    <row r="115" spans="1:12" ht="20.100000000000001" customHeight="1" x14ac:dyDescent="0.25">
      <c r="A115" s="616"/>
      <c r="B115" s="616"/>
      <c r="C115" s="164"/>
      <c r="D115" s="906" t="s">
        <v>943</v>
      </c>
      <c r="E115" s="906"/>
      <c r="F115" s="906"/>
      <c r="G115" s="617"/>
      <c r="H115" s="623"/>
      <c r="I115" s="624"/>
      <c r="J115" s="625"/>
      <c r="K115" s="616"/>
      <c r="L115" s="621"/>
    </row>
    <row r="116" spans="1:12" ht="17.25" thickBot="1" x14ac:dyDescent="0.3">
      <c r="A116" s="621"/>
      <c r="B116" s="621"/>
      <c r="C116" s="359"/>
      <c r="D116" s="622"/>
      <c r="E116" s="622"/>
      <c r="F116" s="622"/>
      <c r="G116" s="622"/>
      <c r="H116" s="627"/>
      <c r="I116" s="628"/>
      <c r="J116" s="629"/>
      <c r="K116" s="621"/>
      <c r="L116" s="621"/>
    </row>
    <row r="117" spans="1:12" ht="50.25" thickBot="1" x14ac:dyDescent="0.3">
      <c r="A117" s="619" t="s">
        <v>944</v>
      </c>
      <c r="B117" s="620" t="s">
        <v>14</v>
      </c>
      <c r="C117" s="619" t="s">
        <v>15</v>
      </c>
      <c r="D117" s="618" t="s">
        <v>16</v>
      </c>
      <c r="E117" s="618" t="s">
        <v>17</v>
      </c>
      <c r="F117" s="618" t="s">
        <v>18</v>
      </c>
      <c r="G117" s="620" t="s">
        <v>19</v>
      </c>
      <c r="H117" s="626" t="s">
        <v>20</v>
      </c>
      <c r="I117" s="626" t="s">
        <v>21</v>
      </c>
      <c r="J117" s="626" t="s">
        <v>22</v>
      </c>
      <c r="K117" s="618" t="s">
        <v>23</v>
      </c>
      <c r="L117" s="621"/>
    </row>
    <row r="118" spans="1:12" ht="20.100000000000001" customHeight="1" x14ac:dyDescent="0.25">
      <c r="A118" s="173" t="s">
        <v>24</v>
      </c>
      <c r="B118" s="631">
        <v>0</v>
      </c>
      <c r="C118" s="175" t="s">
        <v>945</v>
      </c>
      <c r="D118" s="631">
        <v>26008.34</v>
      </c>
      <c r="E118" s="632">
        <v>729.21</v>
      </c>
      <c r="F118" s="632">
        <v>0</v>
      </c>
      <c r="G118" s="631">
        <f>B118+D118-E118-F118</f>
        <v>25279.13</v>
      </c>
      <c r="H118" s="633">
        <v>25279.13</v>
      </c>
      <c r="I118" s="178">
        <f t="shared" ref="I118:I125" si="35">H118/G118*100</f>
        <v>100</v>
      </c>
      <c r="J118" s="633">
        <f>G118-H118</f>
        <v>0</v>
      </c>
      <c r="K118" s="179">
        <f>J118/G118*100</f>
        <v>0</v>
      </c>
    </row>
    <row r="119" spans="1:12" ht="20.100000000000001" customHeight="1" x14ac:dyDescent="0.25">
      <c r="A119" s="173" t="s">
        <v>26</v>
      </c>
      <c r="B119" s="631">
        <v>0</v>
      </c>
      <c r="C119" s="175" t="s">
        <v>946</v>
      </c>
      <c r="D119" s="631">
        <v>344360.75</v>
      </c>
      <c r="E119" s="632">
        <v>0</v>
      </c>
      <c r="F119" s="632">
        <v>0</v>
      </c>
      <c r="G119" s="631">
        <f t="shared" ref="G119:G120" si="36">B119+D119-E119-F119</f>
        <v>344360.75</v>
      </c>
      <c r="H119" s="633">
        <v>344360.75</v>
      </c>
      <c r="I119" s="178">
        <f t="shared" si="35"/>
        <v>100</v>
      </c>
      <c r="J119" s="633">
        <f t="shared" ref="J119:J124" si="37">G119-H119</f>
        <v>0</v>
      </c>
      <c r="K119" s="179">
        <f t="shared" ref="K119:K125" si="38">J119/G119*100</f>
        <v>0</v>
      </c>
    </row>
    <row r="120" spans="1:12" ht="20.100000000000001" customHeight="1" x14ac:dyDescent="0.25">
      <c r="A120" s="173" t="s">
        <v>28</v>
      </c>
      <c r="B120" s="631">
        <v>0</v>
      </c>
      <c r="C120" s="175" t="s">
        <v>947</v>
      </c>
      <c r="D120" s="631">
        <v>135876.22</v>
      </c>
      <c r="E120" s="632">
        <v>0</v>
      </c>
      <c r="F120" s="632">
        <v>5092.01</v>
      </c>
      <c r="G120" s="631">
        <f t="shared" si="36"/>
        <v>130784.21</v>
      </c>
      <c r="H120" s="633">
        <v>130784.21</v>
      </c>
      <c r="I120" s="178">
        <f t="shared" si="35"/>
        <v>100</v>
      </c>
      <c r="J120" s="633">
        <f t="shared" si="37"/>
        <v>0</v>
      </c>
      <c r="K120" s="179">
        <f t="shared" si="38"/>
        <v>0</v>
      </c>
    </row>
    <row r="121" spans="1:12" ht="20.100000000000001" customHeight="1" x14ac:dyDescent="0.25">
      <c r="A121" s="173" t="s">
        <v>30</v>
      </c>
      <c r="B121" s="631">
        <v>0</v>
      </c>
      <c r="C121" s="175" t="s">
        <v>948</v>
      </c>
      <c r="D121" s="631">
        <v>335296.81</v>
      </c>
      <c r="E121" s="632">
        <v>0</v>
      </c>
      <c r="F121" s="632">
        <v>0</v>
      </c>
      <c r="G121" s="631">
        <f>B121+D121-E121-F121</f>
        <v>335296.81</v>
      </c>
      <c r="H121" s="633">
        <v>327017</v>
      </c>
      <c r="I121" s="178">
        <f t="shared" si="35"/>
        <v>97.530602811282336</v>
      </c>
      <c r="J121" s="633">
        <f t="shared" si="37"/>
        <v>8279.8099999999977</v>
      </c>
      <c r="K121" s="179">
        <f t="shared" si="38"/>
        <v>2.4693971887176613</v>
      </c>
    </row>
    <row r="122" spans="1:12" ht="20.100000000000001" customHeight="1" x14ac:dyDescent="0.25">
      <c r="A122" s="173" t="s">
        <v>32</v>
      </c>
      <c r="B122" s="631">
        <v>0</v>
      </c>
      <c r="C122" s="175" t="s">
        <v>949</v>
      </c>
      <c r="D122" s="631">
        <v>387250.44</v>
      </c>
      <c r="E122" s="632">
        <v>0</v>
      </c>
      <c r="F122" s="632">
        <v>59064</v>
      </c>
      <c r="G122" s="631">
        <f>B122+D122-E122-F122</f>
        <v>328186.44</v>
      </c>
      <c r="H122" s="633">
        <v>328186.44</v>
      </c>
      <c r="I122" s="178">
        <f t="shared" si="35"/>
        <v>100</v>
      </c>
      <c r="J122" s="633">
        <f t="shared" si="37"/>
        <v>0</v>
      </c>
      <c r="K122" s="179">
        <f t="shared" si="38"/>
        <v>0</v>
      </c>
    </row>
    <row r="123" spans="1:12" ht="20.100000000000001" customHeight="1" x14ac:dyDescent="0.25">
      <c r="A123" s="180" t="s">
        <v>34</v>
      </c>
      <c r="B123" s="181">
        <v>0</v>
      </c>
      <c r="C123" s="182" t="s">
        <v>950</v>
      </c>
      <c r="D123" s="181">
        <v>56689.62</v>
      </c>
      <c r="E123" s="386">
        <v>0</v>
      </c>
      <c r="F123" s="632">
        <v>0</v>
      </c>
      <c r="G123" s="181">
        <f t="shared" ref="G123:G124" si="39">B123+D123-E123-F123</f>
        <v>56689.62</v>
      </c>
      <c r="H123" s="184">
        <v>56689.62</v>
      </c>
      <c r="I123" s="178">
        <f t="shared" si="35"/>
        <v>100</v>
      </c>
      <c r="J123" s="633">
        <f t="shared" si="37"/>
        <v>0</v>
      </c>
      <c r="K123" s="179">
        <f t="shared" si="38"/>
        <v>0</v>
      </c>
    </row>
    <row r="124" spans="1:12" ht="20.100000000000001" customHeight="1" x14ac:dyDescent="0.25">
      <c r="A124" s="180" t="s">
        <v>35</v>
      </c>
      <c r="B124" s="181">
        <v>0</v>
      </c>
      <c r="C124" s="182" t="s">
        <v>951</v>
      </c>
      <c r="D124" s="181">
        <v>82784.12</v>
      </c>
      <c r="E124" s="386">
        <v>0</v>
      </c>
      <c r="F124" s="632">
        <v>4289</v>
      </c>
      <c r="G124" s="181">
        <f t="shared" si="39"/>
        <v>78495.12</v>
      </c>
      <c r="H124" s="184">
        <f>B124+D124-E124-F124</f>
        <v>78495.12</v>
      </c>
      <c r="I124" s="178">
        <f t="shared" si="35"/>
        <v>100</v>
      </c>
      <c r="J124" s="633">
        <f t="shared" si="37"/>
        <v>0</v>
      </c>
      <c r="K124" s="531">
        <f t="shared" si="38"/>
        <v>0</v>
      </c>
    </row>
    <row r="125" spans="1:12" ht="20.100000000000001" customHeight="1" thickBot="1" x14ac:dyDescent="0.3">
      <c r="A125" s="637" t="s">
        <v>36</v>
      </c>
      <c r="B125" s="638">
        <f>SUM(B118:B124)</f>
        <v>0</v>
      </c>
      <c r="C125" s="185"/>
      <c r="D125" s="638">
        <f>SUM(D118:D124)</f>
        <v>1368266.3000000003</v>
      </c>
      <c r="E125" s="639">
        <f>SUM(E118:E124)</f>
        <v>729.21</v>
      </c>
      <c r="F125" s="639">
        <f>SUM(F118:F124)</f>
        <v>68445.010000000009</v>
      </c>
      <c r="G125" s="638">
        <f>SUM(G118:G124)</f>
        <v>1299092.08</v>
      </c>
      <c r="H125" s="640">
        <f>SUM(H118:H124)</f>
        <v>1290812.27</v>
      </c>
      <c r="I125" s="532">
        <f t="shared" si="35"/>
        <v>99.362646410714774</v>
      </c>
      <c r="J125" s="640">
        <f>G125-H125</f>
        <v>8279.8100000000559</v>
      </c>
      <c r="K125" s="533">
        <f t="shared" si="38"/>
        <v>0.63735358928522257</v>
      </c>
    </row>
    <row r="126" spans="1:12" ht="20.100000000000001" customHeight="1" thickTop="1" x14ac:dyDescent="0.25">
      <c r="A126" s="360"/>
      <c r="B126" s="361"/>
      <c r="C126" s="369"/>
      <c r="D126" s="361"/>
      <c r="E126" s="362"/>
      <c r="F126" s="362"/>
      <c r="G126" s="361"/>
      <c r="H126" s="365"/>
      <c r="I126" s="365"/>
      <c r="J126" s="365"/>
      <c r="K126" s="362"/>
    </row>
    <row r="127" spans="1:12" ht="20.100000000000001" customHeight="1" x14ac:dyDescent="0.25">
      <c r="A127" s="641" t="s">
        <v>37</v>
      </c>
      <c r="B127" s="138" t="s">
        <v>30</v>
      </c>
      <c r="C127" s="359"/>
      <c r="D127" s="716">
        <v>8279.81</v>
      </c>
      <c r="E127" s="188" t="s">
        <v>952</v>
      </c>
      <c r="F127" s="188"/>
      <c r="G127" s="622"/>
      <c r="H127" s="623"/>
      <c r="I127" s="627"/>
      <c r="J127" s="628"/>
      <c r="K127" s="621"/>
    </row>
    <row r="128" spans="1:12" ht="20.100000000000001" customHeight="1" thickBot="1" x14ac:dyDescent="0.3">
      <c r="A128" s="621"/>
      <c r="B128" s="621"/>
      <c r="C128" s="359"/>
      <c r="D128" s="514">
        <f>SUM(D127)</f>
        <v>8279.81</v>
      </c>
      <c r="E128" s="622"/>
      <c r="F128" s="622"/>
      <c r="G128" s="622"/>
      <c r="H128" s="627"/>
      <c r="I128" s="628"/>
      <c r="J128" s="629"/>
      <c r="K128" s="621"/>
    </row>
    <row r="129" spans="1:11" s="781" customFormat="1" ht="20.100000000000001" customHeight="1" thickTop="1" x14ac:dyDescent="0.25">
      <c r="C129" s="359"/>
      <c r="D129" s="780"/>
      <c r="E129" s="780"/>
      <c r="F129" s="780"/>
      <c r="G129" s="780"/>
      <c r="H129" s="797"/>
      <c r="I129" s="754"/>
      <c r="J129" s="755"/>
    </row>
    <row r="130" spans="1:11" s="781" customFormat="1" ht="20.100000000000001" customHeight="1" x14ac:dyDescent="0.25">
      <c r="C130" s="359"/>
      <c r="D130" s="780"/>
      <c r="E130" s="780"/>
      <c r="F130" s="780"/>
      <c r="G130" s="780"/>
      <c r="H130" s="797"/>
      <c r="I130" s="754"/>
      <c r="J130" s="755"/>
    </row>
    <row r="131" spans="1:11" ht="16.5" x14ac:dyDescent="0.25">
      <c r="A131" s="827"/>
      <c r="B131" s="827"/>
      <c r="C131" s="164"/>
      <c r="D131" s="906" t="s">
        <v>1073</v>
      </c>
      <c r="E131" s="906"/>
      <c r="F131" s="906"/>
      <c r="G131" s="828"/>
      <c r="H131" s="804"/>
      <c r="I131" s="750"/>
      <c r="J131" s="751"/>
      <c r="K131" s="827"/>
    </row>
    <row r="132" spans="1:11" ht="20.100000000000001" customHeight="1" thickBot="1" x14ac:dyDescent="0.3">
      <c r="A132" s="781"/>
      <c r="B132" s="781"/>
      <c r="C132" s="359"/>
      <c r="D132" s="780"/>
      <c r="E132" s="780"/>
      <c r="F132" s="780"/>
      <c r="G132" s="780"/>
      <c r="H132" s="797"/>
      <c r="I132" s="754"/>
      <c r="J132" s="755"/>
      <c r="K132" s="781"/>
    </row>
    <row r="133" spans="1:11" ht="50.25" thickBot="1" x14ac:dyDescent="0.3">
      <c r="A133" s="783" t="s">
        <v>1074</v>
      </c>
      <c r="B133" s="784" t="s">
        <v>14</v>
      </c>
      <c r="C133" s="783" t="s">
        <v>15</v>
      </c>
      <c r="D133" s="785" t="s">
        <v>16</v>
      </c>
      <c r="E133" s="785" t="s">
        <v>17</v>
      </c>
      <c r="F133" s="785" t="s">
        <v>18</v>
      </c>
      <c r="G133" s="784" t="s">
        <v>19</v>
      </c>
      <c r="H133" s="752" t="s">
        <v>20</v>
      </c>
      <c r="I133" s="752" t="s">
        <v>21</v>
      </c>
      <c r="J133" s="752" t="s">
        <v>22</v>
      </c>
      <c r="K133" s="785" t="s">
        <v>23</v>
      </c>
    </row>
    <row r="134" spans="1:11" ht="16.5" x14ac:dyDescent="0.25">
      <c r="A134" s="173" t="s">
        <v>24</v>
      </c>
      <c r="B134" s="787">
        <v>0</v>
      </c>
      <c r="C134" s="175" t="s">
        <v>1075</v>
      </c>
      <c r="D134" s="787">
        <v>4233.8900000000003</v>
      </c>
      <c r="E134" s="788">
        <v>115.17</v>
      </c>
      <c r="F134" s="788">
        <v>126</v>
      </c>
      <c r="G134" s="787">
        <f>B134+D134-E134-F134</f>
        <v>3992.7200000000003</v>
      </c>
      <c r="H134" s="789">
        <v>3992.72</v>
      </c>
      <c r="I134" s="178">
        <f t="shared" ref="I134:I141" si="40">H134/G134*100</f>
        <v>99.999999999999986</v>
      </c>
      <c r="J134" s="789">
        <f>G134-H134</f>
        <v>0</v>
      </c>
      <c r="K134" s="179">
        <f>J134/G134*100</f>
        <v>0</v>
      </c>
    </row>
    <row r="135" spans="1:11" ht="20.100000000000001" customHeight="1" x14ac:dyDescent="0.25">
      <c r="A135" s="173" t="s">
        <v>26</v>
      </c>
      <c r="B135" s="787">
        <v>0</v>
      </c>
      <c r="C135" s="175" t="s">
        <v>1076</v>
      </c>
      <c r="D135" s="787">
        <v>136198.82</v>
      </c>
      <c r="E135" s="788">
        <v>0</v>
      </c>
      <c r="F135" s="788">
        <v>0</v>
      </c>
      <c r="G135" s="787">
        <f t="shared" ref="G135:G136" si="41">B135+D135-E135-F135</f>
        <v>136198.82</v>
      </c>
      <c r="H135" s="789">
        <v>134627.95000000001</v>
      </c>
      <c r="I135" s="178">
        <f t="shared" si="40"/>
        <v>98.846634647789173</v>
      </c>
      <c r="J135" s="789">
        <f t="shared" ref="J135:J140" si="42">G135-H135</f>
        <v>1570.8699999999953</v>
      </c>
      <c r="K135" s="179">
        <f t="shared" ref="K135:K141" si="43">J135/G135*100</f>
        <v>1.1533653522108307</v>
      </c>
    </row>
    <row r="136" spans="1:11" ht="20.100000000000001" customHeight="1" x14ac:dyDescent="0.25">
      <c r="A136" s="173" t="s">
        <v>28</v>
      </c>
      <c r="B136" s="787">
        <v>0</v>
      </c>
      <c r="C136" s="175" t="s">
        <v>1077</v>
      </c>
      <c r="D136" s="787">
        <v>23155.200000000001</v>
      </c>
      <c r="E136" s="788">
        <v>0</v>
      </c>
      <c r="F136" s="788">
        <v>0</v>
      </c>
      <c r="G136" s="787">
        <f t="shared" si="41"/>
        <v>23155.200000000001</v>
      </c>
      <c r="H136" s="789">
        <v>23155.200000000001</v>
      </c>
      <c r="I136" s="178">
        <f t="shared" si="40"/>
        <v>100</v>
      </c>
      <c r="J136" s="789">
        <f t="shared" si="42"/>
        <v>0</v>
      </c>
      <c r="K136" s="179">
        <f t="shared" si="43"/>
        <v>0</v>
      </c>
    </row>
    <row r="137" spans="1:11" ht="20.100000000000001" customHeight="1" x14ac:dyDescent="0.25">
      <c r="A137" s="173" t="s">
        <v>30</v>
      </c>
      <c r="B137" s="787">
        <v>8279.81</v>
      </c>
      <c r="C137" s="175" t="s">
        <v>1078</v>
      </c>
      <c r="D137" s="787">
        <v>370079.12</v>
      </c>
      <c r="E137" s="788">
        <v>0</v>
      </c>
      <c r="F137" s="788">
        <v>878.38</v>
      </c>
      <c r="G137" s="787">
        <f>B137+D137-E137-F137</f>
        <v>377480.55</v>
      </c>
      <c r="H137" s="789">
        <v>377480.55</v>
      </c>
      <c r="I137" s="178">
        <f t="shared" si="40"/>
        <v>100</v>
      </c>
      <c r="J137" s="789">
        <f t="shared" si="42"/>
        <v>0</v>
      </c>
      <c r="K137" s="179">
        <f t="shared" si="43"/>
        <v>0</v>
      </c>
    </row>
    <row r="138" spans="1:11" ht="20.100000000000001" customHeight="1" x14ac:dyDescent="0.25">
      <c r="A138" s="173" t="s">
        <v>32</v>
      </c>
      <c r="B138" s="787">
        <v>0</v>
      </c>
      <c r="C138" s="175" t="s">
        <v>1079</v>
      </c>
      <c r="D138" s="787">
        <v>235781.37</v>
      </c>
      <c r="E138" s="788">
        <v>0</v>
      </c>
      <c r="F138" s="788">
        <v>1913.51</v>
      </c>
      <c r="G138" s="787">
        <f>B138+D138-E138-F138</f>
        <v>233867.86</v>
      </c>
      <c r="H138" s="789">
        <v>233867.86</v>
      </c>
      <c r="I138" s="178">
        <f t="shared" si="40"/>
        <v>100</v>
      </c>
      <c r="J138" s="789">
        <f t="shared" si="42"/>
        <v>0</v>
      </c>
      <c r="K138" s="179">
        <f t="shared" si="43"/>
        <v>0</v>
      </c>
    </row>
    <row r="139" spans="1:11" ht="20.100000000000001" customHeight="1" x14ac:dyDescent="0.25">
      <c r="A139" s="180" t="s">
        <v>34</v>
      </c>
      <c r="B139" s="181">
        <v>0</v>
      </c>
      <c r="C139" s="182" t="s">
        <v>1076</v>
      </c>
      <c r="D139" s="181">
        <v>87896.46</v>
      </c>
      <c r="E139" s="386">
        <v>0</v>
      </c>
      <c r="F139" s="788">
        <v>0</v>
      </c>
      <c r="G139" s="181">
        <f t="shared" ref="G139:G140" si="44">B139+D139-E139-F139</f>
        <v>87896.46</v>
      </c>
      <c r="H139" s="184">
        <v>87896.46</v>
      </c>
      <c r="I139" s="178">
        <f t="shared" si="40"/>
        <v>100</v>
      </c>
      <c r="J139" s="789">
        <f t="shared" si="42"/>
        <v>0</v>
      </c>
      <c r="K139" s="179">
        <f t="shared" si="43"/>
        <v>0</v>
      </c>
    </row>
    <row r="140" spans="1:11" ht="20.100000000000001" customHeight="1" x14ac:dyDescent="0.25">
      <c r="A140" s="180" t="s">
        <v>35</v>
      </c>
      <c r="B140" s="181">
        <v>0</v>
      </c>
      <c r="C140" s="182" t="s">
        <v>1080</v>
      </c>
      <c r="D140" s="181">
        <v>231599.62</v>
      </c>
      <c r="E140" s="386">
        <v>0</v>
      </c>
      <c r="F140" s="788">
        <v>573.92999999999995</v>
      </c>
      <c r="G140" s="181">
        <f t="shared" si="44"/>
        <v>231025.69</v>
      </c>
      <c r="H140" s="184">
        <f>B140+D140-E140-F140</f>
        <v>231025.69</v>
      </c>
      <c r="I140" s="178">
        <f t="shared" si="40"/>
        <v>100</v>
      </c>
      <c r="J140" s="789">
        <f t="shared" si="42"/>
        <v>0</v>
      </c>
      <c r="K140" s="531">
        <f t="shared" si="43"/>
        <v>0</v>
      </c>
    </row>
    <row r="141" spans="1:11" ht="20.100000000000001" customHeight="1" thickBot="1" x14ac:dyDescent="0.3">
      <c r="A141" s="763" t="s">
        <v>36</v>
      </c>
      <c r="B141" s="764">
        <f>SUM(B134:B140)</f>
        <v>8279.81</v>
      </c>
      <c r="C141" s="185"/>
      <c r="D141" s="764">
        <f>SUM(D134:D140)</f>
        <v>1088944.48</v>
      </c>
      <c r="E141" s="765">
        <f>SUM(E134:E140)</f>
        <v>115.17</v>
      </c>
      <c r="F141" s="765">
        <f>SUM(F134:F140)</f>
        <v>3491.8199999999997</v>
      </c>
      <c r="G141" s="764">
        <f>SUM(G134:G140)</f>
        <v>1093617.3</v>
      </c>
      <c r="H141" s="766">
        <f>SUM(H134:H140)</f>
        <v>1092046.43</v>
      </c>
      <c r="I141" s="532">
        <f t="shared" si="40"/>
        <v>99.856360172795348</v>
      </c>
      <c r="J141" s="766">
        <f>G141-H141</f>
        <v>1570.8700000001118</v>
      </c>
      <c r="K141" s="533">
        <f t="shared" si="43"/>
        <v>0.14363982720464569</v>
      </c>
    </row>
    <row r="142" spans="1:11" ht="20.100000000000001" customHeight="1" thickTop="1" x14ac:dyDescent="0.25">
      <c r="A142" s="793"/>
      <c r="B142" s="794"/>
      <c r="C142" s="369"/>
      <c r="D142" s="794"/>
      <c r="E142" s="362"/>
      <c r="F142" s="362"/>
      <c r="G142" s="794"/>
      <c r="H142" s="365"/>
      <c r="I142" s="365"/>
      <c r="J142" s="365"/>
      <c r="K142" s="362"/>
    </row>
    <row r="143" spans="1:11" ht="20.100000000000001" customHeight="1" x14ac:dyDescent="0.25">
      <c r="A143" s="767" t="s">
        <v>37</v>
      </c>
      <c r="B143" s="173" t="s">
        <v>26</v>
      </c>
      <c r="C143" s="359"/>
      <c r="D143" s="716">
        <v>1570.87</v>
      </c>
      <c r="E143" s="188" t="s">
        <v>1081</v>
      </c>
      <c r="F143" s="188"/>
      <c r="G143" s="780"/>
      <c r="H143" s="804"/>
      <c r="I143" s="797"/>
      <c r="J143" s="754"/>
      <c r="K143" s="781"/>
    </row>
    <row r="144" spans="1:11" ht="20.100000000000001" customHeight="1" thickBot="1" x14ac:dyDescent="0.3">
      <c r="A144" s="781"/>
      <c r="B144" s="781"/>
      <c r="C144" s="359"/>
      <c r="D144" s="514">
        <f>SUM(D143)</f>
        <v>1570.87</v>
      </c>
      <c r="E144" s="780"/>
      <c r="F144" s="780"/>
      <c r="G144" s="780"/>
      <c r="H144" s="797"/>
      <c r="I144" s="754"/>
      <c r="J144" s="755"/>
      <c r="K144" s="781"/>
    </row>
    <row r="145" spans="1:12" ht="20.100000000000001" customHeight="1" thickTop="1" x14ac:dyDescent="0.25">
      <c r="A145" s="781"/>
      <c r="B145" s="781"/>
      <c r="C145" s="359"/>
      <c r="D145" s="780"/>
      <c r="E145" s="780"/>
      <c r="F145" s="780"/>
      <c r="G145" s="780"/>
      <c r="H145" s="797"/>
      <c r="I145" s="754"/>
      <c r="J145" s="755"/>
      <c r="K145" s="781"/>
    </row>
    <row r="146" spans="1:12" ht="20.100000000000001" customHeight="1" x14ac:dyDescent="0.25">
      <c r="A146" s="827"/>
      <c r="B146" s="827"/>
      <c r="C146" s="164"/>
      <c r="D146" s="906" t="s">
        <v>1177</v>
      </c>
      <c r="E146" s="906"/>
      <c r="F146" s="906"/>
      <c r="G146" s="828"/>
      <c r="H146" s="804"/>
      <c r="I146" s="750"/>
      <c r="J146" s="751"/>
      <c r="K146" s="827"/>
      <c r="L146" s="781"/>
    </row>
    <row r="147" spans="1:12" ht="20.100000000000001" customHeight="1" thickBot="1" x14ac:dyDescent="0.3">
      <c r="A147" s="781"/>
      <c r="B147" s="781"/>
      <c r="C147" s="359"/>
      <c r="D147" s="780"/>
      <c r="E147" s="780"/>
      <c r="F147" s="780"/>
      <c r="G147" s="780"/>
      <c r="H147" s="797"/>
      <c r="I147" s="754"/>
      <c r="J147" s="755"/>
      <c r="K147" s="781"/>
      <c r="L147" s="781"/>
    </row>
    <row r="148" spans="1:12" ht="50.25" thickBot="1" x14ac:dyDescent="0.3">
      <c r="A148" s="783" t="s">
        <v>1169</v>
      </c>
      <c r="B148" s="784" t="s">
        <v>14</v>
      </c>
      <c r="C148" s="783" t="s">
        <v>15</v>
      </c>
      <c r="D148" s="785" t="s">
        <v>16</v>
      </c>
      <c r="E148" s="785" t="s">
        <v>17</v>
      </c>
      <c r="F148" s="785" t="s">
        <v>18</v>
      </c>
      <c r="G148" s="784" t="s">
        <v>19</v>
      </c>
      <c r="H148" s="752" t="s">
        <v>20</v>
      </c>
      <c r="I148" s="752" t="s">
        <v>21</v>
      </c>
      <c r="J148" s="752" t="s">
        <v>22</v>
      </c>
      <c r="K148" s="785" t="s">
        <v>23</v>
      </c>
      <c r="L148" s="781"/>
    </row>
    <row r="149" spans="1:12" ht="16.5" x14ac:dyDescent="0.25">
      <c r="A149" s="173" t="s">
        <v>24</v>
      </c>
      <c r="B149" s="787">
        <v>0</v>
      </c>
      <c r="C149" s="175" t="s">
        <v>1178</v>
      </c>
      <c r="D149" s="787">
        <v>59879.82</v>
      </c>
      <c r="E149" s="788">
        <v>1678.87</v>
      </c>
      <c r="F149" s="788">
        <v>0</v>
      </c>
      <c r="G149" s="787">
        <f>B149+D149-E149-F149</f>
        <v>58200.95</v>
      </c>
      <c r="H149" s="789">
        <v>58200.95</v>
      </c>
      <c r="I149" s="178">
        <f t="shared" ref="I149:I156" si="45">H149/G149*100</f>
        <v>100</v>
      </c>
      <c r="J149" s="789">
        <f>G149-H149</f>
        <v>0</v>
      </c>
      <c r="K149" s="179">
        <f>J149/G149*100</f>
        <v>0</v>
      </c>
      <c r="L149" s="781"/>
    </row>
    <row r="150" spans="1:12" ht="20.100000000000001" customHeight="1" x14ac:dyDescent="0.25">
      <c r="A150" s="173" t="s">
        <v>26</v>
      </c>
      <c r="B150" s="787">
        <v>1570.87</v>
      </c>
      <c r="C150" s="175" t="s">
        <v>1076</v>
      </c>
      <c r="D150" s="787">
        <v>26554.46</v>
      </c>
      <c r="E150" s="788">
        <v>0</v>
      </c>
      <c r="F150" s="788">
        <v>0</v>
      </c>
      <c r="G150" s="787">
        <f t="shared" ref="G150:G151" si="46">B150+D150-E150-F150</f>
        <v>28125.329999999998</v>
      </c>
      <c r="H150" s="789">
        <v>24789.72</v>
      </c>
      <c r="I150" s="178">
        <f t="shared" si="45"/>
        <v>88.140192488408147</v>
      </c>
      <c r="J150" s="789">
        <f t="shared" ref="J150:J155" si="47">G150-H150</f>
        <v>3335.6099999999969</v>
      </c>
      <c r="K150" s="179">
        <f t="shared" ref="K150:K156" si="48">J150/G150*100</f>
        <v>11.859807511591853</v>
      </c>
      <c r="L150" s="781"/>
    </row>
    <row r="151" spans="1:12" ht="20.100000000000001" customHeight="1" x14ac:dyDescent="0.25">
      <c r="A151" s="173" t="s">
        <v>28</v>
      </c>
      <c r="B151" s="787">
        <v>0</v>
      </c>
      <c r="C151" s="175" t="s">
        <v>1179</v>
      </c>
      <c r="D151" s="787">
        <v>77005.179999999993</v>
      </c>
      <c r="E151" s="788">
        <v>0</v>
      </c>
      <c r="F151" s="788">
        <v>0</v>
      </c>
      <c r="G151" s="787">
        <f t="shared" si="46"/>
        <v>77005.179999999993</v>
      </c>
      <c r="H151" s="789">
        <v>77005.179999999993</v>
      </c>
      <c r="I151" s="178">
        <f t="shared" si="45"/>
        <v>100</v>
      </c>
      <c r="J151" s="789">
        <f t="shared" si="47"/>
        <v>0</v>
      </c>
      <c r="K151" s="179">
        <f t="shared" si="48"/>
        <v>0</v>
      </c>
      <c r="L151" s="781"/>
    </row>
    <row r="152" spans="1:12" ht="20.100000000000001" customHeight="1" x14ac:dyDescent="0.25">
      <c r="A152" s="173" t="s">
        <v>30</v>
      </c>
      <c r="B152" s="787">
        <v>0</v>
      </c>
      <c r="C152" s="175" t="s">
        <v>1180</v>
      </c>
      <c r="D152" s="787">
        <v>2230376.96</v>
      </c>
      <c r="E152" s="788">
        <v>0</v>
      </c>
      <c r="F152" s="788">
        <v>170100.15</v>
      </c>
      <c r="G152" s="787">
        <f>B152+D152-E152-F152</f>
        <v>2060276.81</v>
      </c>
      <c r="H152" s="789">
        <v>2059315.14</v>
      </c>
      <c r="I152" s="178">
        <f t="shared" si="45"/>
        <v>99.953323262421222</v>
      </c>
      <c r="J152" s="789">
        <f t="shared" si="47"/>
        <v>961.67000000015832</v>
      </c>
      <c r="K152" s="179">
        <f t="shared" si="48"/>
        <v>4.6676737578779923E-2</v>
      </c>
      <c r="L152" s="781"/>
    </row>
    <row r="153" spans="1:12" ht="16.5" x14ac:dyDescent="0.25">
      <c r="A153" s="173" t="s">
        <v>32</v>
      </c>
      <c r="B153" s="787">
        <v>0</v>
      </c>
      <c r="C153" s="175" t="s">
        <v>1181</v>
      </c>
      <c r="D153" s="787">
        <v>369116.49</v>
      </c>
      <c r="E153" s="788">
        <v>0</v>
      </c>
      <c r="F153" s="788">
        <v>28372.720000000001</v>
      </c>
      <c r="G153" s="787">
        <f>B153+D153-E153-F153</f>
        <v>340743.77</v>
      </c>
      <c r="H153" s="789">
        <v>340743.77</v>
      </c>
      <c r="I153" s="178">
        <f t="shared" si="45"/>
        <v>100</v>
      </c>
      <c r="J153" s="789">
        <f t="shared" si="47"/>
        <v>0</v>
      </c>
      <c r="K153" s="179">
        <f t="shared" si="48"/>
        <v>0</v>
      </c>
      <c r="L153" s="781"/>
    </row>
    <row r="154" spans="1:12" ht="20.100000000000001" customHeight="1" x14ac:dyDescent="0.25">
      <c r="A154" s="180" t="s">
        <v>34</v>
      </c>
      <c r="B154" s="181">
        <v>0</v>
      </c>
      <c r="C154" s="182" t="s">
        <v>1182</v>
      </c>
      <c r="D154" s="181">
        <v>11096.84</v>
      </c>
      <c r="E154" s="386">
        <v>0</v>
      </c>
      <c r="F154" s="788">
        <v>0</v>
      </c>
      <c r="G154" s="181">
        <f t="shared" ref="G154:G155" si="49">B154+D154-E154-F154</f>
        <v>11096.84</v>
      </c>
      <c r="H154" s="184">
        <v>11096.84</v>
      </c>
      <c r="I154" s="178">
        <f t="shared" si="45"/>
        <v>100</v>
      </c>
      <c r="J154" s="789">
        <f t="shared" si="47"/>
        <v>0</v>
      </c>
      <c r="K154" s="179">
        <f t="shared" si="48"/>
        <v>0</v>
      </c>
      <c r="L154" s="781"/>
    </row>
    <row r="155" spans="1:12" ht="20.100000000000001" customHeight="1" x14ac:dyDescent="0.25">
      <c r="A155" s="180" t="s">
        <v>35</v>
      </c>
      <c r="B155" s="181">
        <v>0</v>
      </c>
      <c r="C155" s="182" t="s">
        <v>1183</v>
      </c>
      <c r="D155" s="181">
        <v>1375065.97</v>
      </c>
      <c r="E155" s="386">
        <v>0</v>
      </c>
      <c r="F155" s="788">
        <v>2299.56</v>
      </c>
      <c r="G155" s="181">
        <f t="shared" si="49"/>
        <v>1372766.41</v>
      </c>
      <c r="H155" s="184">
        <f>B155+D155-E155-F155</f>
        <v>1372766.41</v>
      </c>
      <c r="I155" s="178">
        <f t="shared" si="45"/>
        <v>100</v>
      </c>
      <c r="J155" s="789">
        <f t="shared" si="47"/>
        <v>0</v>
      </c>
      <c r="K155" s="531">
        <f t="shared" si="48"/>
        <v>0</v>
      </c>
      <c r="L155" s="781"/>
    </row>
    <row r="156" spans="1:12" ht="20.100000000000001" customHeight="1" thickBot="1" x14ac:dyDescent="0.3">
      <c r="A156" s="763" t="s">
        <v>36</v>
      </c>
      <c r="B156" s="764">
        <f>SUM(B149:B155)</f>
        <v>1570.87</v>
      </c>
      <c r="C156" s="185"/>
      <c r="D156" s="764">
        <f>SUM(D149:D155)</f>
        <v>4149095.7199999997</v>
      </c>
      <c r="E156" s="765">
        <f>SUM(E149:E155)</f>
        <v>1678.87</v>
      </c>
      <c r="F156" s="765">
        <f>SUM(F149:F155)</f>
        <v>200772.43</v>
      </c>
      <c r="G156" s="764">
        <f>SUM(G149:G155)</f>
        <v>3948215.29</v>
      </c>
      <c r="H156" s="766">
        <f>SUM(H149:H155)</f>
        <v>3943918.01</v>
      </c>
      <c r="I156" s="532">
        <f t="shared" si="45"/>
        <v>99.891158924112261</v>
      </c>
      <c r="J156" s="766">
        <f>G156-H156</f>
        <v>4297.2800000002608</v>
      </c>
      <c r="K156" s="533">
        <f t="shared" si="48"/>
        <v>0.10884107588774018</v>
      </c>
      <c r="L156" s="781"/>
    </row>
    <row r="157" spans="1:12" ht="20.100000000000001" customHeight="1" thickTop="1" x14ac:dyDescent="0.25">
      <c r="A157" s="793"/>
      <c r="B157" s="794"/>
      <c r="C157" s="369"/>
      <c r="D157" s="794"/>
      <c r="E157" s="362"/>
      <c r="F157" s="362"/>
      <c r="G157" s="794"/>
      <c r="H157" s="365"/>
      <c r="I157" s="365"/>
      <c r="J157" s="365"/>
      <c r="K157" s="362"/>
      <c r="L157" s="781"/>
    </row>
    <row r="158" spans="1:12" ht="20.100000000000001" customHeight="1" x14ac:dyDescent="0.25">
      <c r="A158" s="767" t="s">
        <v>37</v>
      </c>
      <c r="B158" s="173" t="s">
        <v>26</v>
      </c>
      <c r="C158" s="359"/>
      <c r="D158" s="716">
        <v>3335.61</v>
      </c>
      <c r="E158" s="188" t="s">
        <v>1184</v>
      </c>
      <c r="F158" s="188"/>
      <c r="G158" s="780"/>
      <c r="H158" s="804"/>
      <c r="I158" s="797"/>
      <c r="J158" s="754"/>
      <c r="K158" s="781"/>
      <c r="L158" s="781"/>
    </row>
    <row r="159" spans="1:12" ht="20.100000000000001" customHeight="1" x14ac:dyDescent="0.25">
      <c r="A159" s="767"/>
      <c r="B159" s="173" t="s">
        <v>30</v>
      </c>
      <c r="C159" s="359"/>
      <c r="D159" s="808">
        <v>961.67</v>
      </c>
      <c r="E159" s="188" t="s">
        <v>1184</v>
      </c>
      <c r="F159" s="188"/>
      <c r="G159" s="780"/>
      <c r="H159" s="804"/>
      <c r="I159" s="797"/>
      <c r="J159" s="754"/>
      <c r="K159" s="781"/>
      <c r="L159" s="781"/>
    </row>
    <row r="160" spans="1:12" ht="20.100000000000001" customHeight="1" thickBot="1" x14ac:dyDescent="0.3">
      <c r="A160" s="781"/>
      <c r="B160" s="781"/>
      <c r="C160" s="359"/>
      <c r="D160" s="514">
        <f>SUM(D158:D159)</f>
        <v>4297.28</v>
      </c>
      <c r="E160" s="780"/>
      <c r="F160" s="780"/>
      <c r="G160" s="780"/>
      <c r="H160" s="797"/>
      <c r="I160" s="754"/>
      <c r="J160" s="755"/>
      <c r="K160" s="781"/>
      <c r="L160" s="781"/>
    </row>
    <row r="161" spans="1:12" s="781" customFormat="1" ht="20.100000000000001" customHeight="1" thickTop="1" x14ac:dyDescent="0.25">
      <c r="C161" s="359"/>
      <c r="D161" s="780"/>
      <c r="E161" s="780"/>
      <c r="F161" s="780"/>
      <c r="G161" s="780"/>
      <c r="H161" s="797"/>
      <c r="I161" s="754"/>
      <c r="J161" s="755"/>
    </row>
    <row r="162" spans="1:12" ht="20.100000000000001" customHeight="1" x14ac:dyDescent="0.25">
      <c r="E162" s="21"/>
      <c r="F162" s="21"/>
      <c r="K162" s="18"/>
    </row>
    <row r="163" spans="1:12" ht="20.100000000000001" customHeight="1" x14ac:dyDescent="0.25">
      <c r="A163" s="827"/>
      <c r="B163" s="827"/>
      <c r="C163" s="164"/>
      <c r="D163" s="906" t="s">
        <v>1293</v>
      </c>
      <c r="E163" s="906"/>
      <c r="F163" s="906"/>
      <c r="G163" s="828"/>
      <c r="H163" s="804"/>
      <c r="I163" s="750"/>
      <c r="J163" s="751"/>
      <c r="K163" s="827"/>
      <c r="L163" s="781"/>
    </row>
    <row r="164" spans="1:12" ht="20.100000000000001" customHeight="1" thickBot="1" x14ac:dyDescent="0.3">
      <c r="A164" s="781"/>
      <c r="B164" s="781"/>
      <c r="C164" s="359"/>
      <c r="D164" s="780"/>
      <c r="E164" s="780"/>
      <c r="F164" s="780"/>
      <c r="G164" s="780"/>
      <c r="H164" s="797"/>
      <c r="I164" s="754"/>
      <c r="J164" s="755"/>
      <c r="K164" s="781"/>
      <c r="L164" s="781"/>
    </row>
    <row r="165" spans="1:12" ht="50.25" thickBot="1" x14ac:dyDescent="0.3">
      <c r="A165" s="783" t="s">
        <v>1286</v>
      </c>
      <c r="B165" s="784" t="s">
        <v>14</v>
      </c>
      <c r="C165" s="783" t="s">
        <v>15</v>
      </c>
      <c r="D165" s="785" t="s">
        <v>16</v>
      </c>
      <c r="E165" s="785" t="s">
        <v>17</v>
      </c>
      <c r="F165" s="785" t="s">
        <v>18</v>
      </c>
      <c r="G165" s="784" t="s">
        <v>19</v>
      </c>
      <c r="H165" s="752" t="s">
        <v>20</v>
      </c>
      <c r="I165" s="752" t="s">
        <v>21</v>
      </c>
      <c r="J165" s="752" t="s">
        <v>22</v>
      </c>
      <c r="K165" s="785" t="s">
        <v>23</v>
      </c>
      <c r="L165" s="781"/>
    </row>
    <row r="166" spans="1:12" ht="16.5" x14ac:dyDescent="0.25">
      <c r="A166" s="173" t="s">
        <v>24</v>
      </c>
      <c r="B166" s="787">
        <v>0</v>
      </c>
      <c r="C166" s="175" t="s">
        <v>1294</v>
      </c>
      <c r="D166" s="787">
        <v>155446.10999999999</v>
      </c>
      <c r="E166" s="788">
        <v>4358.3</v>
      </c>
      <c r="F166" s="788">
        <v>0</v>
      </c>
      <c r="G166" s="787">
        <f>B166+D166-E166-F166</f>
        <v>151087.81</v>
      </c>
      <c r="H166" s="789">
        <v>151087.81</v>
      </c>
      <c r="I166" s="178">
        <f t="shared" ref="I166:I173" si="50">H166/G166*100</f>
        <v>100</v>
      </c>
      <c r="J166" s="789">
        <f>G166-H166</f>
        <v>0</v>
      </c>
      <c r="K166" s="179">
        <f>J166/G166*100</f>
        <v>0</v>
      </c>
      <c r="L166" s="781"/>
    </row>
    <row r="167" spans="1:12" ht="16.5" x14ac:dyDescent="0.25">
      <c r="A167" s="173" t="s">
        <v>26</v>
      </c>
      <c r="B167" s="787">
        <v>3335.61</v>
      </c>
      <c r="C167" s="175" t="s">
        <v>1295</v>
      </c>
      <c r="D167" s="787">
        <v>305611.77</v>
      </c>
      <c r="E167" s="788">
        <v>0</v>
      </c>
      <c r="F167" s="788">
        <v>0</v>
      </c>
      <c r="G167" s="787">
        <f t="shared" ref="G167:G168" si="51">B167+D167-E167-F167</f>
        <v>308947.38</v>
      </c>
      <c r="H167" s="789">
        <v>308947.38</v>
      </c>
      <c r="I167" s="178">
        <f t="shared" si="50"/>
        <v>100</v>
      </c>
      <c r="J167" s="789">
        <f t="shared" ref="J167:J172" si="52">G167-H167</f>
        <v>0</v>
      </c>
      <c r="K167" s="179">
        <f t="shared" ref="K167:K173" si="53">J167/G167*100</f>
        <v>0</v>
      </c>
      <c r="L167" s="781"/>
    </row>
    <row r="168" spans="1:12" ht="20.100000000000001" customHeight="1" x14ac:dyDescent="0.25">
      <c r="A168" s="173" t="s">
        <v>28</v>
      </c>
      <c r="B168" s="787">
        <v>0</v>
      </c>
      <c r="C168" s="175" t="s">
        <v>1296</v>
      </c>
      <c r="D168" s="787">
        <v>249985.02</v>
      </c>
      <c r="E168" s="788">
        <v>0</v>
      </c>
      <c r="F168" s="788">
        <v>10304.64</v>
      </c>
      <c r="G168" s="787">
        <f t="shared" si="51"/>
        <v>239680.38</v>
      </c>
      <c r="H168" s="789">
        <v>239680.38</v>
      </c>
      <c r="I168" s="178">
        <f t="shared" si="50"/>
        <v>100</v>
      </c>
      <c r="J168" s="789">
        <f t="shared" si="52"/>
        <v>0</v>
      </c>
      <c r="K168" s="179">
        <f t="shared" si="53"/>
        <v>0</v>
      </c>
      <c r="L168" s="781"/>
    </row>
    <row r="169" spans="1:12" ht="20.100000000000001" customHeight="1" x14ac:dyDescent="0.25">
      <c r="A169" s="173" t="s">
        <v>30</v>
      </c>
      <c r="B169" s="787">
        <v>961.72</v>
      </c>
      <c r="C169" s="175" t="s">
        <v>1297</v>
      </c>
      <c r="D169" s="787">
        <v>395618.84</v>
      </c>
      <c r="E169" s="788">
        <v>0</v>
      </c>
      <c r="F169" s="788">
        <v>24300.02</v>
      </c>
      <c r="G169" s="787">
        <f>B169+D169-E169-F169</f>
        <v>372280.54</v>
      </c>
      <c r="H169" s="789">
        <v>372280.54</v>
      </c>
      <c r="I169" s="178">
        <f t="shared" si="50"/>
        <v>100</v>
      </c>
      <c r="J169" s="789">
        <f t="shared" si="52"/>
        <v>0</v>
      </c>
      <c r="K169" s="179">
        <f t="shared" si="53"/>
        <v>0</v>
      </c>
      <c r="L169" s="781"/>
    </row>
    <row r="170" spans="1:12" ht="20.100000000000001" customHeight="1" x14ac:dyDescent="0.25">
      <c r="A170" s="173" t="s">
        <v>32</v>
      </c>
      <c r="B170" s="787">
        <v>0</v>
      </c>
      <c r="C170" s="175" t="s">
        <v>1298</v>
      </c>
      <c r="D170" s="787">
        <v>187446.05</v>
      </c>
      <c r="E170" s="788">
        <v>0</v>
      </c>
      <c r="F170" s="788">
        <v>28276.75</v>
      </c>
      <c r="G170" s="787">
        <f>B170+D170-E170-F170</f>
        <v>159169.29999999999</v>
      </c>
      <c r="H170" s="789">
        <v>159169.29999999999</v>
      </c>
      <c r="I170" s="178">
        <f t="shared" si="50"/>
        <v>100</v>
      </c>
      <c r="J170" s="789">
        <f t="shared" si="52"/>
        <v>0</v>
      </c>
      <c r="K170" s="179">
        <f t="shared" si="53"/>
        <v>0</v>
      </c>
      <c r="L170" s="781"/>
    </row>
    <row r="171" spans="1:12" ht="20.100000000000001" customHeight="1" x14ac:dyDescent="0.25">
      <c r="A171" s="180" t="s">
        <v>34</v>
      </c>
      <c r="B171" s="181">
        <v>0</v>
      </c>
      <c r="C171" s="182" t="s">
        <v>1299</v>
      </c>
      <c r="D171" s="181">
        <v>99871.58</v>
      </c>
      <c r="E171" s="386">
        <v>0</v>
      </c>
      <c r="F171" s="788">
        <v>0</v>
      </c>
      <c r="G171" s="181">
        <f t="shared" ref="G171:G172" si="54">B171+D171-E171-F171</f>
        <v>99871.58</v>
      </c>
      <c r="H171" s="184">
        <v>99871.58</v>
      </c>
      <c r="I171" s="178">
        <f t="shared" si="50"/>
        <v>100</v>
      </c>
      <c r="J171" s="789">
        <f t="shared" si="52"/>
        <v>0</v>
      </c>
      <c r="K171" s="179">
        <f t="shared" si="53"/>
        <v>0</v>
      </c>
      <c r="L171" s="781"/>
    </row>
    <row r="172" spans="1:12" ht="20.100000000000001" customHeight="1" x14ac:dyDescent="0.25">
      <c r="A172" s="180" t="s">
        <v>35</v>
      </c>
      <c r="B172" s="181">
        <v>0</v>
      </c>
      <c r="C172" s="182" t="s">
        <v>1300</v>
      </c>
      <c r="D172" s="181">
        <v>1699171.31</v>
      </c>
      <c r="E172" s="386">
        <v>0</v>
      </c>
      <c r="F172" s="788">
        <v>7199.76</v>
      </c>
      <c r="G172" s="181">
        <f t="shared" si="54"/>
        <v>1691971.55</v>
      </c>
      <c r="H172" s="184">
        <f>B172+D172-E172-F172</f>
        <v>1691971.55</v>
      </c>
      <c r="I172" s="178">
        <f t="shared" si="50"/>
        <v>100</v>
      </c>
      <c r="J172" s="789">
        <f t="shared" si="52"/>
        <v>0</v>
      </c>
      <c r="K172" s="531">
        <f t="shared" si="53"/>
        <v>0</v>
      </c>
      <c r="L172" s="781"/>
    </row>
    <row r="173" spans="1:12" ht="17.25" thickBot="1" x14ac:dyDescent="0.3">
      <c r="A173" s="763" t="s">
        <v>36</v>
      </c>
      <c r="B173" s="764">
        <f>SUM(B166:B172)</f>
        <v>4297.33</v>
      </c>
      <c r="C173" s="185"/>
      <c r="D173" s="764">
        <f>SUM(D166:D172)</f>
        <v>3093150.68</v>
      </c>
      <c r="E173" s="765">
        <f>SUM(E166:E172)</f>
        <v>4358.3</v>
      </c>
      <c r="F173" s="765">
        <f>SUM(F166:F172)</f>
        <v>70081.17</v>
      </c>
      <c r="G173" s="764">
        <f>SUM(G166:G172)</f>
        <v>3023008.54</v>
      </c>
      <c r="H173" s="766">
        <f>SUM(H166:H172)</f>
        <v>3023008.54</v>
      </c>
      <c r="I173" s="532">
        <f t="shared" si="50"/>
        <v>100</v>
      </c>
      <c r="J173" s="766">
        <f>G173-H173</f>
        <v>0</v>
      </c>
      <c r="K173" s="533">
        <f t="shared" si="53"/>
        <v>0</v>
      </c>
      <c r="L173" s="781"/>
    </row>
    <row r="174" spans="1:12" ht="20.100000000000001" customHeight="1" thickTop="1" x14ac:dyDescent="0.25">
      <c r="A174" s="793"/>
      <c r="B174" s="794"/>
      <c r="C174" s="369"/>
      <c r="D174" s="794"/>
      <c r="E174" s="362"/>
      <c r="F174" s="362"/>
      <c r="G174" s="794"/>
      <c r="H174" s="365"/>
      <c r="I174" s="365"/>
      <c r="J174" s="365"/>
      <c r="K174" s="362"/>
      <c r="L174" s="781"/>
    </row>
    <row r="175" spans="1:12" ht="20.100000000000001" customHeight="1" x14ac:dyDescent="0.25">
      <c r="A175" s="767" t="s">
        <v>37</v>
      </c>
      <c r="B175" s="781"/>
      <c r="C175" s="359"/>
      <c r="D175" s="780"/>
      <c r="E175" s="780"/>
      <c r="F175" s="780"/>
      <c r="G175" s="780"/>
      <c r="H175" s="804"/>
      <c r="I175" s="797"/>
      <c r="J175" s="754"/>
      <c r="K175" s="781"/>
      <c r="L175" s="781"/>
    </row>
    <row r="176" spans="1:12" ht="20.100000000000001" customHeight="1" x14ac:dyDescent="0.25">
      <c r="A176" s="827"/>
      <c r="B176" s="827"/>
      <c r="C176" s="164"/>
      <c r="D176" s="906" t="s">
        <v>1397</v>
      </c>
      <c r="E176" s="906"/>
      <c r="F176" s="906"/>
      <c r="G176" s="828"/>
      <c r="H176" s="804"/>
      <c r="I176" s="750"/>
      <c r="J176" s="751"/>
      <c r="K176" s="827"/>
      <c r="L176" s="781"/>
    </row>
    <row r="177" spans="1:12" ht="20.100000000000001" customHeight="1" thickBot="1" x14ac:dyDescent="0.3">
      <c r="A177" s="781"/>
      <c r="B177" s="781"/>
      <c r="C177" s="359"/>
      <c r="D177" s="780"/>
      <c r="E177" s="780"/>
      <c r="F177" s="780"/>
      <c r="G177" s="780"/>
      <c r="H177" s="797"/>
      <c r="I177" s="754"/>
      <c r="J177" s="755"/>
      <c r="K177" s="781"/>
      <c r="L177" s="781"/>
    </row>
    <row r="178" spans="1:12" ht="50.25" thickBot="1" x14ac:dyDescent="0.3">
      <c r="A178" s="783" t="s">
        <v>1398</v>
      </c>
      <c r="B178" s="784" t="s">
        <v>14</v>
      </c>
      <c r="C178" s="783" t="s">
        <v>15</v>
      </c>
      <c r="D178" s="785" t="s">
        <v>16</v>
      </c>
      <c r="E178" s="785" t="s">
        <v>17</v>
      </c>
      <c r="F178" s="785" t="s">
        <v>18</v>
      </c>
      <c r="G178" s="784" t="s">
        <v>19</v>
      </c>
      <c r="H178" s="752" t="s">
        <v>20</v>
      </c>
      <c r="I178" s="752" t="s">
        <v>21</v>
      </c>
      <c r="J178" s="752" t="s">
        <v>22</v>
      </c>
      <c r="K178" s="785" t="s">
        <v>23</v>
      </c>
      <c r="L178" s="781"/>
    </row>
    <row r="179" spans="1:12" ht="20.100000000000001" customHeight="1" x14ac:dyDescent="0.25">
      <c r="A179" s="173" t="s">
        <v>24</v>
      </c>
      <c r="B179" s="787">
        <v>0</v>
      </c>
      <c r="C179" s="175" t="s">
        <v>1399</v>
      </c>
      <c r="D179" s="787">
        <v>153025.95000000001</v>
      </c>
      <c r="E179" s="788">
        <v>4267.13</v>
      </c>
      <c r="F179" s="788">
        <v>831.65</v>
      </c>
      <c r="G179" s="787">
        <f>B179+D179-E179-F179</f>
        <v>147927.17000000001</v>
      </c>
      <c r="H179" s="789">
        <v>147927.17000000001</v>
      </c>
      <c r="I179" s="178">
        <f t="shared" ref="I179:I186" si="55">H179/G179*100</f>
        <v>100</v>
      </c>
      <c r="J179" s="789">
        <f>G179-H179</f>
        <v>0</v>
      </c>
      <c r="K179" s="179">
        <f>J179/G179*100</f>
        <v>0</v>
      </c>
    </row>
    <row r="180" spans="1:12" ht="20.100000000000001" customHeight="1" x14ac:dyDescent="0.25">
      <c r="A180" s="173" t="s">
        <v>26</v>
      </c>
      <c r="B180" s="787">
        <v>0</v>
      </c>
      <c r="C180" s="175" t="s">
        <v>1400</v>
      </c>
      <c r="D180" s="787">
        <v>2748536.23</v>
      </c>
      <c r="E180" s="788">
        <v>0</v>
      </c>
      <c r="F180" s="788">
        <v>0</v>
      </c>
      <c r="G180" s="787">
        <f t="shared" ref="G180:G181" si="56">B180+D180-E180-F180</f>
        <v>2748536.23</v>
      </c>
      <c r="H180" s="789">
        <v>2747883.36</v>
      </c>
      <c r="I180" s="178">
        <f t="shared" si="55"/>
        <v>99.976246629283111</v>
      </c>
      <c r="J180" s="789">
        <f t="shared" ref="J180:J185" si="57">G180-H180</f>
        <v>652.87000000011176</v>
      </c>
      <c r="K180" s="179">
        <f t="shared" ref="K180:K186" si="58">J180/G180*100</f>
        <v>2.3753370716896528E-2</v>
      </c>
    </row>
    <row r="181" spans="1:12" ht="20.100000000000001" customHeight="1" x14ac:dyDescent="0.25">
      <c r="A181" s="173" t="s">
        <v>28</v>
      </c>
      <c r="B181" s="787">
        <v>0</v>
      </c>
      <c r="C181" s="175" t="s">
        <v>1401</v>
      </c>
      <c r="D181" s="787">
        <v>552679.82999999996</v>
      </c>
      <c r="E181" s="788">
        <v>0</v>
      </c>
      <c r="F181" s="788">
        <v>7611.21</v>
      </c>
      <c r="G181" s="787">
        <f t="shared" si="56"/>
        <v>545068.62</v>
      </c>
      <c r="H181" s="789">
        <v>545068.62</v>
      </c>
      <c r="I181" s="178">
        <f t="shared" si="55"/>
        <v>100</v>
      </c>
      <c r="J181" s="789">
        <f t="shared" si="57"/>
        <v>0</v>
      </c>
      <c r="K181" s="179">
        <f t="shared" si="58"/>
        <v>0</v>
      </c>
    </row>
    <row r="182" spans="1:12" ht="20.100000000000001" customHeight="1" x14ac:dyDescent="0.25">
      <c r="A182" s="173" t="s">
        <v>30</v>
      </c>
      <c r="B182" s="787">
        <v>0</v>
      </c>
      <c r="C182" s="175" t="s">
        <v>1402</v>
      </c>
      <c r="D182" s="787">
        <v>712508.55</v>
      </c>
      <c r="E182" s="788">
        <v>0</v>
      </c>
      <c r="F182" s="788">
        <v>1952.15</v>
      </c>
      <c r="G182" s="787">
        <f>B182+D182-E182-F182</f>
        <v>710556.4</v>
      </c>
      <c r="H182" s="789">
        <v>710556.4</v>
      </c>
      <c r="I182" s="178">
        <f t="shared" si="55"/>
        <v>100</v>
      </c>
      <c r="J182" s="789">
        <f t="shared" si="57"/>
        <v>0</v>
      </c>
      <c r="K182" s="179">
        <f t="shared" si="58"/>
        <v>0</v>
      </c>
    </row>
    <row r="183" spans="1:12" ht="20.100000000000001" customHeight="1" x14ac:dyDescent="0.25">
      <c r="A183" s="173" t="s">
        <v>32</v>
      </c>
      <c r="B183" s="787">
        <v>0</v>
      </c>
      <c r="C183" s="175" t="s">
        <v>1403</v>
      </c>
      <c r="D183" s="787">
        <v>122472.03</v>
      </c>
      <c r="E183" s="788">
        <v>0</v>
      </c>
      <c r="F183" s="788">
        <v>67482.73</v>
      </c>
      <c r="G183" s="787">
        <f>B183+D183-E183-F183</f>
        <v>54989.3</v>
      </c>
      <c r="H183" s="789">
        <v>54989.3</v>
      </c>
      <c r="I183" s="178">
        <f t="shared" si="55"/>
        <v>100</v>
      </c>
      <c r="J183" s="789">
        <f t="shared" si="57"/>
        <v>0</v>
      </c>
      <c r="K183" s="179">
        <f t="shared" si="58"/>
        <v>0</v>
      </c>
    </row>
    <row r="184" spans="1:12" ht="20.100000000000001" customHeight="1" x14ac:dyDescent="0.25">
      <c r="A184" s="180" t="s">
        <v>34</v>
      </c>
      <c r="B184" s="181">
        <v>0</v>
      </c>
      <c r="C184" s="182" t="s">
        <v>1400</v>
      </c>
      <c r="D184" s="181">
        <v>129380.45</v>
      </c>
      <c r="E184" s="386">
        <v>0</v>
      </c>
      <c r="F184" s="788">
        <v>0</v>
      </c>
      <c r="G184" s="181">
        <f t="shared" ref="G184:G185" si="59">B184+D184-E184-F184</f>
        <v>129380.45</v>
      </c>
      <c r="H184" s="184">
        <v>129380.45</v>
      </c>
      <c r="I184" s="178">
        <f t="shared" si="55"/>
        <v>100</v>
      </c>
      <c r="J184" s="789">
        <f t="shared" si="57"/>
        <v>0</v>
      </c>
      <c r="K184" s="179">
        <f t="shared" si="58"/>
        <v>0</v>
      </c>
    </row>
    <row r="185" spans="1:12" ht="16.5" x14ac:dyDescent="0.25">
      <c r="A185" s="180" t="s">
        <v>35</v>
      </c>
      <c r="B185" s="181">
        <v>0</v>
      </c>
      <c r="C185" s="182" t="s">
        <v>1404</v>
      </c>
      <c r="D185" s="181">
        <v>200947.87</v>
      </c>
      <c r="E185" s="386">
        <v>0</v>
      </c>
      <c r="F185" s="788">
        <v>3298.79</v>
      </c>
      <c r="G185" s="181">
        <f t="shared" si="59"/>
        <v>197649.08</v>
      </c>
      <c r="H185" s="184">
        <f>B185+D185-E185-F185</f>
        <v>197649.08</v>
      </c>
      <c r="I185" s="178">
        <f t="shared" si="55"/>
        <v>100</v>
      </c>
      <c r="J185" s="789">
        <f t="shared" si="57"/>
        <v>0</v>
      </c>
      <c r="K185" s="531">
        <f t="shared" si="58"/>
        <v>0</v>
      </c>
    </row>
    <row r="186" spans="1:12" ht="20.100000000000001" customHeight="1" thickBot="1" x14ac:dyDescent="0.3">
      <c r="A186" s="763" t="s">
        <v>36</v>
      </c>
      <c r="B186" s="764">
        <f>SUM(B179:B185)</f>
        <v>0</v>
      </c>
      <c r="C186" s="185"/>
      <c r="D186" s="764">
        <f>SUM(D179:D185)</f>
        <v>4619550.9100000011</v>
      </c>
      <c r="E186" s="765">
        <f>SUM(E179:E185)</f>
        <v>4267.13</v>
      </c>
      <c r="F186" s="765">
        <f>SUM(F179:F185)</f>
        <v>81176.529999999984</v>
      </c>
      <c r="G186" s="764">
        <f>SUM(G179:G185)</f>
        <v>4534107.25</v>
      </c>
      <c r="H186" s="766">
        <f>SUM(H179:H185)</f>
        <v>4533454.38</v>
      </c>
      <c r="I186" s="532">
        <f t="shared" si="55"/>
        <v>99.985600914049826</v>
      </c>
      <c r="J186" s="766">
        <f>SUM(J179:J185)</f>
        <v>652.87000000011176</v>
      </c>
      <c r="K186" s="533">
        <f t="shared" si="58"/>
        <v>1.4399085950163879E-2</v>
      </c>
    </row>
    <row r="187" spans="1:12" ht="20.100000000000001" customHeight="1" thickTop="1" x14ac:dyDescent="0.25">
      <c r="A187" s="793"/>
      <c r="B187" s="794"/>
      <c r="C187" s="369"/>
      <c r="D187" s="794"/>
      <c r="E187" s="362"/>
      <c r="F187" s="362"/>
      <c r="G187" s="794"/>
      <c r="H187" s="365"/>
      <c r="I187" s="365"/>
      <c r="J187" s="365"/>
      <c r="K187" s="362"/>
    </row>
    <row r="188" spans="1:12" ht="20.100000000000001" customHeight="1" x14ac:dyDescent="0.25">
      <c r="A188" s="767" t="s">
        <v>37</v>
      </c>
      <c r="B188" s="138" t="s">
        <v>26</v>
      </c>
      <c r="C188" s="359"/>
      <c r="D188" s="889">
        <v>652.87</v>
      </c>
      <c r="E188" s="188" t="s">
        <v>1405</v>
      </c>
      <c r="F188" s="188"/>
      <c r="G188" s="780"/>
      <c r="H188" s="804"/>
      <c r="I188" s="797"/>
      <c r="J188" s="754"/>
      <c r="K188" s="781"/>
    </row>
    <row r="189" spans="1:12" ht="20.100000000000001" customHeight="1" thickBot="1" x14ac:dyDescent="0.3">
      <c r="A189" s="767"/>
      <c r="B189" s="781"/>
      <c r="C189" s="359"/>
      <c r="D189" s="514">
        <f>SUM(D188)</f>
        <v>652.87</v>
      </c>
      <c r="E189" s="780"/>
      <c r="F189" s="780"/>
      <c r="G189" s="780"/>
      <c r="H189" s="804"/>
      <c r="I189" s="797"/>
      <c r="J189" s="754"/>
      <c r="K189" s="781"/>
    </row>
    <row r="190" spans="1:12" ht="20.100000000000001" customHeight="1" thickTop="1" x14ac:dyDescent="0.25">
      <c r="A190" s="781"/>
      <c r="B190" s="781"/>
      <c r="C190" s="359"/>
      <c r="D190" s="780"/>
      <c r="E190" s="780"/>
      <c r="F190" s="780"/>
      <c r="G190" s="780"/>
      <c r="H190" s="797"/>
      <c r="I190" s="754"/>
      <c r="J190" s="755"/>
      <c r="K190" s="781"/>
    </row>
    <row r="191" spans="1:12" ht="20.100000000000001" customHeight="1" x14ac:dyDescent="0.25">
      <c r="A191" s="140"/>
      <c r="B191" s="21"/>
      <c r="C191" s="42"/>
      <c r="E191" s="68"/>
      <c r="F191" s="68"/>
      <c r="H191" s="57"/>
      <c r="I191" s="75"/>
      <c r="J191" s="57"/>
      <c r="K191" s="139"/>
    </row>
    <row r="192" spans="1:12" ht="16.5" x14ac:dyDescent="0.25">
      <c r="A192" s="140"/>
      <c r="B192" s="21"/>
      <c r="C192" s="42"/>
      <c r="E192" s="68"/>
      <c r="F192" s="68"/>
      <c r="H192" s="57"/>
      <c r="I192" s="75"/>
      <c r="J192" s="57"/>
      <c r="K192" s="139"/>
    </row>
    <row r="193" spans="1:11" ht="20.100000000000001" customHeight="1" x14ac:dyDescent="0.25">
      <c r="A193" s="27"/>
      <c r="B193" s="28"/>
      <c r="C193" s="44"/>
      <c r="D193" s="28"/>
      <c r="E193" s="29"/>
      <c r="F193" s="29"/>
      <c r="G193" s="28"/>
      <c r="H193" s="35"/>
      <c r="I193" s="141"/>
      <c r="J193" s="35"/>
      <c r="K193" s="142"/>
    </row>
    <row r="194" spans="1:11" ht="20.100000000000001" customHeight="1" x14ac:dyDescent="0.25">
      <c r="A194" s="27"/>
      <c r="B194" s="28"/>
      <c r="C194" s="44"/>
      <c r="D194" s="28"/>
      <c r="E194" s="29"/>
      <c r="F194" s="29"/>
      <c r="G194" s="28"/>
      <c r="H194" s="35"/>
      <c r="I194" s="35"/>
      <c r="J194" s="35"/>
      <c r="K194" s="29"/>
    </row>
    <row r="195" spans="1:11" ht="20.100000000000001" customHeight="1" x14ac:dyDescent="0.25">
      <c r="A195" s="133"/>
      <c r="D195" s="57"/>
      <c r="E195" s="21"/>
      <c r="F195" s="21"/>
      <c r="I195" s="19"/>
      <c r="J195" s="20"/>
      <c r="K195" s="18"/>
    </row>
    <row r="196" spans="1:11" ht="20.100000000000001" customHeight="1" x14ac:dyDescent="0.25">
      <c r="B196" s="23"/>
      <c r="C196" s="42"/>
      <c r="E196" s="21"/>
      <c r="F196" s="21"/>
      <c r="K196" s="18"/>
    </row>
    <row r="197" spans="1:11" ht="20.100000000000001" customHeight="1" x14ac:dyDescent="0.25">
      <c r="D197" s="47"/>
      <c r="E197" s="21"/>
      <c r="F197" s="21"/>
      <c r="K197" s="18"/>
    </row>
    <row r="198" spans="1:11" ht="20.100000000000001" customHeight="1" x14ac:dyDescent="0.25">
      <c r="D198" s="47"/>
      <c r="E198" s="21"/>
      <c r="F198" s="21"/>
      <c r="K198" s="18"/>
    </row>
    <row r="199" spans="1:11" ht="20.100000000000001" customHeight="1" x14ac:dyDescent="0.25">
      <c r="D199" s="47"/>
      <c r="E199" s="21"/>
      <c r="F199" s="21"/>
      <c r="K199" s="18"/>
    </row>
    <row r="200" spans="1:11" ht="20.100000000000001" customHeight="1" x14ac:dyDescent="0.25">
      <c r="A200" s="33"/>
      <c r="B200" s="33"/>
      <c r="C200" s="152"/>
      <c r="D200" s="904"/>
      <c r="E200" s="904"/>
      <c r="F200" s="904"/>
      <c r="G200" s="38"/>
      <c r="K200" s="33"/>
    </row>
    <row r="201" spans="1:11" ht="20.100000000000001" customHeight="1" x14ac:dyDescent="0.25">
      <c r="E201" s="21"/>
      <c r="F201" s="21"/>
      <c r="K201" s="18"/>
    </row>
    <row r="202" spans="1:11" ht="16.5" x14ac:dyDescent="0.25">
      <c r="A202" s="72"/>
      <c r="B202" s="72"/>
      <c r="C202" s="72"/>
      <c r="D202" s="73"/>
      <c r="E202" s="73"/>
      <c r="F202" s="73"/>
      <c r="G202" s="72"/>
      <c r="H202" s="74"/>
      <c r="I202" s="74"/>
      <c r="J202" s="74"/>
      <c r="K202" s="73"/>
    </row>
    <row r="203" spans="1:11" ht="20.100000000000001" customHeight="1" x14ac:dyDescent="0.25">
      <c r="A203" s="138"/>
      <c r="B203" s="21"/>
      <c r="C203" s="42"/>
      <c r="E203" s="68"/>
      <c r="F203" s="68"/>
      <c r="H203" s="57"/>
      <c r="I203" s="75"/>
      <c r="J203" s="57"/>
      <c r="K203" s="139"/>
    </row>
    <row r="204" spans="1:11" ht="20.100000000000001" customHeight="1" x14ac:dyDescent="0.25">
      <c r="A204" s="138"/>
      <c r="B204" s="21"/>
      <c r="C204" s="42"/>
      <c r="E204" s="68"/>
      <c r="F204" s="68"/>
      <c r="H204" s="57"/>
      <c r="I204" s="75"/>
      <c r="J204" s="57"/>
      <c r="K204" s="139"/>
    </row>
    <row r="205" spans="1:11" ht="20.100000000000001" customHeight="1" x14ac:dyDescent="0.25">
      <c r="A205" s="138"/>
      <c r="B205" s="21"/>
      <c r="C205" s="42"/>
      <c r="E205" s="68"/>
      <c r="F205" s="68"/>
      <c r="H205" s="57"/>
      <c r="I205" s="75"/>
      <c r="J205" s="57"/>
      <c r="K205" s="139"/>
    </row>
    <row r="206" spans="1:11" ht="20.100000000000001" customHeight="1" x14ac:dyDescent="0.25">
      <c r="A206" s="138"/>
      <c r="B206" s="21"/>
      <c r="C206" s="42"/>
      <c r="E206" s="68"/>
      <c r="F206" s="68"/>
      <c r="H206" s="57"/>
      <c r="I206" s="75"/>
      <c r="J206" s="57"/>
      <c r="K206" s="139"/>
    </row>
    <row r="207" spans="1:11" ht="20.100000000000001" customHeight="1" x14ac:dyDescent="0.25">
      <c r="A207" s="138"/>
      <c r="B207" s="21"/>
      <c r="C207" s="42"/>
      <c r="E207" s="68"/>
      <c r="F207" s="68"/>
      <c r="H207" s="57"/>
      <c r="I207" s="75"/>
      <c r="J207" s="57"/>
      <c r="K207" s="139"/>
    </row>
    <row r="208" spans="1:11" ht="20.100000000000001" customHeight="1" x14ac:dyDescent="0.25">
      <c r="A208" s="140"/>
      <c r="B208" s="21"/>
      <c r="C208" s="42"/>
      <c r="E208" s="68"/>
      <c r="F208" s="68"/>
      <c r="H208" s="57"/>
      <c r="I208" s="75"/>
      <c r="J208" s="57"/>
      <c r="K208" s="139"/>
    </row>
    <row r="209" spans="1:11" ht="20.100000000000001" customHeight="1" x14ac:dyDescent="0.25">
      <c r="A209" s="140"/>
      <c r="B209" s="21"/>
      <c r="C209" s="42"/>
      <c r="E209" s="68"/>
      <c r="F209" s="68"/>
      <c r="H209" s="57"/>
      <c r="I209" s="75"/>
      <c r="J209" s="57"/>
      <c r="K209" s="139"/>
    </row>
    <row r="210" spans="1:11" ht="20.100000000000001" customHeight="1" x14ac:dyDescent="0.25">
      <c r="A210" s="27"/>
      <c r="B210" s="28"/>
      <c r="C210" s="44"/>
      <c r="D210" s="28"/>
      <c r="E210" s="29"/>
      <c r="F210" s="29"/>
      <c r="G210" s="28"/>
      <c r="H210" s="35"/>
      <c r="I210" s="141"/>
      <c r="J210" s="35"/>
      <c r="K210" s="142"/>
    </row>
    <row r="211" spans="1:11" ht="16.5" x14ac:dyDescent="0.25">
      <c r="A211" s="27"/>
      <c r="B211" s="28"/>
      <c r="C211" s="44"/>
      <c r="D211" s="28"/>
      <c r="E211" s="29"/>
      <c r="F211" s="29"/>
      <c r="G211" s="28"/>
      <c r="H211" s="35"/>
      <c r="I211" s="35"/>
      <c r="J211" s="35"/>
      <c r="K211" s="29"/>
    </row>
    <row r="212" spans="1:11" ht="20.100000000000001" customHeight="1" x14ac:dyDescent="0.25">
      <c r="A212" s="133"/>
      <c r="D212" s="57"/>
      <c r="E212" s="21"/>
      <c r="F212" s="21"/>
      <c r="I212" s="19"/>
      <c r="J212" s="20"/>
      <c r="K212" s="18"/>
    </row>
    <row r="213" spans="1:11" ht="20.100000000000001" customHeight="1" x14ac:dyDescent="0.25">
      <c r="B213" s="23"/>
      <c r="C213" s="42"/>
      <c r="E213" s="21"/>
      <c r="F213" s="21"/>
      <c r="K213" s="18"/>
    </row>
    <row r="214" spans="1:11" ht="20.100000000000001" customHeight="1" x14ac:dyDescent="0.25">
      <c r="D214" s="47"/>
      <c r="E214" s="21"/>
      <c r="F214" s="21"/>
      <c r="K214" s="18"/>
    </row>
    <row r="215" spans="1:11" ht="20.100000000000001" customHeight="1" x14ac:dyDescent="0.25">
      <c r="E215" s="21"/>
      <c r="F215" s="21"/>
      <c r="K215" s="18"/>
    </row>
    <row r="216" spans="1:11" ht="20.100000000000001" customHeight="1" x14ac:dyDescent="0.25">
      <c r="E216" s="21"/>
      <c r="F216" s="21"/>
      <c r="K216" s="18"/>
    </row>
    <row r="217" spans="1:11" ht="20.100000000000001" customHeight="1" x14ac:dyDescent="0.25">
      <c r="A217" s="153"/>
      <c r="B217" s="21"/>
      <c r="C217" s="42"/>
      <c r="E217" s="68"/>
      <c r="F217" s="68"/>
      <c r="H217" s="57"/>
      <c r="I217" s="75"/>
      <c r="J217" s="57"/>
      <c r="K217" s="139"/>
    </row>
    <row r="218" spans="1:11" ht="20.100000000000001" customHeight="1" x14ac:dyDescent="0.25">
      <c r="A218" s="140"/>
      <c r="B218" s="21"/>
      <c r="C218" s="42"/>
      <c r="E218" s="68"/>
      <c r="F218" s="68"/>
      <c r="H218" s="57"/>
      <c r="I218" s="75"/>
      <c r="J218" s="57"/>
      <c r="K218" s="139"/>
    </row>
    <row r="219" spans="1:11" ht="20.100000000000001" customHeight="1" x14ac:dyDescent="0.25">
      <c r="A219" s="140"/>
      <c r="B219" s="21"/>
      <c r="C219" s="42"/>
      <c r="E219" s="68"/>
      <c r="F219" s="68"/>
      <c r="H219" s="57"/>
      <c r="I219" s="75"/>
      <c r="J219" s="57"/>
      <c r="K219" s="139"/>
    </row>
    <row r="220" spans="1:11" ht="20.100000000000001" customHeight="1" x14ac:dyDescent="0.25">
      <c r="A220" s="27"/>
      <c r="B220" s="28"/>
      <c r="C220" s="44"/>
      <c r="D220" s="28"/>
      <c r="E220" s="29"/>
      <c r="F220" s="29"/>
      <c r="G220" s="28"/>
      <c r="H220" s="35"/>
      <c r="I220" s="141"/>
      <c r="J220" s="35"/>
      <c r="K220" s="142"/>
    </row>
    <row r="221" spans="1:11" ht="20.100000000000001" customHeight="1" x14ac:dyDescent="0.25">
      <c r="A221" s="27"/>
      <c r="B221" s="28"/>
      <c r="C221" s="44"/>
      <c r="D221" s="28"/>
      <c r="E221" s="29"/>
      <c r="F221" s="29"/>
      <c r="G221" s="28"/>
      <c r="H221" s="35"/>
      <c r="I221" s="35"/>
      <c r="J221" s="35"/>
      <c r="K221" s="29"/>
    </row>
    <row r="222" spans="1:11" ht="20.100000000000001" customHeight="1" x14ac:dyDescent="0.25">
      <c r="A222" s="133"/>
      <c r="B222" s="23"/>
      <c r="C222" s="123"/>
      <c r="E222" s="21"/>
      <c r="F222" s="21"/>
      <c r="I222" s="19"/>
      <c r="J222" s="20"/>
      <c r="K222" s="18"/>
    </row>
    <row r="223" spans="1:11" ht="20.100000000000001" customHeight="1" x14ac:dyDescent="0.25">
      <c r="B223" s="23"/>
      <c r="C223" s="42"/>
      <c r="D223" s="57"/>
      <c r="E223" s="21"/>
      <c r="F223" s="21"/>
      <c r="K223" s="18"/>
    </row>
    <row r="224" spans="1:11" ht="20.100000000000001" customHeight="1" x14ac:dyDescent="0.25">
      <c r="D224" s="47"/>
      <c r="E224" s="21"/>
      <c r="F224" s="21"/>
      <c r="K224" s="18"/>
    </row>
    <row r="225" spans="5:11" ht="20.100000000000001" customHeight="1" x14ac:dyDescent="0.25">
      <c r="E225" s="21"/>
      <c r="F225" s="21"/>
      <c r="K225" s="18"/>
    </row>
    <row r="226" spans="5:11" ht="20.100000000000001" customHeight="1" x14ac:dyDescent="0.25">
      <c r="E226" s="21"/>
      <c r="F226" s="21"/>
      <c r="K226" s="18"/>
    </row>
  </sheetData>
  <mergeCells count="13">
    <mergeCell ref="D102:F102"/>
    <mergeCell ref="D200:F200"/>
    <mergeCell ref="D115:F115"/>
    <mergeCell ref="D131:F131"/>
    <mergeCell ref="D146:F146"/>
    <mergeCell ref="D163:F163"/>
    <mergeCell ref="D176:F176"/>
    <mergeCell ref="D83:F83"/>
    <mergeCell ref="D1:F1"/>
    <mergeCell ref="D18:F18"/>
    <mergeCell ref="D34:F34"/>
    <mergeCell ref="D50:F50"/>
    <mergeCell ref="D66:F66"/>
  </mergeCells>
  <printOptions horizontalCentered="1"/>
  <pageMargins left="0.3" right="0.3" top="0.7" bottom="0.7" header="0.3" footer="0.3"/>
  <pageSetup scale="60" fitToHeight="0" orientation="landscape" verticalDpi="180" r:id="rId1"/>
  <headerFooter>
    <oddHeader>&amp;F</oddHeader>
    <oddFooter>&amp;A&amp;RPage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opLeftCell="A233" workbookViewId="0">
      <selection activeCell="F255" sqref="F255"/>
    </sheetView>
  </sheetViews>
  <sheetFormatPr defaultRowHeight="20.100000000000001" customHeight="1" x14ac:dyDescent="0.3"/>
  <cols>
    <col min="1" max="1" width="30.7109375" style="210" customWidth="1"/>
    <col min="2" max="10" width="20.7109375" style="210" customWidth="1"/>
    <col min="11" max="16384" width="9.140625" style="210"/>
  </cols>
  <sheetData>
    <row r="1" spans="1:10" s="354" customFormat="1" ht="20.100000000000001" customHeight="1" x14ac:dyDescent="0.25">
      <c r="A1" s="905" t="s">
        <v>239</v>
      </c>
      <c r="B1" s="905"/>
      <c r="C1" s="905"/>
      <c r="D1" s="905"/>
      <c r="E1" s="905"/>
      <c r="F1" s="905"/>
      <c r="G1" s="905"/>
      <c r="H1" s="905"/>
      <c r="I1" s="905"/>
      <c r="J1" s="905"/>
    </row>
    <row r="2" spans="1:10" s="354" customFormat="1" ht="20.100000000000001" customHeight="1" thickBot="1" x14ac:dyDescent="0.3">
      <c r="A2" s="907"/>
      <c r="B2" s="907"/>
      <c r="C2" s="907"/>
      <c r="D2" s="907"/>
      <c r="E2" s="907"/>
      <c r="F2" s="907"/>
      <c r="G2" s="907"/>
      <c r="H2" s="907"/>
      <c r="I2" s="907"/>
      <c r="J2" s="907"/>
    </row>
    <row r="3" spans="1:10" s="354" customFormat="1" ht="52.5" customHeight="1" x14ac:dyDescent="0.25">
      <c r="A3" s="477" t="s">
        <v>13</v>
      </c>
      <c r="B3" s="478" t="s">
        <v>40</v>
      </c>
      <c r="C3" s="478" t="s">
        <v>240</v>
      </c>
      <c r="D3" s="478" t="s">
        <v>42</v>
      </c>
      <c r="E3" s="478" t="s">
        <v>43</v>
      </c>
      <c r="F3" s="478" t="s">
        <v>44</v>
      </c>
      <c r="G3" s="478" t="s">
        <v>20</v>
      </c>
      <c r="H3" s="478" t="s">
        <v>45</v>
      </c>
      <c r="I3" s="478" t="s">
        <v>22</v>
      </c>
      <c r="J3" s="478" t="s">
        <v>46</v>
      </c>
    </row>
    <row r="4" spans="1:10" s="354" customFormat="1" ht="20.100000000000001" customHeight="1" x14ac:dyDescent="0.25">
      <c r="A4" s="481" t="s">
        <v>47</v>
      </c>
      <c r="B4" s="238">
        <v>1667146.49</v>
      </c>
      <c r="C4" s="238">
        <v>2827593.7</v>
      </c>
      <c r="D4" s="238"/>
      <c r="E4" s="482">
        <v>179284.77</v>
      </c>
      <c r="F4" s="238">
        <f>B4+C4-D4-E4</f>
        <v>4315455.4200000009</v>
      </c>
      <c r="G4" s="238">
        <v>1004862.16</v>
      </c>
      <c r="H4" s="238">
        <f>+G4/F4*100</f>
        <v>23.285193848671476</v>
      </c>
      <c r="I4" s="238">
        <f>F4-G4</f>
        <v>3310593.2600000007</v>
      </c>
      <c r="J4" s="430">
        <f>+I4/F4*100</f>
        <v>76.714806151328517</v>
      </c>
    </row>
    <row r="5" spans="1:10" s="354" customFormat="1" ht="20.100000000000001" customHeight="1" thickBot="1" x14ac:dyDescent="0.3">
      <c r="A5" s="479" t="s">
        <v>48</v>
      </c>
      <c r="B5" s="480">
        <f>SUM(B4)</f>
        <v>1667146.49</v>
      </c>
      <c r="C5" s="480">
        <f>SUM(C4)</f>
        <v>2827593.7</v>
      </c>
      <c r="D5" s="480">
        <v>0</v>
      </c>
      <c r="E5" s="421">
        <f>SUM(E4)</f>
        <v>179284.77</v>
      </c>
      <c r="F5" s="480">
        <f>SUM(F4)</f>
        <v>4315455.4200000009</v>
      </c>
      <c r="G5" s="480">
        <f>SUM(G4)</f>
        <v>1004862.16</v>
      </c>
      <c r="H5" s="480">
        <f>+G5/F5*100</f>
        <v>23.285193848671476</v>
      </c>
      <c r="I5" s="480">
        <f>SUM(I4)</f>
        <v>3310593.2600000007</v>
      </c>
      <c r="J5" s="480">
        <f>+I5/F5*100</f>
        <v>76.714806151328517</v>
      </c>
    </row>
    <row r="6" spans="1:10" s="354" customFormat="1" ht="50.25" customHeight="1" thickTop="1" x14ac:dyDescent="0.25">
      <c r="A6" s="483" t="s">
        <v>49</v>
      </c>
      <c r="B6" s="484" t="s">
        <v>40</v>
      </c>
      <c r="C6" s="484" t="s">
        <v>241</v>
      </c>
      <c r="D6" s="484" t="s">
        <v>42</v>
      </c>
      <c r="E6" s="484" t="s">
        <v>43</v>
      </c>
      <c r="F6" s="484" t="s">
        <v>44</v>
      </c>
      <c r="G6" s="484" t="s">
        <v>20</v>
      </c>
      <c r="H6" s="484" t="s">
        <v>45</v>
      </c>
      <c r="I6" s="484" t="s">
        <v>22</v>
      </c>
      <c r="J6" s="485" t="s">
        <v>46</v>
      </c>
    </row>
    <row r="7" spans="1:10" s="354" customFormat="1" ht="20.100000000000001" customHeight="1" x14ac:dyDescent="0.25">
      <c r="A7" s="481" t="s">
        <v>50</v>
      </c>
      <c r="B7" s="238">
        <v>838072.36</v>
      </c>
      <c r="C7" s="238">
        <v>3666414.7</v>
      </c>
      <c r="D7" s="238">
        <v>0</v>
      </c>
      <c r="E7" s="482"/>
      <c r="F7" s="238">
        <f>B7+C7-D7-E7</f>
        <v>4504487.0600000005</v>
      </c>
      <c r="G7" s="238">
        <v>3384115.32</v>
      </c>
      <c r="H7" s="238">
        <f>+G7/F7*100</f>
        <v>75.127651049351655</v>
      </c>
      <c r="I7" s="238">
        <f>+F7-G7</f>
        <v>1120371.7400000007</v>
      </c>
      <c r="J7" s="238">
        <f>+I7/F7*100</f>
        <v>24.872348950648345</v>
      </c>
    </row>
    <row r="8" spans="1:10" s="354" customFormat="1" ht="20.100000000000001" customHeight="1" thickBot="1" x14ac:dyDescent="0.3">
      <c r="A8" s="486" t="s">
        <v>51</v>
      </c>
      <c r="B8" s="480">
        <f t="shared" ref="B8:G8" si="0">SUM(B7:B7)</f>
        <v>838072.36</v>
      </c>
      <c r="C8" s="480">
        <f t="shared" si="0"/>
        <v>3666414.7</v>
      </c>
      <c r="D8" s="480">
        <f t="shared" si="0"/>
        <v>0</v>
      </c>
      <c r="E8" s="421">
        <f t="shared" si="0"/>
        <v>0</v>
      </c>
      <c r="F8" s="480">
        <f t="shared" si="0"/>
        <v>4504487.0600000005</v>
      </c>
      <c r="G8" s="480">
        <f t="shared" si="0"/>
        <v>3384115.32</v>
      </c>
      <c r="H8" s="480">
        <f>+G8/F8*100</f>
        <v>75.127651049351655</v>
      </c>
      <c r="I8" s="480">
        <f>SUM(I7:I7)</f>
        <v>1120371.7400000007</v>
      </c>
      <c r="J8" s="480">
        <f>+I8/F8*100</f>
        <v>24.872348950648345</v>
      </c>
    </row>
    <row r="9" spans="1:10" s="437" customFormat="1" ht="20.100000000000001" customHeight="1" thickTop="1" thickBot="1" x14ac:dyDescent="0.3">
      <c r="A9" s="529" t="s">
        <v>36</v>
      </c>
      <c r="B9" s="530">
        <f>SUM(B8,B5)</f>
        <v>2505218.85</v>
      </c>
      <c r="C9" s="530">
        <f>SUM(C8,C5)</f>
        <v>6494008.4000000004</v>
      </c>
      <c r="D9" s="530">
        <f>+D5+D8</f>
        <v>0</v>
      </c>
      <c r="E9" s="530">
        <f>SUM(E8,E5)</f>
        <v>179284.77</v>
      </c>
      <c r="F9" s="530">
        <f>SUM(F8,F5)</f>
        <v>8819942.4800000004</v>
      </c>
      <c r="G9" s="530">
        <f>SUM(G8,G5)</f>
        <v>4388977.4799999995</v>
      </c>
      <c r="H9" s="530">
        <f>+G9/F9*100</f>
        <v>49.761973957907259</v>
      </c>
      <c r="I9" s="530">
        <f>SUM(I8,I5)</f>
        <v>4430965.0000000019</v>
      </c>
      <c r="J9" s="530">
        <f>+I9/F9*100</f>
        <v>50.238026042092756</v>
      </c>
    </row>
    <row r="10" spans="1:10" s="354" customFormat="1" ht="20.100000000000001" customHeight="1" thickTop="1" x14ac:dyDescent="0.3">
      <c r="A10" s="131"/>
      <c r="B10" s="132"/>
      <c r="C10" s="132"/>
      <c r="D10" s="132"/>
      <c r="E10" s="132"/>
      <c r="F10" s="132"/>
      <c r="G10" s="132"/>
      <c r="H10" s="132"/>
      <c r="I10" s="132"/>
      <c r="J10" s="132"/>
    </row>
    <row r="11" spans="1:10" s="354" customFormat="1" ht="20.100000000000001" customHeight="1" x14ac:dyDescent="0.25">
      <c r="A11" s="363" t="s">
        <v>37</v>
      </c>
      <c r="C11" s="357"/>
      <c r="D11" s="357"/>
      <c r="E11" s="357"/>
      <c r="F11" s="357"/>
      <c r="G11" s="357"/>
      <c r="H11" s="22"/>
      <c r="I11" s="357"/>
    </row>
    <row r="12" spans="1:10" s="354" customFormat="1" ht="20.100000000000001" customHeight="1" x14ac:dyDescent="0.25">
      <c r="C12" s="136" t="s">
        <v>52</v>
      </c>
      <c r="D12" s="357"/>
      <c r="E12" s="357"/>
      <c r="F12" s="357"/>
      <c r="G12" s="357"/>
      <c r="H12" s="22"/>
      <c r="I12" s="357"/>
    </row>
    <row r="13" spans="1:10" s="354" customFormat="1" ht="20.100000000000001" customHeight="1" x14ac:dyDescent="0.25">
      <c r="A13" s="134" t="s">
        <v>53</v>
      </c>
      <c r="B13" s="25" t="s">
        <v>242</v>
      </c>
      <c r="C13" s="476">
        <v>672018.48</v>
      </c>
      <c r="D13" s="357" t="s">
        <v>55</v>
      </c>
      <c r="E13" s="357" t="s">
        <v>243</v>
      </c>
      <c r="F13" s="357"/>
      <c r="G13" s="357"/>
      <c r="H13" s="22"/>
      <c r="I13" s="357"/>
    </row>
    <row r="14" spans="1:10" s="354" customFormat="1" ht="20.100000000000001" customHeight="1" x14ac:dyDescent="0.3">
      <c r="A14" s="131"/>
      <c r="B14" s="132" t="s">
        <v>244</v>
      </c>
      <c r="C14" s="407">
        <v>995128.01</v>
      </c>
      <c r="D14" s="357" t="s">
        <v>55</v>
      </c>
      <c r="E14" s="132" t="s">
        <v>245</v>
      </c>
      <c r="F14" s="132"/>
      <c r="G14" s="132"/>
      <c r="H14" s="132"/>
      <c r="I14" s="132"/>
      <c r="J14" s="132"/>
    </row>
    <row r="15" spans="1:10" s="131" customFormat="1" ht="20.100000000000001" customHeight="1" x14ac:dyDescent="0.3">
      <c r="B15" s="132" t="s">
        <v>246</v>
      </c>
      <c r="C15" s="407">
        <v>1643446.77</v>
      </c>
      <c r="D15" s="357" t="s">
        <v>55</v>
      </c>
      <c r="E15" s="132" t="s">
        <v>247</v>
      </c>
      <c r="F15" s="132"/>
      <c r="G15" s="132"/>
      <c r="H15" s="132"/>
      <c r="I15" s="132"/>
      <c r="J15" s="132"/>
    </row>
    <row r="16" spans="1:10" s="131" customFormat="1" ht="20.100000000000001" customHeight="1" thickBot="1" x14ac:dyDescent="0.35">
      <c r="B16" s="132"/>
      <c r="C16" s="408">
        <f>SUM(C13:C15)</f>
        <v>3310593.26</v>
      </c>
      <c r="D16" s="357" t="s">
        <v>55</v>
      </c>
      <c r="E16" s="132"/>
      <c r="F16" s="132"/>
      <c r="G16" s="132"/>
      <c r="H16" s="132"/>
      <c r="I16" s="132"/>
      <c r="J16" s="132"/>
    </row>
    <row r="17" spans="1:10" s="131" customFormat="1" ht="20.100000000000001" customHeight="1" thickTop="1" x14ac:dyDescent="0.3">
      <c r="A17" s="134" t="s">
        <v>248</v>
      </c>
      <c r="B17" s="132" t="s">
        <v>244</v>
      </c>
      <c r="C17" s="132">
        <v>838072.36</v>
      </c>
      <c r="D17" s="357" t="s">
        <v>55</v>
      </c>
      <c r="E17" s="132" t="s">
        <v>243</v>
      </c>
      <c r="F17" s="132"/>
      <c r="G17" s="132"/>
      <c r="H17" s="132"/>
      <c r="I17" s="132"/>
      <c r="J17" s="132"/>
    </row>
    <row r="18" spans="1:10" s="131" customFormat="1" ht="20.100000000000001" customHeight="1" x14ac:dyDescent="0.3">
      <c r="B18" s="132" t="s">
        <v>246</v>
      </c>
      <c r="C18" s="132">
        <v>282299.38</v>
      </c>
      <c r="D18" s="357" t="s">
        <v>55</v>
      </c>
      <c r="E18" s="132" t="s">
        <v>247</v>
      </c>
      <c r="F18" s="132"/>
      <c r="G18" s="132"/>
      <c r="H18" s="132"/>
      <c r="I18" s="132"/>
      <c r="J18" s="132"/>
    </row>
    <row r="19" spans="1:10" s="131" customFormat="1" ht="20.100000000000001" customHeight="1" x14ac:dyDescent="0.3">
      <c r="B19" s="132"/>
      <c r="C19" s="51">
        <f>SUM(C17:C18)</f>
        <v>1120371.74</v>
      </c>
      <c r="D19" s="357" t="s">
        <v>55</v>
      </c>
      <c r="E19" s="132"/>
      <c r="F19" s="132"/>
      <c r="G19" s="132"/>
      <c r="H19" s="132"/>
      <c r="I19" s="132"/>
      <c r="J19" s="132"/>
    </row>
    <row r="20" spans="1:10" s="131" customFormat="1" ht="20.100000000000001" customHeight="1" thickBot="1" x14ac:dyDescent="0.35">
      <c r="B20" s="132"/>
      <c r="C20" s="409">
        <f>SUM(C19,C16)</f>
        <v>4430965</v>
      </c>
      <c r="D20" s="132"/>
      <c r="E20" s="132"/>
      <c r="F20" s="132"/>
      <c r="G20" s="132"/>
      <c r="H20" s="132"/>
      <c r="I20" s="132"/>
      <c r="J20" s="132"/>
    </row>
    <row r="21" spans="1:10" s="131" customFormat="1" ht="20.100000000000001" customHeight="1" thickTop="1" x14ac:dyDescent="0.3">
      <c r="B21" s="132"/>
      <c r="C21" s="51"/>
      <c r="D21" s="132"/>
      <c r="E21" s="132"/>
      <c r="F21" s="132"/>
      <c r="G21" s="132"/>
      <c r="H21" s="132"/>
      <c r="I21" s="132"/>
      <c r="J21" s="132"/>
    </row>
    <row r="22" spans="1:10" s="108" customFormat="1" ht="20.100000000000001" customHeight="1" x14ac:dyDescent="0.3">
      <c r="A22" s="45" t="s">
        <v>249</v>
      </c>
      <c r="B22" s="60"/>
      <c r="C22" s="60"/>
      <c r="D22" s="60"/>
      <c r="E22" s="60"/>
      <c r="F22" s="60"/>
      <c r="G22" s="60"/>
      <c r="H22" s="60"/>
      <c r="I22" s="60"/>
      <c r="J22" s="60"/>
    </row>
    <row r="23" spans="1:10" s="131" customFormat="1" ht="20.100000000000001" customHeight="1" x14ac:dyDescent="0.3">
      <c r="B23" s="132"/>
      <c r="C23" s="132"/>
      <c r="D23" s="132"/>
      <c r="E23" s="132"/>
      <c r="F23" s="132"/>
      <c r="G23" s="132"/>
      <c r="H23" s="132"/>
      <c r="I23" s="132"/>
      <c r="J23" s="132"/>
    </row>
    <row r="24" spans="1:10" s="354" customFormat="1" ht="20.100000000000001" customHeight="1" x14ac:dyDescent="0.25">
      <c r="A24" s="895" t="s">
        <v>325</v>
      </c>
      <c r="B24" s="895"/>
      <c r="C24" s="895"/>
      <c r="D24" s="895"/>
      <c r="E24" s="895"/>
      <c r="F24" s="895"/>
      <c r="G24" s="895"/>
      <c r="H24" s="895"/>
      <c r="I24" s="895"/>
      <c r="J24" s="895"/>
    </row>
    <row r="25" spans="1:10" s="354" customFormat="1" ht="17.25" thickBot="1" x14ac:dyDescent="0.3">
      <c r="A25" s="896"/>
      <c r="B25" s="896"/>
      <c r="C25" s="896"/>
      <c r="D25" s="896"/>
      <c r="E25" s="896"/>
      <c r="F25" s="896"/>
      <c r="G25" s="896"/>
      <c r="H25" s="896"/>
      <c r="I25" s="896"/>
      <c r="J25" s="896"/>
    </row>
    <row r="26" spans="1:10" s="354" customFormat="1" ht="50.25" thickBot="1" x14ac:dyDescent="0.3">
      <c r="A26" s="405" t="s">
        <v>263</v>
      </c>
      <c r="B26" s="214" t="s">
        <v>40</v>
      </c>
      <c r="C26" s="214" t="s">
        <v>380</v>
      </c>
      <c r="D26" s="214" t="s">
        <v>42</v>
      </c>
      <c r="E26" s="214" t="s">
        <v>43</v>
      </c>
      <c r="F26" s="214" t="s">
        <v>44</v>
      </c>
      <c r="G26" s="214" t="s">
        <v>20</v>
      </c>
      <c r="H26" s="214" t="s">
        <v>45</v>
      </c>
      <c r="I26" s="214" t="s">
        <v>22</v>
      </c>
      <c r="J26" s="214" t="s">
        <v>46</v>
      </c>
    </row>
    <row r="27" spans="1:10" s="354" customFormat="1" ht="20.100000000000001" customHeight="1" x14ac:dyDescent="0.25">
      <c r="A27" s="231" t="s">
        <v>47</v>
      </c>
      <c r="B27" s="424">
        <v>3310593.26</v>
      </c>
      <c r="C27" s="424">
        <v>595830.68000000005</v>
      </c>
      <c r="D27" s="424"/>
      <c r="E27" s="425">
        <v>741023.9</v>
      </c>
      <c r="F27" s="424">
        <f>B27+C27-D27-E27</f>
        <v>3165400.04</v>
      </c>
      <c r="G27" s="424">
        <v>2223411.77</v>
      </c>
      <c r="H27" s="377">
        <f>+G27/F27*100</f>
        <v>70.241098815428089</v>
      </c>
      <c r="I27" s="377">
        <f>F27-G27</f>
        <v>941988.27</v>
      </c>
      <c r="J27" s="426">
        <f>+I27/F27*100</f>
        <v>29.758901184571918</v>
      </c>
    </row>
    <row r="28" spans="1:10" s="354" customFormat="1" ht="17.25" thickBot="1" x14ac:dyDescent="0.3">
      <c r="A28" s="427" t="s">
        <v>48</v>
      </c>
      <c r="B28" s="426">
        <f>SUM(B27)</f>
        <v>3310593.26</v>
      </c>
      <c r="C28" s="426">
        <f>SUM(C27)</f>
        <v>595830.68000000005</v>
      </c>
      <c r="D28" s="426">
        <v>0</v>
      </c>
      <c r="E28" s="428">
        <f>SUM(E27)</f>
        <v>741023.9</v>
      </c>
      <c r="F28" s="426">
        <f>SUM(F27)</f>
        <v>3165400.04</v>
      </c>
      <c r="G28" s="426">
        <f>SUM(G27)</f>
        <v>2223411.77</v>
      </c>
      <c r="H28" s="426">
        <f>+G28/F28*100</f>
        <v>70.241098815428089</v>
      </c>
      <c r="I28" s="426">
        <f>SUM(I27)</f>
        <v>941988.27</v>
      </c>
      <c r="J28" s="426">
        <f>+I28/F28*100</f>
        <v>29.758901184571918</v>
      </c>
    </row>
    <row r="29" spans="1:10" s="354" customFormat="1" ht="50.25" thickBot="1" x14ac:dyDescent="0.3">
      <c r="A29" s="405" t="s">
        <v>371</v>
      </c>
      <c r="B29" s="214" t="s">
        <v>40</v>
      </c>
      <c r="C29" s="214" t="s">
        <v>380</v>
      </c>
      <c r="D29" s="214" t="s">
        <v>42</v>
      </c>
      <c r="E29" s="214" t="s">
        <v>43</v>
      </c>
      <c r="F29" s="214" t="s">
        <v>44</v>
      </c>
      <c r="G29" s="214" t="s">
        <v>20</v>
      </c>
      <c r="H29" s="214" t="s">
        <v>45</v>
      </c>
      <c r="I29" s="214" t="s">
        <v>22</v>
      </c>
      <c r="J29" s="429" t="s">
        <v>46</v>
      </c>
    </row>
    <row r="30" spans="1:10" s="354" customFormat="1" ht="20.100000000000001" customHeight="1" x14ac:dyDescent="0.25">
      <c r="A30" s="235" t="s">
        <v>50</v>
      </c>
      <c r="B30" s="335">
        <v>1120371.74</v>
      </c>
      <c r="C30" s="335">
        <v>1213650.92</v>
      </c>
      <c r="D30" s="335">
        <v>0</v>
      </c>
      <c r="E30" s="406"/>
      <c r="F30" s="238">
        <f>B30+C30-D30-E30</f>
        <v>2334022.66</v>
      </c>
      <c r="G30" s="335">
        <v>662913.36</v>
      </c>
      <c r="H30" s="377">
        <f>+G30/F30*100</f>
        <v>28.402181836572225</v>
      </c>
      <c r="I30" s="377">
        <f>+F30-G30</f>
        <v>1671109.3000000003</v>
      </c>
      <c r="J30" s="335">
        <f>+I30/F30*100</f>
        <v>71.597818163427775</v>
      </c>
    </row>
    <row r="31" spans="1:10" s="354" customFormat="1" ht="20.100000000000001" customHeight="1" x14ac:dyDescent="0.25">
      <c r="A31" s="500" t="s">
        <v>51</v>
      </c>
      <c r="B31" s="430">
        <f t="shared" ref="B31:G31" si="1">SUM(B30:B30)</f>
        <v>1120371.74</v>
      </c>
      <c r="C31" s="430">
        <f t="shared" si="1"/>
        <v>1213650.92</v>
      </c>
      <c r="D31" s="430">
        <f t="shared" si="1"/>
        <v>0</v>
      </c>
      <c r="E31" s="431">
        <f t="shared" si="1"/>
        <v>0</v>
      </c>
      <c r="F31" s="430">
        <f t="shared" si="1"/>
        <v>2334022.66</v>
      </c>
      <c r="G31" s="430">
        <f t="shared" si="1"/>
        <v>662913.36</v>
      </c>
      <c r="H31" s="430">
        <f>+G31/F31*100</f>
        <v>28.402181836572225</v>
      </c>
      <c r="I31" s="430">
        <f>SUM(I30:I30)</f>
        <v>1671109.3000000003</v>
      </c>
      <c r="J31" s="430">
        <f>+I31/F31*100</f>
        <v>71.597818163427775</v>
      </c>
    </row>
    <row r="32" spans="1:10" s="437" customFormat="1" ht="20.100000000000001" customHeight="1" thickBot="1" x14ac:dyDescent="0.3">
      <c r="A32" s="529" t="s">
        <v>36</v>
      </c>
      <c r="B32" s="530">
        <f>SUM(B31,B28)</f>
        <v>4430965</v>
      </c>
      <c r="C32" s="530">
        <f>SUM(C31,C28)</f>
        <v>1809481.6</v>
      </c>
      <c r="D32" s="530">
        <f>+D28+D31</f>
        <v>0</v>
      </c>
      <c r="E32" s="530">
        <f>SUM(E31,E28)</f>
        <v>741023.9</v>
      </c>
      <c r="F32" s="530">
        <f>SUM(F31,F28)</f>
        <v>5499422.7000000002</v>
      </c>
      <c r="G32" s="530">
        <f>SUM(G31,G28)</f>
        <v>2886325.13</v>
      </c>
      <c r="H32" s="530">
        <f>+G32/F32*100</f>
        <v>52.48414765426196</v>
      </c>
      <c r="I32" s="530">
        <f>SUM(I31,I28)</f>
        <v>2613097.5700000003</v>
      </c>
      <c r="J32" s="530">
        <f>+I32/F32*100</f>
        <v>47.51585234573804</v>
      </c>
    </row>
    <row r="33" spans="1:10" s="354" customFormat="1" ht="20.100000000000001" customHeight="1" thickTop="1" x14ac:dyDescent="0.3">
      <c r="A33" s="131"/>
      <c r="B33" s="132"/>
      <c r="C33" s="132"/>
      <c r="D33" s="132"/>
      <c r="E33" s="132"/>
      <c r="F33" s="132"/>
      <c r="G33" s="132"/>
      <c r="H33" s="132"/>
      <c r="I33" s="132"/>
      <c r="J33" s="132"/>
    </row>
    <row r="34" spans="1:10" s="354" customFormat="1" ht="20.100000000000001" customHeight="1" x14ac:dyDescent="0.25">
      <c r="A34" s="501" t="s">
        <v>37</v>
      </c>
      <c r="B34" s="190"/>
      <c r="C34" s="502"/>
      <c r="D34" s="502"/>
      <c r="E34" s="502"/>
      <c r="F34" s="502"/>
      <c r="G34" s="502"/>
      <c r="H34" s="503"/>
      <c r="I34" s="502"/>
      <c r="J34" s="190"/>
    </row>
    <row r="35" spans="1:10" s="354" customFormat="1" ht="20.100000000000001" customHeight="1" x14ac:dyDescent="0.25">
      <c r="C35" s="504" t="s">
        <v>52</v>
      </c>
      <c r="D35" s="502"/>
      <c r="E35" s="502"/>
      <c r="F35" s="502"/>
      <c r="G35" s="502"/>
      <c r="H35" s="503"/>
      <c r="I35" s="502"/>
      <c r="J35" s="190"/>
    </row>
    <row r="36" spans="1:10" s="354" customFormat="1" ht="20.100000000000001" customHeight="1" x14ac:dyDescent="0.25">
      <c r="A36" s="505" t="s">
        <v>53</v>
      </c>
      <c r="B36" s="25" t="s">
        <v>326</v>
      </c>
      <c r="C36" s="507">
        <v>12951.51</v>
      </c>
      <c r="D36" s="502" t="s">
        <v>55</v>
      </c>
      <c r="E36" s="357" t="s">
        <v>327</v>
      </c>
      <c r="F36" s="502"/>
      <c r="G36" s="502"/>
      <c r="H36" s="503"/>
      <c r="I36" s="502"/>
      <c r="J36" s="190"/>
    </row>
    <row r="37" spans="1:10" s="354" customFormat="1" ht="20.100000000000001" customHeight="1" x14ac:dyDescent="0.3">
      <c r="A37" s="131"/>
      <c r="B37" s="132" t="s">
        <v>244</v>
      </c>
      <c r="C37" s="407">
        <v>107773.43</v>
      </c>
      <c r="D37" s="502" t="s">
        <v>55</v>
      </c>
      <c r="E37" s="357" t="s">
        <v>327</v>
      </c>
      <c r="F37" s="132"/>
      <c r="G37" s="132"/>
      <c r="H37" s="132"/>
      <c r="I37" s="132"/>
      <c r="J37" s="132"/>
    </row>
    <row r="38" spans="1:10" s="354" customFormat="1" ht="20.100000000000001" customHeight="1" x14ac:dyDescent="0.3">
      <c r="A38" s="131"/>
      <c r="B38" s="132" t="s">
        <v>246</v>
      </c>
      <c r="C38" s="407">
        <v>225432.65</v>
      </c>
      <c r="D38" s="502" t="s">
        <v>55</v>
      </c>
      <c r="E38" s="357" t="s">
        <v>327</v>
      </c>
      <c r="F38" s="132"/>
      <c r="G38" s="132"/>
      <c r="H38" s="132"/>
      <c r="I38" s="132"/>
      <c r="J38" s="132"/>
    </row>
    <row r="39" spans="1:10" s="131" customFormat="1" ht="21.75" customHeight="1" x14ac:dyDescent="0.3">
      <c r="B39" s="131" t="s">
        <v>328</v>
      </c>
      <c r="C39" s="407">
        <v>595830.68000000005</v>
      </c>
      <c r="D39" s="502" t="s">
        <v>55</v>
      </c>
      <c r="E39" s="132" t="s">
        <v>329</v>
      </c>
      <c r="F39" s="132"/>
      <c r="G39" s="132"/>
      <c r="H39" s="132"/>
      <c r="I39" s="132"/>
      <c r="J39" s="132"/>
    </row>
    <row r="40" spans="1:10" s="131" customFormat="1" ht="21.75" customHeight="1" thickBot="1" x14ac:dyDescent="0.35">
      <c r="B40" s="132"/>
      <c r="C40" s="408">
        <f>SUM(C36:C39)</f>
        <v>941988.27</v>
      </c>
      <c r="D40" s="502" t="s">
        <v>55</v>
      </c>
      <c r="E40" s="132"/>
      <c r="F40" s="132"/>
      <c r="G40" s="132"/>
      <c r="H40" s="132"/>
      <c r="I40" s="132"/>
      <c r="J40" s="132"/>
    </row>
    <row r="41" spans="1:10" s="131" customFormat="1" ht="21.75" customHeight="1" thickTop="1" x14ac:dyDescent="0.3">
      <c r="A41" s="505" t="s">
        <v>248</v>
      </c>
      <c r="B41" s="132" t="s">
        <v>244</v>
      </c>
      <c r="C41" s="132">
        <v>456462</v>
      </c>
      <c r="D41" s="502" t="s">
        <v>55</v>
      </c>
      <c r="E41" s="132" t="s">
        <v>330</v>
      </c>
      <c r="F41" s="132"/>
      <c r="G41" s="132"/>
      <c r="H41" s="132"/>
      <c r="I41" s="132"/>
      <c r="J41" s="132"/>
    </row>
    <row r="42" spans="1:10" s="131" customFormat="1" ht="21.75" customHeight="1" x14ac:dyDescent="0.3">
      <c r="A42" s="505"/>
      <c r="B42" s="132" t="s">
        <v>246</v>
      </c>
      <c r="C42" s="132">
        <v>282299.38</v>
      </c>
      <c r="D42" s="502" t="s">
        <v>55</v>
      </c>
      <c r="E42" s="132" t="s">
        <v>331</v>
      </c>
      <c r="F42" s="132"/>
      <c r="G42" s="132"/>
      <c r="H42" s="132"/>
      <c r="I42" s="132"/>
      <c r="J42" s="132"/>
    </row>
    <row r="43" spans="1:10" s="131" customFormat="1" ht="21.75" customHeight="1" x14ac:dyDescent="0.3">
      <c r="B43" s="132" t="s">
        <v>328</v>
      </c>
      <c r="C43" s="132">
        <v>932347.92</v>
      </c>
      <c r="D43" s="502" t="s">
        <v>55</v>
      </c>
      <c r="E43" s="132" t="s">
        <v>329</v>
      </c>
      <c r="F43" s="132"/>
      <c r="G43" s="132"/>
      <c r="H43" s="132"/>
      <c r="I43" s="132"/>
      <c r="J43" s="132"/>
    </row>
    <row r="44" spans="1:10" s="131" customFormat="1" ht="21.75" customHeight="1" x14ac:dyDescent="0.3">
      <c r="B44" s="132"/>
      <c r="C44" s="51">
        <f>SUM(C41:C43)</f>
        <v>1671109.3</v>
      </c>
      <c r="D44" s="502" t="s">
        <v>55</v>
      </c>
      <c r="E44" s="132"/>
      <c r="F44" s="132"/>
      <c r="G44" s="132"/>
      <c r="H44" s="132"/>
      <c r="I44" s="132"/>
      <c r="J44" s="132"/>
    </row>
    <row r="45" spans="1:10" s="131" customFormat="1" ht="21.75" customHeight="1" thickBot="1" x14ac:dyDescent="0.35">
      <c r="B45" s="132"/>
      <c r="C45" s="409">
        <f>SUM(C44,C40)</f>
        <v>2613097.5700000003</v>
      </c>
      <c r="D45" s="132"/>
      <c r="E45" s="132"/>
      <c r="F45" s="132"/>
      <c r="G45" s="132"/>
      <c r="H45" s="132"/>
      <c r="I45" s="132"/>
      <c r="J45" s="132"/>
    </row>
    <row r="46" spans="1:10" s="108" customFormat="1" ht="21.75" customHeight="1" thickTop="1" x14ac:dyDescent="0.3">
      <c r="A46" s="45" t="s">
        <v>332</v>
      </c>
      <c r="B46" s="60"/>
      <c r="C46" s="60"/>
      <c r="D46" s="60"/>
      <c r="E46" s="60"/>
      <c r="F46" s="60"/>
      <c r="G46" s="60"/>
      <c r="H46" s="60"/>
      <c r="I46" s="60"/>
      <c r="J46" s="60"/>
    </row>
    <row r="47" spans="1:10" s="108" customFormat="1" ht="21.75" customHeight="1" x14ac:dyDescent="0.3">
      <c r="A47" s="45"/>
      <c r="B47" s="60"/>
      <c r="C47" s="60"/>
      <c r="D47" s="60"/>
      <c r="E47" s="60"/>
      <c r="F47" s="60"/>
      <c r="G47" s="60"/>
      <c r="H47" s="60"/>
      <c r="I47" s="60"/>
      <c r="J47" s="60"/>
    </row>
    <row r="48" spans="1:10" s="131" customFormat="1" ht="21.75" customHeight="1" x14ac:dyDescent="0.3">
      <c r="B48" s="132"/>
      <c r="C48" s="132"/>
      <c r="D48" s="132"/>
      <c r="E48" s="132"/>
      <c r="F48" s="132"/>
      <c r="G48" s="132"/>
      <c r="H48" s="132"/>
      <c r="I48" s="132"/>
      <c r="J48" s="132"/>
    </row>
    <row r="49" spans="1:10" s="354" customFormat="1" ht="20.100000000000001" customHeight="1" x14ac:dyDescent="0.25">
      <c r="A49" s="895" t="s">
        <v>372</v>
      </c>
      <c r="B49" s="895"/>
      <c r="C49" s="895"/>
      <c r="D49" s="895"/>
      <c r="E49" s="895"/>
      <c r="F49" s="895"/>
      <c r="G49" s="895"/>
      <c r="H49" s="895"/>
      <c r="I49" s="895"/>
      <c r="J49" s="895"/>
    </row>
    <row r="50" spans="1:10" s="354" customFormat="1" ht="17.25" thickBot="1" x14ac:dyDescent="0.3">
      <c r="A50" s="896"/>
      <c r="B50" s="896"/>
      <c r="C50" s="896"/>
      <c r="D50" s="896"/>
      <c r="E50" s="896"/>
      <c r="F50" s="896"/>
      <c r="G50" s="896"/>
      <c r="H50" s="896"/>
      <c r="I50" s="896"/>
      <c r="J50" s="896"/>
    </row>
    <row r="51" spans="1:10" s="354" customFormat="1" ht="50.25" thickBot="1" x14ac:dyDescent="0.3">
      <c r="A51" s="405" t="s">
        <v>373</v>
      </c>
      <c r="B51" s="214" t="s">
        <v>40</v>
      </c>
      <c r="C51" s="214" t="s">
        <v>490</v>
      </c>
      <c r="D51" s="214" t="s">
        <v>42</v>
      </c>
      <c r="E51" s="214" t="s">
        <v>43</v>
      </c>
      <c r="F51" s="214" t="s">
        <v>44</v>
      </c>
      <c r="G51" s="214" t="s">
        <v>20</v>
      </c>
      <c r="H51" s="214" t="s">
        <v>45</v>
      </c>
      <c r="I51" s="214" t="s">
        <v>22</v>
      </c>
      <c r="J51" s="214" t="s">
        <v>46</v>
      </c>
    </row>
    <row r="52" spans="1:10" s="354" customFormat="1" ht="20.100000000000001" customHeight="1" x14ac:dyDescent="0.25">
      <c r="A52" s="231" t="s">
        <v>47</v>
      </c>
      <c r="B52" s="424">
        <v>941988.27</v>
      </c>
      <c r="C52" s="424">
        <v>1499379.26</v>
      </c>
      <c r="D52" s="424"/>
      <c r="E52" s="425">
        <v>305149.43</v>
      </c>
      <c r="F52" s="424">
        <f>B52+C52-D52-E52</f>
        <v>2136218.1</v>
      </c>
      <c r="G52" s="424">
        <v>1469919.05</v>
      </c>
      <c r="H52" s="377">
        <f>+G52/F52*100</f>
        <v>68.809409020548969</v>
      </c>
      <c r="I52" s="377">
        <f>F52-G52</f>
        <v>666299.05000000005</v>
      </c>
      <c r="J52" s="426">
        <f>+I52/F52*100</f>
        <v>31.19059097945102</v>
      </c>
    </row>
    <row r="53" spans="1:10" s="354" customFormat="1" ht="17.25" thickBot="1" x14ac:dyDescent="0.3">
      <c r="A53" s="427" t="s">
        <v>48</v>
      </c>
      <c r="B53" s="426">
        <f>SUM(B52)</f>
        <v>941988.27</v>
      </c>
      <c r="C53" s="426">
        <f>SUM(C52)</f>
        <v>1499379.26</v>
      </c>
      <c r="D53" s="426">
        <v>0</v>
      </c>
      <c r="E53" s="428">
        <f>SUM(E52)</f>
        <v>305149.43</v>
      </c>
      <c r="F53" s="426">
        <f>SUM(F52)</f>
        <v>2136218.1</v>
      </c>
      <c r="G53" s="426">
        <f>SUM(G52)</f>
        <v>1469919.05</v>
      </c>
      <c r="H53" s="426">
        <f>+G53/F53*100</f>
        <v>68.809409020548969</v>
      </c>
      <c r="I53" s="426">
        <f>SUM(I52)</f>
        <v>666299.05000000005</v>
      </c>
      <c r="J53" s="426">
        <f>+I53/F53*100</f>
        <v>31.19059097945102</v>
      </c>
    </row>
    <row r="54" spans="1:10" s="354" customFormat="1" ht="50.25" thickBot="1" x14ac:dyDescent="0.3">
      <c r="A54" s="499" t="s">
        <v>374</v>
      </c>
      <c r="B54" s="214" t="s">
        <v>40</v>
      </c>
      <c r="C54" s="214" t="s">
        <v>490</v>
      </c>
      <c r="D54" s="214" t="s">
        <v>42</v>
      </c>
      <c r="E54" s="214" t="s">
        <v>43</v>
      </c>
      <c r="F54" s="214" t="s">
        <v>44</v>
      </c>
      <c r="G54" s="214" t="s">
        <v>20</v>
      </c>
      <c r="H54" s="214" t="s">
        <v>45</v>
      </c>
      <c r="I54" s="214" t="s">
        <v>22</v>
      </c>
      <c r="J54" s="429" t="s">
        <v>46</v>
      </c>
    </row>
    <row r="55" spans="1:10" s="354" customFormat="1" ht="20.100000000000001" customHeight="1" x14ac:dyDescent="0.25">
      <c r="A55" s="235" t="s">
        <v>50</v>
      </c>
      <c r="B55" s="335">
        <v>1671109.3</v>
      </c>
      <c r="C55" s="335">
        <v>1459959.02</v>
      </c>
      <c r="D55" s="335">
        <v>0</v>
      </c>
      <c r="E55" s="406">
        <v>6094.72</v>
      </c>
      <c r="F55" s="238">
        <f>B55+C55-D55-E55</f>
        <v>3124973.6</v>
      </c>
      <c r="G55" s="335">
        <v>2652253.42</v>
      </c>
      <c r="H55" s="377">
        <f>+G55/F55*100</f>
        <v>84.872826445637799</v>
      </c>
      <c r="I55" s="377">
        <f>+F55-G55</f>
        <v>472720.18000000017</v>
      </c>
      <c r="J55" s="335">
        <f>+I55/F55*100</f>
        <v>15.127173554362191</v>
      </c>
    </row>
    <row r="56" spans="1:10" s="354" customFormat="1" ht="20.100000000000001" customHeight="1" x14ac:dyDescent="0.25">
      <c r="A56" s="500" t="s">
        <v>51</v>
      </c>
      <c r="B56" s="430">
        <f t="shared" ref="B56:G56" si="2">SUM(B55:B55)</f>
        <v>1671109.3</v>
      </c>
      <c r="C56" s="430">
        <f t="shared" si="2"/>
        <v>1459959.02</v>
      </c>
      <c r="D56" s="430">
        <f t="shared" si="2"/>
        <v>0</v>
      </c>
      <c r="E56" s="431">
        <f t="shared" si="2"/>
        <v>6094.72</v>
      </c>
      <c r="F56" s="430">
        <f t="shared" si="2"/>
        <v>3124973.6</v>
      </c>
      <c r="G56" s="430">
        <f t="shared" si="2"/>
        <v>2652253.42</v>
      </c>
      <c r="H56" s="430">
        <f>+G56/F56*100</f>
        <v>84.872826445637799</v>
      </c>
      <c r="I56" s="430">
        <f>SUM(I55:I55)</f>
        <v>472720.18000000017</v>
      </c>
      <c r="J56" s="430">
        <f>+I56/F56*100</f>
        <v>15.127173554362191</v>
      </c>
    </row>
    <row r="57" spans="1:10" s="437" customFormat="1" ht="20.100000000000001" customHeight="1" thickBot="1" x14ac:dyDescent="0.3">
      <c r="A57" s="529" t="s">
        <v>36</v>
      </c>
      <c r="B57" s="530">
        <f>SUM(B56,B53)</f>
        <v>2613097.5700000003</v>
      </c>
      <c r="C57" s="530">
        <f>SUM(C56,C53)</f>
        <v>2959338.2800000003</v>
      </c>
      <c r="D57" s="530">
        <f>+D53+D56</f>
        <v>0</v>
      </c>
      <c r="E57" s="530">
        <f>SUM(E56,E53)</f>
        <v>311244.14999999997</v>
      </c>
      <c r="F57" s="530">
        <f>SUM(F56,F53)</f>
        <v>5261191.7</v>
      </c>
      <c r="G57" s="530">
        <f>SUM(G56,G53)</f>
        <v>4122172.4699999997</v>
      </c>
      <c r="H57" s="530">
        <f>+G57/F57*100</f>
        <v>78.350546892256361</v>
      </c>
      <c r="I57" s="530">
        <f>SUM(I56,I53)</f>
        <v>1139019.2300000002</v>
      </c>
      <c r="J57" s="530">
        <f>+I57/F57*100</f>
        <v>21.649453107743636</v>
      </c>
    </row>
    <row r="58" spans="1:10" s="354" customFormat="1" ht="20.100000000000001" customHeight="1" thickTop="1" x14ac:dyDescent="0.3">
      <c r="A58" s="131"/>
      <c r="B58" s="132"/>
      <c r="C58" s="132"/>
      <c r="D58" s="132"/>
      <c r="E58" s="132"/>
      <c r="F58" s="132"/>
      <c r="G58" s="132"/>
      <c r="H58" s="132"/>
      <c r="I58" s="132"/>
      <c r="J58" s="132"/>
    </row>
    <row r="59" spans="1:10" s="354" customFormat="1" ht="20.100000000000001" customHeight="1" x14ac:dyDescent="0.25">
      <c r="A59" s="501" t="s">
        <v>37</v>
      </c>
      <c r="B59" s="190"/>
      <c r="C59" s="502"/>
      <c r="D59" s="502"/>
      <c r="E59" s="502"/>
      <c r="F59" s="502"/>
      <c r="G59" s="502"/>
      <c r="H59" s="503"/>
      <c r="I59" s="502"/>
      <c r="J59" s="190"/>
    </row>
    <row r="60" spans="1:10" s="354" customFormat="1" ht="20.100000000000001" customHeight="1" x14ac:dyDescent="0.25">
      <c r="C60" s="504" t="s">
        <v>52</v>
      </c>
      <c r="D60" s="502"/>
      <c r="E60" s="502"/>
      <c r="F60" s="502"/>
      <c r="G60" s="502"/>
      <c r="H60" s="503"/>
      <c r="I60" s="502"/>
      <c r="J60" s="190"/>
    </row>
    <row r="61" spans="1:10" s="354" customFormat="1" ht="20.100000000000001" customHeight="1" x14ac:dyDescent="0.3">
      <c r="A61" s="505" t="s">
        <v>53</v>
      </c>
      <c r="B61" s="132" t="s">
        <v>246</v>
      </c>
      <c r="C61" s="476">
        <v>7100.24</v>
      </c>
      <c r="D61" s="502" t="s">
        <v>55</v>
      </c>
      <c r="E61" s="357" t="s">
        <v>375</v>
      </c>
      <c r="F61" s="502"/>
      <c r="G61" s="502"/>
      <c r="H61" s="503"/>
      <c r="I61" s="502"/>
      <c r="J61" s="190"/>
    </row>
    <row r="62" spans="1:10" s="354" customFormat="1" ht="20.100000000000001" customHeight="1" x14ac:dyDescent="0.3">
      <c r="A62" s="131"/>
      <c r="B62" s="131" t="s">
        <v>328</v>
      </c>
      <c r="C62" s="407">
        <v>55556.67</v>
      </c>
      <c r="D62" s="502" t="s">
        <v>55</v>
      </c>
      <c r="E62" s="357" t="s">
        <v>375</v>
      </c>
      <c r="F62" s="132"/>
      <c r="G62" s="132"/>
      <c r="H62" s="132"/>
      <c r="I62" s="132"/>
      <c r="J62" s="132"/>
    </row>
    <row r="63" spans="1:10" s="354" customFormat="1" ht="20.100000000000001" customHeight="1" x14ac:dyDescent="0.3">
      <c r="A63" s="131"/>
      <c r="B63" s="354" t="s">
        <v>376</v>
      </c>
      <c r="C63" s="407">
        <v>603642.14</v>
      </c>
      <c r="D63" s="502" t="s">
        <v>55</v>
      </c>
      <c r="E63" s="132" t="s">
        <v>377</v>
      </c>
      <c r="F63" s="132"/>
      <c r="G63" s="132"/>
      <c r="H63" s="132"/>
      <c r="I63" s="132"/>
      <c r="J63" s="132"/>
    </row>
    <row r="64" spans="1:10" s="131" customFormat="1" ht="21.75" customHeight="1" thickBot="1" x14ac:dyDescent="0.35">
      <c r="B64" s="132"/>
      <c r="C64" s="408">
        <f>SUM(C61:C63)</f>
        <v>666299.05000000005</v>
      </c>
      <c r="D64" s="502" t="s">
        <v>55</v>
      </c>
      <c r="E64" s="132"/>
      <c r="F64" s="132"/>
      <c r="G64" s="132"/>
      <c r="H64" s="132"/>
      <c r="I64" s="132"/>
      <c r="J64" s="132"/>
    </row>
    <row r="65" spans="1:10" s="131" customFormat="1" ht="21.75" customHeight="1" thickTop="1" x14ac:dyDescent="0.3">
      <c r="A65" s="505" t="s">
        <v>248</v>
      </c>
      <c r="B65" s="132" t="s">
        <v>376</v>
      </c>
      <c r="C65" s="132">
        <v>472720.18</v>
      </c>
      <c r="D65" s="502" t="s">
        <v>55</v>
      </c>
      <c r="E65" s="132" t="s">
        <v>377</v>
      </c>
      <c r="F65" s="132"/>
      <c r="G65" s="132"/>
      <c r="H65" s="132"/>
      <c r="I65" s="132"/>
      <c r="J65" s="132"/>
    </row>
    <row r="66" spans="1:10" s="131" customFormat="1" ht="21.75" customHeight="1" x14ac:dyDescent="0.3">
      <c r="B66" s="132"/>
      <c r="C66" s="51">
        <f>SUM(C65:C65)</f>
        <v>472720.18</v>
      </c>
      <c r="D66" s="502" t="s">
        <v>55</v>
      </c>
      <c r="E66" s="132"/>
      <c r="F66" s="132"/>
      <c r="G66" s="132"/>
      <c r="H66" s="132"/>
      <c r="I66" s="132"/>
      <c r="J66" s="132"/>
    </row>
    <row r="67" spans="1:10" s="131" customFormat="1" ht="21.75" customHeight="1" thickBot="1" x14ac:dyDescent="0.35">
      <c r="B67" s="132"/>
      <c r="C67" s="409">
        <f>SUM(C66,C64)</f>
        <v>1139019.23</v>
      </c>
      <c r="D67" s="132"/>
      <c r="E67" s="132"/>
      <c r="F67" s="132"/>
      <c r="G67" s="132"/>
      <c r="H67" s="132"/>
      <c r="I67" s="132"/>
      <c r="J67" s="132"/>
    </row>
    <row r="68" spans="1:10" s="131" customFormat="1" ht="21.75" customHeight="1" thickTop="1" x14ac:dyDescent="0.3">
      <c r="B68" s="132"/>
      <c r="C68" s="132"/>
      <c r="D68" s="132"/>
      <c r="E68" s="132"/>
      <c r="F68" s="132"/>
      <c r="G68" s="132"/>
      <c r="H68" s="132"/>
      <c r="I68" s="132"/>
      <c r="J68" s="132"/>
    </row>
    <row r="69" spans="1:10" s="354" customFormat="1" ht="20.100000000000001" customHeight="1" x14ac:dyDescent="0.25">
      <c r="A69" s="895" t="s">
        <v>491</v>
      </c>
      <c r="B69" s="895"/>
      <c r="C69" s="895"/>
      <c r="D69" s="895"/>
      <c r="E69" s="895"/>
      <c r="F69" s="895"/>
      <c r="G69" s="895"/>
      <c r="H69" s="895"/>
      <c r="I69" s="895"/>
      <c r="J69" s="895"/>
    </row>
    <row r="70" spans="1:10" s="354" customFormat="1" ht="17.25" thickBot="1" x14ac:dyDescent="0.3">
      <c r="A70" s="896"/>
      <c r="B70" s="896"/>
      <c r="C70" s="896"/>
      <c r="D70" s="896"/>
      <c r="E70" s="896"/>
      <c r="F70" s="896"/>
      <c r="G70" s="896"/>
      <c r="H70" s="896"/>
      <c r="I70" s="896"/>
      <c r="J70" s="896"/>
    </row>
    <row r="71" spans="1:10" s="354" customFormat="1" ht="50.25" thickBot="1" x14ac:dyDescent="0.3">
      <c r="A71" s="405" t="s">
        <v>373</v>
      </c>
      <c r="B71" s="214" t="s">
        <v>40</v>
      </c>
      <c r="C71" s="214" t="s">
        <v>492</v>
      </c>
      <c r="D71" s="214" t="s">
        <v>42</v>
      </c>
      <c r="E71" s="214" t="s">
        <v>43</v>
      </c>
      <c r="F71" s="214" t="s">
        <v>44</v>
      </c>
      <c r="G71" s="214" t="s">
        <v>20</v>
      </c>
      <c r="H71" s="214" t="s">
        <v>45</v>
      </c>
      <c r="I71" s="214" t="s">
        <v>22</v>
      </c>
      <c r="J71" s="214" t="s">
        <v>46</v>
      </c>
    </row>
    <row r="72" spans="1:10" s="354" customFormat="1" ht="20.100000000000001" customHeight="1" x14ac:dyDescent="0.25">
      <c r="A72" s="231" t="s">
        <v>47</v>
      </c>
      <c r="B72" s="424">
        <v>666299.05000000005</v>
      </c>
      <c r="C72" s="424">
        <v>2551954.23</v>
      </c>
      <c r="D72" s="424"/>
      <c r="E72" s="425">
        <v>310979.58</v>
      </c>
      <c r="F72" s="424">
        <f>B72+C72-D72-E72</f>
        <v>2907273.7</v>
      </c>
      <c r="G72" s="424">
        <v>704368.93</v>
      </c>
      <c r="H72" s="377">
        <f>+G72/F72*100</f>
        <v>24.227816252731898</v>
      </c>
      <c r="I72" s="377">
        <f>F72-G72</f>
        <v>2202904.77</v>
      </c>
      <c r="J72" s="426">
        <f>+I72/F72*100</f>
        <v>75.772183747268102</v>
      </c>
    </row>
    <row r="73" spans="1:10" s="354" customFormat="1" ht="17.25" thickBot="1" x14ac:dyDescent="0.3">
      <c r="A73" s="427" t="s">
        <v>48</v>
      </c>
      <c r="B73" s="426">
        <f>SUM(B72)</f>
        <v>666299.05000000005</v>
      </c>
      <c r="C73" s="426">
        <f>SUM(C72)</f>
        <v>2551954.23</v>
      </c>
      <c r="D73" s="426">
        <v>0</v>
      </c>
      <c r="E73" s="428">
        <f>SUM(E72)</f>
        <v>310979.58</v>
      </c>
      <c r="F73" s="426">
        <f>SUM(F72)</f>
        <v>2907273.7</v>
      </c>
      <c r="G73" s="426">
        <f>SUM(G72)</f>
        <v>704368.93</v>
      </c>
      <c r="H73" s="426">
        <f>+G73/F73*100</f>
        <v>24.227816252731898</v>
      </c>
      <c r="I73" s="426">
        <f>SUM(I72)</f>
        <v>2202904.77</v>
      </c>
      <c r="J73" s="426">
        <f>+I73/F73*100</f>
        <v>75.772183747268102</v>
      </c>
    </row>
    <row r="74" spans="1:10" s="354" customFormat="1" ht="50.25" thickBot="1" x14ac:dyDescent="0.3">
      <c r="A74" s="499" t="s">
        <v>374</v>
      </c>
      <c r="B74" s="214" t="s">
        <v>40</v>
      </c>
      <c r="C74" s="214" t="s">
        <v>492</v>
      </c>
      <c r="D74" s="214" t="s">
        <v>42</v>
      </c>
      <c r="E74" s="214" t="s">
        <v>43</v>
      </c>
      <c r="F74" s="214" t="s">
        <v>44</v>
      </c>
      <c r="G74" s="214" t="s">
        <v>20</v>
      </c>
      <c r="H74" s="214" t="s">
        <v>45</v>
      </c>
      <c r="I74" s="214" t="s">
        <v>22</v>
      </c>
      <c r="J74" s="429" t="s">
        <v>46</v>
      </c>
    </row>
    <row r="75" spans="1:10" s="354" customFormat="1" ht="20.100000000000001" customHeight="1" x14ac:dyDescent="0.25">
      <c r="A75" s="235" t="s">
        <v>50</v>
      </c>
      <c r="B75" s="335">
        <v>1139019.23</v>
      </c>
      <c r="C75" s="335">
        <v>2900258.8</v>
      </c>
      <c r="D75" s="335">
        <v>0</v>
      </c>
      <c r="E75" s="406">
        <v>0</v>
      </c>
      <c r="F75" s="238">
        <f>B75+C75-D75-E75</f>
        <v>4039278.03</v>
      </c>
      <c r="G75" s="335">
        <v>3362478.21</v>
      </c>
      <c r="H75" s="377">
        <f>+G75/F75*100</f>
        <v>83.24453491506749</v>
      </c>
      <c r="I75" s="377">
        <f>+F75-G75</f>
        <v>676799.81999999983</v>
      </c>
      <c r="J75" s="335">
        <f>+I75/F75*100</f>
        <v>16.755465084932514</v>
      </c>
    </row>
    <row r="76" spans="1:10" s="354" customFormat="1" ht="20.100000000000001" customHeight="1" x14ac:dyDescent="0.25">
      <c r="A76" s="500" t="s">
        <v>51</v>
      </c>
      <c r="B76" s="430">
        <f t="shared" ref="B76:G76" si="3">SUM(B75:B75)</f>
        <v>1139019.23</v>
      </c>
      <c r="C76" s="430">
        <f t="shared" si="3"/>
        <v>2900258.8</v>
      </c>
      <c r="D76" s="430">
        <f t="shared" si="3"/>
        <v>0</v>
      </c>
      <c r="E76" s="431">
        <f t="shared" si="3"/>
        <v>0</v>
      </c>
      <c r="F76" s="430">
        <f t="shared" si="3"/>
        <v>4039278.03</v>
      </c>
      <c r="G76" s="430">
        <f t="shared" si="3"/>
        <v>3362478.21</v>
      </c>
      <c r="H76" s="430">
        <f>+G76/F76*100</f>
        <v>83.24453491506749</v>
      </c>
      <c r="I76" s="430">
        <f>SUM(I75:I75)</f>
        <v>676799.81999999983</v>
      </c>
      <c r="J76" s="430">
        <f>+I76/F76*100</f>
        <v>16.755465084932514</v>
      </c>
    </row>
    <row r="77" spans="1:10" s="437" customFormat="1" ht="20.100000000000001" customHeight="1" thickBot="1" x14ac:dyDescent="0.3">
      <c r="A77" s="529" t="s">
        <v>36</v>
      </c>
      <c r="B77" s="530">
        <f>SUM(B76,B73)</f>
        <v>1805318.28</v>
      </c>
      <c r="C77" s="530">
        <f>SUM(C76,C73)</f>
        <v>5452213.0299999993</v>
      </c>
      <c r="D77" s="530">
        <f>+D73+D76</f>
        <v>0</v>
      </c>
      <c r="E77" s="530">
        <f>SUM(E76,E73)</f>
        <v>310979.58</v>
      </c>
      <c r="F77" s="530">
        <f>SUM(F76,F73)</f>
        <v>6946551.7300000004</v>
      </c>
      <c r="G77" s="530">
        <f>SUM(G76,G73)</f>
        <v>4066847.14</v>
      </c>
      <c r="H77" s="530">
        <f>+G77/F77*100</f>
        <v>58.544833437812748</v>
      </c>
      <c r="I77" s="530">
        <f>SUM(I76,I73)</f>
        <v>2879704.59</v>
      </c>
      <c r="J77" s="530">
        <f>+I77/F77*100</f>
        <v>41.455166562187244</v>
      </c>
    </row>
    <row r="78" spans="1:10" s="354" customFormat="1" ht="20.100000000000001" customHeight="1" thickTop="1" x14ac:dyDescent="0.3">
      <c r="A78" s="131"/>
      <c r="B78" s="132"/>
      <c r="C78" s="132"/>
      <c r="D78" s="132"/>
      <c r="E78" s="132"/>
      <c r="F78" s="132"/>
      <c r="G78" s="132"/>
      <c r="H78" s="132"/>
      <c r="I78" s="132"/>
      <c r="J78" s="132"/>
    </row>
    <row r="79" spans="1:10" s="354" customFormat="1" ht="20.100000000000001" customHeight="1" x14ac:dyDescent="0.25">
      <c r="A79" s="501" t="s">
        <v>37</v>
      </c>
      <c r="B79" s="190"/>
      <c r="C79" s="502"/>
      <c r="D79" s="502"/>
      <c r="E79" s="502"/>
      <c r="F79" s="502"/>
      <c r="G79" s="502"/>
      <c r="H79" s="503"/>
      <c r="I79" s="502"/>
      <c r="J79" s="190"/>
    </row>
    <row r="80" spans="1:10" s="354" customFormat="1" ht="20.100000000000001" customHeight="1" x14ac:dyDescent="0.25">
      <c r="C80" s="504" t="s">
        <v>52</v>
      </c>
      <c r="D80" s="502"/>
      <c r="E80" s="502"/>
      <c r="F80" s="502"/>
      <c r="G80" s="502"/>
      <c r="H80" s="503"/>
      <c r="I80" s="502"/>
      <c r="J80" s="190"/>
    </row>
    <row r="81" spans="1:10" s="354" customFormat="1" ht="20.100000000000001" customHeight="1" x14ac:dyDescent="0.25">
      <c r="A81" s="505" t="s">
        <v>53</v>
      </c>
      <c r="B81" s="354" t="s">
        <v>376</v>
      </c>
      <c r="C81" s="476">
        <v>151676.03</v>
      </c>
      <c r="D81" s="502" t="s">
        <v>55</v>
      </c>
      <c r="E81" s="357" t="s">
        <v>493</v>
      </c>
      <c r="F81" s="502"/>
      <c r="G81" s="502"/>
      <c r="H81" s="503"/>
      <c r="I81" s="502"/>
      <c r="J81" s="190"/>
    </row>
    <row r="82" spans="1:10" s="354" customFormat="1" ht="20.100000000000001" customHeight="1" x14ac:dyDescent="0.3">
      <c r="A82" s="131"/>
      <c r="B82" s="354" t="s">
        <v>494</v>
      </c>
      <c r="C82" s="407">
        <v>2051228.74</v>
      </c>
      <c r="D82" s="502" t="s">
        <v>55</v>
      </c>
      <c r="E82" s="132" t="s">
        <v>495</v>
      </c>
      <c r="F82" s="132"/>
      <c r="G82" s="132"/>
      <c r="H82" s="132"/>
      <c r="I82" s="132"/>
      <c r="J82" s="132"/>
    </row>
    <row r="83" spans="1:10" s="131" customFormat="1" ht="21.75" customHeight="1" thickBot="1" x14ac:dyDescent="0.35">
      <c r="B83" s="132"/>
      <c r="C83" s="408">
        <f>SUM(C81:C82)</f>
        <v>2202904.77</v>
      </c>
      <c r="D83" s="502" t="s">
        <v>55</v>
      </c>
      <c r="E83" s="132"/>
      <c r="F83" s="132"/>
      <c r="G83" s="132"/>
      <c r="H83" s="132"/>
      <c r="I83" s="132"/>
      <c r="J83" s="132"/>
    </row>
    <row r="84" spans="1:10" s="131" customFormat="1" ht="21.75" customHeight="1" thickTop="1" x14ac:dyDescent="0.3">
      <c r="A84" s="505" t="s">
        <v>248</v>
      </c>
      <c r="B84" s="132" t="s">
        <v>494</v>
      </c>
      <c r="C84" s="132">
        <v>676799.82</v>
      </c>
      <c r="D84" s="502" t="s">
        <v>55</v>
      </c>
      <c r="E84" s="132" t="s">
        <v>495</v>
      </c>
      <c r="F84" s="132"/>
      <c r="G84" s="132"/>
      <c r="H84" s="132"/>
      <c r="I84" s="132"/>
      <c r="J84" s="132"/>
    </row>
    <row r="85" spans="1:10" s="131" customFormat="1" ht="21.75" customHeight="1" x14ac:dyDescent="0.3">
      <c r="B85" s="132"/>
      <c r="C85" s="51">
        <f>SUM(C84:C84)</f>
        <v>676799.82</v>
      </c>
      <c r="D85" s="502" t="s">
        <v>55</v>
      </c>
      <c r="E85" s="132"/>
      <c r="F85" s="132"/>
      <c r="G85" s="132"/>
      <c r="H85" s="132"/>
      <c r="I85" s="132"/>
      <c r="J85" s="132"/>
    </row>
    <row r="86" spans="1:10" s="131" customFormat="1" ht="21.75" customHeight="1" thickBot="1" x14ac:dyDescent="0.35">
      <c r="B86" s="132"/>
      <c r="C86" s="409">
        <f>SUM(C85,C83)</f>
        <v>2879704.59</v>
      </c>
      <c r="D86" s="132"/>
      <c r="E86" s="132"/>
      <c r="F86" s="132"/>
      <c r="G86" s="132"/>
      <c r="H86" s="132"/>
      <c r="I86" s="132"/>
      <c r="J86" s="132"/>
    </row>
    <row r="87" spans="1:10" s="131" customFormat="1" ht="21.75" customHeight="1" thickTop="1" x14ac:dyDescent="0.3">
      <c r="A87" s="45" t="s">
        <v>496</v>
      </c>
      <c r="B87" s="132"/>
      <c r="C87" s="132"/>
      <c r="D87" s="132"/>
      <c r="E87" s="132"/>
      <c r="F87" s="132"/>
      <c r="G87" s="132"/>
      <c r="H87" s="132"/>
      <c r="I87" s="132"/>
      <c r="J87" s="132"/>
    </row>
    <row r="89" spans="1:10" s="354" customFormat="1" ht="20.100000000000001" customHeight="1" x14ac:dyDescent="0.25">
      <c r="A89" s="895" t="s">
        <v>643</v>
      </c>
      <c r="B89" s="895"/>
      <c r="C89" s="895"/>
      <c r="D89" s="895"/>
      <c r="E89" s="895"/>
      <c r="F89" s="895"/>
      <c r="G89" s="895"/>
      <c r="H89" s="895"/>
      <c r="I89" s="895"/>
      <c r="J89" s="895"/>
    </row>
    <row r="90" spans="1:10" s="354" customFormat="1" ht="17.25" thickBot="1" x14ac:dyDescent="0.3">
      <c r="A90" s="896"/>
      <c r="B90" s="896"/>
      <c r="C90" s="896"/>
      <c r="D90" s="896"/>
      <c r="E90" s="896"/>
      <c r="F90" s="896"/>
      <c r="G90" s="896"/>
      <c r="H90" s="896"/>
      <c r="I90" s="896"/>
      <c r="J90" s="896"/>
    </row>
    <row r="91" spans="1:10" s="354" customFormat="1" ht="50.25" thickBot="1" x14ac:dyDescent="0.3">
      <c r="A91" s="405" t="s">
        <v>587</v>
      </c>
      <c r="B91" s="214" t="s">
        <v>40</v>
      </c>
      <c r="C91" s="214" t="s">
        <v>591</v>
      </c>
      <c r="D91" s="214" t="s">
        <v>42</v>
      </c>
      <c r="E91" s="214" t="s">
        <v>43</v>
      </c>
      <c r="F91" s="214" t="s">
        <v>44</v>
      </c>
      <c r="G91" s="214" t="s">
        <v>20</v>
      </c>
      <c r="H91" s="214" t="s">
        <v>45</v>
      </c>
      <c r="I91" s="214" t="s">
        <v>22</v>
      </c>
      <c r="J91" s="214" t="s">
        <v>46</v>
      </c>
    </row>
    <row r="92" spans="1:10" s="354" customFormat="1" ht="20.100000000000001" customHeight="1" x14ac:dyDescent="0.25">
      <c r="A92" s="231" t="s">
        <v>47</v>
      </c>
      <c r="B92" s="424">
        <v>2202904.77</v>
      </c>
      <c r="C92" s="424">
        <v>1877342.76</v>
      </c>
      <c r="D92" s="424"/>
      <c r="E92" s="425">
        <v>213731.24</v>
      </c>
      <c r="F92" s="424">
        <f>B92+C92-D92-E92</f>
        <v>3866516.29</v>
      </c>
      <c r="G92" s="424">
        <v>2299755.66</v>
      </c>
      <c r="H92" s="377">
        <f>+G92/F92*100</f>
        <v>59.478752642213749</v>
      </c>
      <c r="I92" s="377">
        <f>F92-G92</f>
        <v>1566760.63</v>
      </c>
      <c r="J92" s="426">
        <f>+I92/F92*100</f>
        <v>40.521247357786251</v>
      </c>
    </row>
    <row r="93" spans="1:10" s="354" customFormat="1" ht="17.25" thickBot="1" x14ac:dyDescent="0.3">
      <c r="A93" s="427" t="s">
        <v>48</v>
      </c>
      <c r="B93" s="426">
        <f>SUM(B92)</f>
        <v>2202904.77</v>
      </c>
      <c r="C93" s="426">
        <f>SUM(C92)</f>
        <v>1877342.76</v>
      </c>
      <c r="D93" s="426">
        <v>0</v>
      </c>
      <c r="E93" s="428">
        <f>SUM(E92)</f>
        <v>213731.24</v>
      </c>
      <c r="F93" s="426">
        <f>SUM(F92)</f>
        <v>3866516.29</v>
      </c>
      <c r="G93" s="426">
        <f>SUM(G92)</f>
        <v>2299755.66</v>
      </c>
      <c r="H93" s="426">
        <f>+G93/F93*100</f>
        <v>59.478752642213749</v>
      </c>
      <c r="I93" s="426">
        <f>SUM(I92)</f>
        <v>1566760.63</v>
      </c>
      <c r="J93" s="426">
        <f>+I93/F93*100</f>
        <v>40.521247357786251</v>
      </c>
    </row>
    <row r="94" spans="1:10" s="354" customFormat="1" ht="50.25" thickBot="1" x14ac:dyDescent="0.3">
      <c r="A94" s="405" t="s">
        <v>587</v>
      </c>
      <c r="B94" s="214" t="s">
        <v>40</v>
      </c>
      <c r="C94" s="214" t="s">
        <v>591</v>
      </c>
      <c r="D94" s="214" t="s">
        <v>42</v>
      </c>
      <c r="E94" s="214" t="s">
        <v>43</v>
      </c>
      <c r="F94" s="214" t="s">
        <v>44</v>
      </c>
      <c r="G94" s="214" t="s">
        <v>20</v>
      </c>
      <c r="H94" s="214" t="s">
        <v>45</v>
      </c>
      <c r="I94" s="214" t="s">
        <v>22</v>
      </c>
      <c r="J94" s="429" t="s">
        <v>46</v>
      </c>
    </row>
    <row r="95" spans="1:10" s="354" customFormat="1" ht="20.100000000000001" customHeight="1" x14ac:dyDescent="0.25">
      <c r="A95" s="235" t="s">
        <v>50</v>
      </c>
      <c r="B95" s="335">
        <v>676799.82</v>
      </c>
      <c r="C95" s="335">
        <v>2366384.8199999998</v>
      </c>
      <c r="D95" s="335">
        <v>0</v>
      </c>
      <c r="E95" s="406">
        <v>0</v>
      </c>
      <c r="F95" s="238">
        <f>B95+C95-D95-E95</f>
        <v>3043184.6399999997</v>
      </c>
      <c r="G95" s="335">
        <v>2880759.5</v>
      </c>
      <c r="H95" s="377">
        <f>+G95/F95*100</f>
        <v>94.662659049172916</v>
      </c>
      <c r="I95" s="377">
        <f>+F95-G95</f>
        <v>162425.13999999966</v>
      </c>
      <c r="J95" s="335">
        <f>+I95/F95*100</f>
        <v>5.3373409508270813</v>
      </c>
    </row>
    <row r="96" spans="1:10" s="354" customFormat="1" ht="20.100000000000001" customHeight="1" x14ac:dyDescent="0.25">
      <c r="A96" s="500" t="s">
        <v>51</v>
      </c>
      <c r="B96" s="430">
        <f t="shared" ref="B96:G96" si="4">SUM(B95:B95)</f>
        <v>676799.82</v>
      </c>
      <c r="C96" s="430">
        <f t="shared" si="4"/>
        <v>2366384.8199999998</v>
      </c>
      <c r="D96" s="430">
        <f t="shared" si="4"/>
        <v>0</v>
      </c>
      <c r="E96" s="431">
        <f t="shared" si="4"/>
        <v>0</v>
      </c>
      <c r="F96" s="430">
        <f t="shared" si="4"/>
        <v>3043184.6399999997</v>
      </c>
      <c r="G96" s="430">
        <f t="shared" si="4"/>
        <v>2880759.5</v>
      </c>
      <c r="H96" s="430">
        <f>+G96/F96*100</f>
        <v>94.662659049172916</v>
      </c>
      <c r="I96" s="430">
        <f>SUM(I95:I95)</f>
        <v>162425.13999999966</v>
      </c>
      <c r="J96" s="430">
        <f>+I96/F96*100</f>
        <v>5.3373409508270813</v>
      </c>
    </row>
    <row r="97" spans="1:10" s="437" customFormat="1" ht="20.100000000000001" customHeight="1" thickBot="1" x14ac:dyDescent="0.3">
      <c r="A97" s="529" t="s">
        <v>36</v>
      </c>
      <c r="B97" s="530">
        <f>SUM(B96,B93)</f>
        <v>2879704.59</v>
      </c>
      <c r="C97" s="530">
        <f>SUM(C96,C93)</f>
        <v>4243727.58</v>
      </c>
      <c r="D97" s="530">
        <f>+D93+D96</f>
        <v>0</v>
      </c>
      <c r="E97" s="530">
        <f>SUM(E96,E93)</f>
        <v>213731.24</v>
      </c>
      <c r="F97" s="530">
        <f>SUM(F96,F93)</f>
        <v>6909700.9299999997</v>
      </c>
      <c r="G97" s="530">
        <f>SUM(G96,G93)</f>
        <v>5180515.16</v>
      </c>
      <c r="H97" s="530">
        <f>+G97/F97*100</f>
        <v>74.974520785807726</v>
      </c>
      <c r="I97" s="530">
        <f>SUM(I96,I93)</f>
        <v>1729185.7699999996</v>
      </c>
      <c r="J97" s="530">
        <f>+I97/F97*100</f>
        <v>25.025479214192263</v>
      </c>
    </row>
    <row r="98" spans="1:10" s="354" customFormat="1" ht="20.100000000000001" customHeight="1" thickTop="1" x14ac:dyDescent="0.3">
      <c r="A98" s="131"/>
      <c r="B98" s="132"/>
      <c r="C98" s="132"/>
      <c r="D98" s="132"/>
      <c r="E98" s="132"/>
      <c r="F98" s="132"/>
      <c r="G98" s="132"/>
      <c r="H98" s="132"/>
      <c r="I98" s="132"/>
      <c r="J98" s="132"/>
    </row>
    <row r="99" spans="1:10" s="354" customFormat="1" ht="20.100000000000001" customHeight="1" x14ac:dyDescent="0.25">
      <c r="A99" s="501" t="s">
        <v>37</v>
      </c>
      <c r="B99" s="190"/>
      <c r="C99" s="502"/>
      <c r="D99" s="502"/>
      <c r="E99" s="502"/>
      <c r="F99" s="502"/>
      <c r="G99" s="502"/>
      <c r="H99" s="503"/>
      <c r="I99" s="502"/>
      <c r="J99" s="190"/>
    </row>
    <row r="100" spans="1:10" s="354" customFormat="1" ht="20.100000000000001" customHeight="1" x14ac:dyDescent="0.25">
      <c r="C100" s="504" t="s">
        <v>52</v>
      </c>
      <c r="D100" s="502"/>
      <c r="E100" s="502"/>
      <c r="F100" s="502"/>
      <c r="G100" s="502"/>
      <c r="H100" s="503"/>
      <c r="I100" s="502"/>
      <c r="J100" s="190"/>
    </row>
    <row r="101" spans="1:10" s="354" customFormat="1" ht="20.100000000000001" customHeight="1" x14ac:dyDescent="0.25">
      <c r="A101" s="505" t="s">
        <v>53</v>
      </c>
      <c r="B101" s="354" t="s">
        <v>494</v>
      </c>
      <c r="C101" s="476">
        <v>364300.61</v>
      </c>
      <c r="D101" s="502" t="s">
        <v>55</v>
      </c>
      <c r="E101" s="357" t="s">
        <v>592</v>
      </c>
      <c r="F101" s="502"/>
      <c r="G101" s="502"/>
      <c r="H101" s="503"/>
      <c r="I101" s="502"/>
      <c r="J101" s="190"/>
    </row>
    <row r="102" spans="1:10" s="354" customFormat="1" ht="20.100000000000001" customHeight="1" x14ac:dyDescent="0.3">
      <c r="A102" s="131"/>
      <c r="B102" s="354" t="s">
        <v>593</v>
      </c>
      <c r="C102" s="407">
        <v>1202460.02</v>
      </c>
      <c r="D102" s="502" t="s">
        <v>55</v>
      </c>
      <c r="E102" s="132" t="s">
        <v>594</v>
      </c>
      <c r="F102" s="132"/>
      <c r="G102" s="132"/>
      <c r="H102" s="132"/>
      <c r="I102" s="132"/>
      <c r="J102" s="132"/>
    </row>
    <row r="103" spans="1:10" s="131" customFormat="1" ht="21.75" customHeight="1" thickBot="1" x14ac:dyDescent="0.35">
      <c r="B103" s="132"/>
      <c r="C103" s="408">
        <f>SUM(C101:C102)</f>
        <v>1566760.63</v>
      </c>
      <c r="D103" s="502" t="s">
        <v>55</v>
      </c>
      <c r="E103" s="132"/>
      <c r="F103" s="132"/>
      <c r="G103" s="132"/>
      <c r="H103" s="132"/>
      <c r="I103" s="132"/>
      <c r="J103" s="132"/>
    </row>
    <row r="104" spans="1:10" s="131" customFormat="1" ht="21.75" customHeight="1" thickTop="1" x14ac:dyDescent="0.3">
      <c r="A104" s="505" t="s">
        <v>248</v>
      </c>
      <c r="B104" s="132" t="s">
        <v>593</v>
      </c>
      <c r="C104" s="132">
        <v>162425.14000000001</v>
      </c>
      <c r="D104" s="502" t="s">
        <v>55</v>
      </c>
      <c r="E104" s="132" t="s">
        <v>594</v>
      </c>
      <c r="F104" s="132"/>
      <c r="G104" s="132"/>
      <c r="H104" s="132"/>
      <c r="I104" s="132"/>
      <c r="J104" s="132"/>
    </row>
    <row r="105" spans="1:10" s="131" customFormat="1" ht="21.75" customHeight="1" x14ac:dyDescent="0.3">
      <c r="B105" s="132"/>
      <c r="C105" s="51">
        <f>SUM(C104:C104)</f>
        <v>162425.14000000001</v>
      </c>
      <c r="D105" s="502" t="s">
        <v>55</v>
      </c>
      <c r="E105" s="132"/>
      <c r="F105" s="132"/>
      <c r="G105" s="132"/>
      <c r="H105" s="132"/>
      <c r="I105" s="132"/>
      <c r="J105" s="132"/>
    </row>
    <row r="106" spans="1:10" s="131" customFormat="1" ht="21.75" customHeight="1" thickBot="1" x14ac:dyDescent="0.35">
      <c r="B106" s="132"/>
      <c r="C106" s="409">
        <f>SUM(C105,C103)</f>
        <v>1729185.77</v>
      </c>
      <c r="D106" s="132"/>
      <c r="E106" s="132"/>
      <c r="F106" s="132"/>
      <c r="G106" s="132"/>
      <c r="H106" s="132"/>
      <c r="I106" s="132"/>
      <c r="J106" s="132"/>
    </row>
    <row r="107" spans="1:10" s="131" customFormat="1" ht="21.75" customHeight="1" thickTop="1" x14ac:dyDescent="0.3">
      <c r="A107" s="45"/>
      <c r="B107" s="132"/>
      <c r="C107" s="132"/>
      <c r="D107" s="132"/>
      <c r="E107" s="132"/>
      <c r="F107" s="132"/>
      <c r="G107" s="132"/>
      <c r="H107" s="132"/>
      <c r="I107" s="132"/>
      <c r="J107" s="132"/>
    </row>
    <row r="108" spans="1:10" s="354" customFormat="1" ht="20.100000000000001" customHeight="1" x14ac:dyDescent="0.25">
      <c r="A108" s="895" t="s">
        <v>709</v>
      </c>
      <c r="B108" s="895"/>
      <c r="C108" s="895"/>
      <c r="D108" s="895"/>
      <c r="E108" s="895"/>
      <c r="F108" s="895"/>
      <c r="G108" s="895"/>
      <c r="H108" s="895"/>
      <c r="I108" s="895"/>
      <c r="J108" s="895"/>
    </row>
    <row r="109" spans="1:10" s="354" customFormat="1" ht="17.25" thickBot="1" x14ac:dyDescent="0.3">
      <c r="A109" s="896"/>
      <c r="B109" s="896"/>
      <c r="C109" s="896"/>
      <c r="D109" s="896"/>
      <c r="E109" s="896"/>
      <c r="F109" s="896"/>
      <c r="G109" s="896"/>
      <c r="H109" s="896"/>
      <c r="I109" s="896"/>
      <c r="J109" s="896"/>
    </row>
    <row r="110" spans="1:10" s="354" customFormat="1" ht="50.25" thickBot="1" x14ac:dyDescent="0.3">
      <c r="A110" s="405" t="s">
        <v>696</v>
      </c>
      <c r="B110" s="214" t="s">
        <v>40</v>
      </c>
      <c r="C110" s="214" t="s">
        <v>710</v>
      </c>
      <c r="D110" s="214" t="s">
        <v>42</v>
      </c>
      <c r="E110" s="214" t="s">
        <v>43</v>
      </c>
      <c r="F110" s="214" t="s">
        <v>44</v>
      </c>
      <c r="G110" s="214" t="s">
        <v>20</v>
      </c>
      <c r="H110" s="214" t="s">
        <v>45</v>
      </c>
      <c r="I110" s="214" t="s">
        <v>22</v>
      </c>
      <c r="J110" s="214" t="s">
        <v>46</v>
      </c>
    </row>
    <row r="111" spans="1:10" s="354" customFormat="1" ht="20.100000000000001" customHeight="1" x14ac:dyDescent="0.25">
      <c r="A111" s="231" t="s">
        <v>47</v>
      </c>
      <c r="B111" s="424">
        <v>1566760.63</v>
      </c>
      <c r="C111" s="424">
        <v>3073788.1</v>
      </c>
      <c r="D111" s="424"/>
      <c r="E111" s="425">
        <v>0</v>
      </c>
      <c r="F111" s="424">
        <f>B111+C111-D111-E111</f>
        <v>4640548.7300000004</v>
      </c>
      <c r="G111" s="424">
        <v>3089511.45</v>
      </c>
      <c r="H111" s="377">
        <f>+G111/F111*100</f>
        <v>66.576425111691478</v>
      </c>
      <c r="I111" s="377">
        <f>F111-G111</f>
        <v>1551037.2800000003</v>
      </c>
      <c r="J111" s="426">
        <f>+I111/F111*100</f>
        <v>33.423574888308522</v>
      </c>
    </row>
    <row r="112" spans="1:10" s="354" customFormat="1" ht="17.25" thickBot="1" x14ac:dyDescent="0.3">
      <c r="A112" s="427" t="s">
        <v>48</v>
      </c>
      <c r="B112" s="426">
        <f>SUM(B111)</f>
        <v>1566760.63</v>
      </c>
      <c r="C112" s="426">
        <f>SUM(C111)</f>
        <v>3073788.1</v>
      </c>
      <c r="D112" s="426">
        <v>0</v>
      </c>
      <c r="E112" s="428">
        <f>SUM(E111)</f>
        <v>0</v>
      </c>
      <c r="F112" s="426">
        <f>SUM(F111)</f>
        <v>4640548.7300000004</v>
      </c>
      <c r="G112" s="426">
        <f>SUM(G111)</f>
        <v>3089511.45</v>
      </c>
      <c r="H112" s="426">
        <f>+G112/F112*100</f>
        <v>66.576425111691478</v>
      </c>
      <c r="I112" s="426">
        <f>SUM(I111)</f>
        <v>1551037.2800000003</v>
      </c>
      <c r="J112" s="426">
        <f>+I112/F112*100</f>
        <v>33.423574888308522</v>
      </c>
    </row>
    <row r="113" spans="1:10" s="354" customFormat="1" ht="50.25" thickBot="1" x14ac:dyDescent="0.3">
      <c r="A113" s="405" t="s">
        <v>696</v>
      </c>
      <c r="B113" s="214" t="s">
        <v>40</v>
      </c>
      <c r="C113" s="214" t="s">
        <v>710</v>
      </c>
      <c r="D113" s="214" t="s">
        <v>42</v>
      </c>
      <c r="E113" s="214" t="s">
        <v>43</v>
      </c>
      <c r="F113" s="214" t="s">
        <v>44</v>
      </c>
      <c r="G113" s="214" t="s">
        <v>20</v>
      </c>
      <c r="H113" s="214" t="s">
        <v>45</v>
      </c>
      <c r="I113" s="214" t="s">
        <v>22</v>
      </c>
      <c r="J113" s="429" t="s">
        <v>46</v>
      </c>
    </row>
    <row r="114" spans="1:10" s="354" customFormat="1" ht="20.100000000000001" customHeight="1" x14ac:dyDescent="0.25">
      <c r="A114" s="235" t="s">
        <v>50</v>
      </c>
      <c r="B114" s="335">
        <v>162425.14000000001</v>
      </c>
      <c r="C114" s="335">
        <v>1186175.8899999999</v>
      </c>
      <c r="D114" s="335">
        <v>0</v>
      </c>
      <c r="E114" s="406">
        <v>0</v>
      </c>
      <c r="F114" s="238">
        <f>B114+C114-D114-E114</f>
        <v>1348601.0299999998</v>
      </c>
      <c r="G114" s="335">
        <v>858960.04</v>
      </c>
      <c r="H114" s="377">
        <f>+G114/F114*100</f>
        <v>63.692672695052011</v>
      </c>
      <c r="I114" s="377">
        <f>+F114-G114</f>
        <v>489640.98999999976</v>
      </c>
      <c r="J114" s="335">
        <f>+I114/F114*100</f>
        <v>36.307327304947989</v>
      </c>
    </row>
    <row r="115" spans="1:10" s="354" customFormat="1" ht="20.100000000000001" customHeight="1" x14ac:dyDescent="0.25">
      <c r="A115" s="500" t="s">
        <v>51</v>
      </c>
      <c r="B115" s="430">
        <f t="shared" ref="B115:G115" si="5">SUM(B114:B114)</f>
        <v>162425.14000000001</v>
      </c>
      <c r="C115" s="430">
        <f t="shared" si="5"/>
        <v>1186175.8899999999</v>
      </c>
      <c r="D115" s="430">
        <f t="shared" si="5"/>
        <v>0</v>
      </c>
      <c r="E115" s="431">
        <f t="shared" si="5"/>
        <v>0</v>
      </c>
      <c r="F115" s="430">
        <f t="shared" si="5"/>
        <v>1348601.0299999998</v>
      </c>
      <c r="G115" s="430">
        <f t="shared" si="5"/>
        <v>858960.04</v>
      </c>
      <c r="H115" s="430">
        <f>+G115/F115*100</f>
        <v>63.692672695052011</v>
      </c>
      <c r="I115" s="430">
        <f>SUM(I114:I114)</f>
        <v>489640.98999999976</v>
      </c>
      <c r="J115" s="430">
        <f>+I115/F115*100</f>
        <v>36.307327304947989</v>
      </c>
    </row>
    <row r="116" spans="1:10" s="437" customFormat="1" ht="20.100000000000001" customHeight="1" thickBot="1" x14ac:dyDescent="0.3">
      <c r="A116" s="529" t="s">
        <v>36</v>
      </c>
      <c r="B116" s="530">
        <f>SUM(B115,B112)</f>
        <v>1729185.77</v>
      </c>
      <c r="C116" s="530">
        <f>SUM(C115,C112)</f>
        <v>4259963.99</v>
      </c>
      <c r="D116" s="530">
        <f>+D112+D115</f>
        <v>0</v>
      </c>
      <c r="E116" s="530">
        <f>SUM(E115,E112)</f>
        <v>0</v>
      </c>
      <c r="F116" s="530">
        <f>SUM(F115,F112)</f>
        <v>5989149.7599999998</v>
      </c>
      <c r="G116" s="530">
        <f>SUM(G115,G112)</f>
        <v>3948471.49</v>
      </c>
      <c r="H116" s="530">
        <f>+G116/F116*100</f>
        <v>65.927078938163007</v>
      </c>
      <c r="I116" s="530">
        <f>SUM(I115,I112)</f>
        <v>2040678.27</v>
      </c>
      <c r="J116" s="530">
        <f>+I116/F116*100</f>
        <v>34.072921061837</v>
      </c>
    </row>
    <row r="117" spans="1:10" s="354" customFormat="1" ht="20.100000000000001" customHeight="1" thickTop="1" x14ac:dyDescent="0.3">
      <c r="A117" s="131"/>
      <c r="B117" s="132"/>
      <c r="C117" s="132"/>
      <c r="D117" s="132"/>
      <c r="E117" s="132"/>
      <c r="F117" s="132"/>
      <c r="G117" s="132"/>
      <c r="H117" s="132"/>
      <c r="I117" s="132"/>
      <c r="J117" s="132"/>
    </row>
    <row r="118" spans="1:10" s="354" customFormat="1" ht="20.100000000000001" customHeight="1" x14ac:dyDescent="0.25">
      <c r="A118" s="501" t="s">
        <v>37</v>
      </c>
      <c r="B118" s="190"/>
      <c r="C118" s="502"/>
      <c r="D118" s="502"/>
      <c r="E118" s="502"/>
      <c r="F118" s="502"/>
      <c r="G118" s="502"/>
      <c r="H118" s="503"/>
      <c r="I118" s="502"/>
      <c r="J118" s="190"/>
    </row>
    <row r="119" spans="1:10" s="354" customFormat="1" ht="20.100000000000001" customHeight="1" x14ac:dyDescent="0.25">
      <c r="C119" s="504" t="s">
        <v>52</v>
      </c>
      <c r="D119" s="502"/>
      <c r="E119" s="502"/>
      <c r="F119" s="502"/>
      <c r="G119" s="502"/>
      <c r="H119" s="503"/>
      <c r="I119" s="502"/>
      <c r="J119" s="190"/>
    </row>
    <row r="120" spans="1:10" s="354" customFormat="1" ht="20.100000000000001" customHeight="1" x14ac:dyDescent="0.25">
      <c r="A120" s="505" t="s">
        <v>53</v>
      </c>
      <c r="B120" s="354" t="s">
        <v>494</v>
      </c>
      <c r="C120" s="476">
        <v>108089.95</v>
      </c>
      <c r="D120" s="502" t="s">
        <v>55</v>
      </c>
      <c r="E120" s="357" t="s">
        <v>711</v>
      </c>
      <c r="F120" s="502"/>
      <c r="G120" s="502"/>
      <c r="H120" s="503"/>
      <c r="I120" s="502"/>
      <c r="J120" s="190"/>
    </row>
    <row r="121" spans="1:10" s="354" customFormat="1" ht="20.100000000000001" customHeight="1" x14ac:dyDescent="0.3">
      <c r="A121" s="131"/>
      <c r="B121" s="354" t="s">
        <v>593</v>
      </c>
      <c r="C121" s="407">
        <v>263160.38</v>
      </c>
      <c r="D121" s="502" t="s">
        <v>55</v>
      </c>
      <c r="E121" s="357" t="s">
        <v>711</v>
      </c>
      <c r="F121" s="132"/>
      <c r="G121" s="132"/>
      <c r="H121" s="132"/>
      <c r="I121" s="132"/>
      <c r="J121" s="132"/>
    </row>
    <row r="122" spans="1:10" s="354" customFormat="1" ht="20.100000000000001" customHeight="1" x14ac:dyDescent="0.3">
      <c r="A122" s="131"/>
      <c r="B122" s="354" t="s">
        <v>712</v>
      </c>
      <c r="C122" s="407">
        <v>1179786.95</v>
      </c>
      <c r="D122" s="502"/>
      <c r="E122" s="132" t="s">
        <v>713</v>
      </c>
      <c r="F122" s="132"/>
      <c r="G122" s="132"/>
      <c r="H122" s="132"/>
      <c r="I122" s="132"/>
      <c r="J122" s="132"/>
    </row>
    <row r="123" spans="1:10" s="131" customFormat="1" ht="21.75" customHeight="1" thickBot="1" x14ac:dyDescent="0.35">
      <c r="B123" s="132"/>
      <c r="C123" s="408">
        <f>SUM(C120:C122)</f>
        <v>1551037.28</v>
      </c>
      <c r="D123" s="502" t="s">
        <v>55</v>
      </c>
      <c r="E123" s="132"/>
      <c r="F123" s="132"/>
      <c r="G123" s="132"/>
      <c r="H123" s="132"/>
      <c r="I123" s="132"/>
      <c r="J123" s="132"/>
    </row>
    <row r="124" spans="1:10" s="131" customFormat="1" ht="21.75" customHeight="1" thickTop="1" x14ac:dyDescent="0.3">
      <c r="A124" s="505" t="s">
        <v>248</v>
      </c>
      <c r="B124" s="354" t="s">
        <v>712</v>
      </c>
      <c r="C124" s="132">
        <v>489640.99</v>
      </c>
      <c r="D124" s="502" t="s">
        <v>55</v>
      </c>
      <c r="E124" s="132" t="s">
        <v>713</v>
      </c>
      <c r="F124" s="132"/>
      <c r="G124" s="132"/>
      <c r="H124" s="132"/>
      <c r="I124" s="132"/>
      <c r="J124" s="132"/>
    </row>
    <row r="125" spans="1:10" s="131" customFormat="1" ht="21.75" customHeight="1" x14ac:dyDescent="0.3">
      <c r="B125" s="132"/>
      <c r="C125" s="51">
        <f>SUM(C124:C124)</f>
        <v>489640.99</v>
      </c>
      <c r="D125" s="502" t="s">
        <v>55</v>
      </c>
      <c r="E125" s="132"/>
      <c r="F125" s="132"/>
      <c r="G125" s="132"/>
      <c r="H125" s="132"/>
      <c r="I125" s="132"/>
      <c r="J125" s="132"/>
    </row>
    <row r="126" spans="1:10" s="131" customFormat="1" ht="21.75" customHeight="1" thickBot="1" x14ac:dyDescent="0.35">
      <c r="B126" s="132"/>
      <c r="C126" s="409">
        <f>SUM(C125,C123)</f>
        <v>2040678.27</v>
      </c>
      <c r="D126" s="132"/>
      <c r="E126" s="132"/>
      <c r="F126" s="132"/>
      <c r="G126" s="132"/>
      <c r="H126" s="132"/>
      <c r="I126" s="132"/>
      <c r="J126" s="132"/>
    </row>
    <row r="127" spans="1:10" s="131" customFormat="1" ht="21.75" customHeight="1" thickTop="1" x14ac:dyDescent="0.3">
      <c r="B127" s="132"/>
      <c r="C127" s="51"/>
      <c r="D127" s="132"/>
      <c r="E127" s="132"/>
      <c r="F127" s="132"/>
      <c r="G127" s="132"/>
      <c r="H127" s="132"/>
      <c r="I127" s="132"/>
      <c r="J127" s="132"/>
    </row>
    <row r="129" spans="1:10" s="621" customFormat="1" ht="13.5" customHeight="1" x14ac:dyDescent="0.25">
      <c r="A129" s="895" t="s">
        <v>804</v>
      </c>
      <c r="B129" s="895"/>
      <c r="C129" s="895"/>
      <c r="D129" s="895"/>
      <c r="E129" s="895"/>
      <c r="F129" s="895"/>
      <c r="G129" s="895"/>
      <c r="H129" s="895"/>
      <c r="I129" s="895"/>
      <c r="J129" s="895"/>
    </row>
    <row r="130" spans="1:10" s="621" customFormat="1" ht="17.25" thickBot="1" x14ac:dyDescent="0.3">
      <c r="A130" s="896"/>
      <c r="B130" s="896"/>
      <c r="C130" s="896"/>
      <c r="D130" s="896"/>
      <c r="E130" s="896"/>
      <c r="F130" s="896"/>
      <c r="G130" s="896"/>
      <c r="H130" s="896"/>
      <c r="I130" s="896"/>
      <c r="J130" s="896"/>
    </row>
    <row r="131" spans="1:10" s="621" customFormat="1" ht="50.25" thickBot="1" x14ac:dyDescent="0.3">
      <c r="A131" s="405" t="s">
        <v>800</v>
      </c>
      <c r="B131" s="214" t="s">
        <v>40</v>
      </c>
      <c r="C131" s="214" t="s">
        <v>805</v>
      </c>
      <c r="D131" s="214" t="s">
        <v>42</v>
      </c>
      <c r="E131" s="214" t="s">
        <v>43</v>
      </c>
      <c r="F131" s="214" t="s">
        <v>44</v>
      </c>
      <c r="G131" s="214" t="s">
        <v>20</v>
      </c>
      <c r="H131" s="214" t="s">
        <v>45</v>
      </c>
      <c r="I131" s="214" t="s">
        <v>22</v>
      </c>
      <c r="J131" s="214" t="s">
        <v>46</v>
      </c>
    </row>
    <row r="132" spans="1:10" s="621" customFormat="1" ht="20.100000000000001" customHeight="1" x14ac:dyDescent="0.25">
      <c r="A132" s="231" t="s">
        <v>47</v>
      </c>
      <c r="B132" s="424">
        <v>1551037.28</v>
      </c>
      <c r="C132" s="424">
        <v>1898092.74</v>
      </c>
      <c r="D132" s="424"/>
      <c r="E132" s="425">
        <v>143132.85999999999</v>
      </c>
      <c r="F132" s="424">
        <f>B132+C132-D132-E132</f>
        <v>3305997.16</v>
      </c>
      <c r="G132" s="424">
        <v>1750679.35</v>
      </c>
      <c r="H132" s="377">
        <f>+G132/F132*100</f>
        <v>52.95465377834747</v>
      </c>
      <c r="I132" s="377">
        <f>F132-G132</f>
        <v>1555317.81</v>
      </c>
      <c r="J132" s="426">
        <f>+I132/F132*100</f>
        <v>47.04534622165253</v>
      </c>
    </row>
    <row r="133" spans="1:10" s="621" customFormat="1" ht="17.25" thickBot="1" x14ac:dyDescent="0.3">
      <c r="A133" s="427" t="s">
        <v>48</v>
      </c>
      <c r="B133" s="426">
        <f>SUM(B132)</f>
        <v>1551037.28</v>
      </c>
      <c r="C133" s="426">
        <f>SUM(C132)</f>
        <v>1898092.74</v>
      </c>
      <c r="D133" s="426">
        <v>0</v>
      </c>
      <c r="E133" s="428">
        <f>SUM(E132)</f>
        <v>143132.85999999999</v>
      </c>
      <c r="F133" s="426">
        <f>SUM(F132)</f>
        <v>3305997.16</v>
      </c>
      <c r="G133" s="426">
        <f>SUM(G132)</f>
        <v>1750679.35</v>
      </c>
      <c r="H133" s="426">
        <f>+G133/F133*100</f>
        <v>52.95465377834747</v>
      </c>
      <c r="I133" s="426">
        <f>SUM(I132)</f>
        <v>1555317.81</v>
      </c>
      <c r="J133" s="426">
        <f>+I133/F133*100</f>
        <v>47.04534622165253</v>
      </c>
    </row>
    <row r="134" spans="1:10" s="621" customFormat="1" ht="50.25" thickBot="1" x14ac:dyDescent="0.3">
      <c r="A134" s="405" t="s">
        <v>800</v>
      </c>
      <c r="B134" s="214" t="s">
        <v>40</v>
      </c>
      <c r="C134" s="214" t="s">
        <v>805</v>
      </c>
      <c r="D134" s="214" t="s">
        <v>42</v>
      </c>
      <c r="E134" s="214" t="s">
        <v>43</v>
      </c>
      <c r="F134" s="214" t="s">
        <v>44</v>
      </c>
      <c r="G134" s="214" t="s">
        <v>20</v>
      </c>
      <c r="H134" s="214" t="s">
        <v>45</v>
      </c>
      <c r="I134" s="214" t="s">
        <v>22</v>
      </c>
      <c r="J134" s="429" t="s">
        <v>46</v>
      </c>
    </row>
    <row r="135" spans="1:10" s="621" customFormat="1" ht="20.100000000000001" customHeight="1" x14ac:dyDescent="0.25">
      <c r="A135" s="235" t="s">
        <v>50</v>
      </c>
      <c r="B135" s="335">
        <v>489640.99</v>
      </c>
      <c r="C135" s="335">
        <v>1669435.83</v>
      </c>
      <c r="D135" s="335">
        <v>0</v>
      </c>
      <c r="E135" s="406">
        <v>0</v>
      </c>
      <c r="F135" s="238">
        <f>B135+C135-D135-E135</f>
        <v>2159076.8200000003</v>
      </c>
      <c r="G135" s="335">
        <v>1445103.91</v>
      </c>
      <c r="H135" s="377">
        <f>+G135/F135*100</f>
        <v>66.931565223325379</v>
      </c>
      <c r="I135" s="377">
        <f>+F135-G135</f>
        <v>713972.91000000038</v>
      </c>
      <c r="J135" s="335">
        <f>+I135/F135*100</f>
        <v>33.068434776674607</v>
      </c>
    </row>
    <row r="136" spans="1:10" s="621" customFormat="1" ht="20.100000000000001" customHeight="1" x14ac:dyDescent="0.25">
      <c r="A136" s="500" t="s">
        <v>51</v>
      </c>
      <c r="B136" s="430">
        <f t="shared" ref="B136:G136" si="6">SUM(B135:B135)</f>
        <v>489640.99</v>
      </c>
      <c r="C136" s="430">
        <f t="shared" si="6"/>
        <v>1669435.83</v>
      </c>
      <c r="D136" s="430">
        <f t="shared" si="6"/>
        <v>0</v>
      </c>
      <c r="E136" s="431">
        <f t="shared" si="6"/>
        <v>0</v>
      </c>
      <c r="F136" s="430">
        <f t="shared" si="6"/>
        <v>2159076.8200000003</v>
      </c>
      <c r="G136" s="430">
        <f t="shared" si="6"/>
        <v>1445103.91</v>
      </c>
      <c r="H136" s="430">
        <f>+G136/F136*100</f>
        <v>66.931565223325379</v>
      </c>
      <c r="I136" s="430">
        <f>SUM(I135:I135)</f>
        <v>713972.91000000038</v>
      </c>
      <c r="J136" s="430">
        <f>+I136/F136*100</f>
        <v>33.068434776674607</v>
      </c>
    </row>
    <row r="137" spans="1:10" s="437" customFormat="1" ht="20.100000000000001" customHeight="1" thickBot="1" x14ac:dyDescent="0.3">
      <c r="A137" s="529" t="s">
        <v>36</v>
      </c>
      <c r="B137" s="530">
        <f>SUM(B136,B133)</f>
        <v>2040678.27</v>
      </c>
      <c r="C137" s="530">
        <f>SUM(C136,C133)</f>
        <v>3567528.5700000003</v>
      </c>
      <c r="D137" s="530">
        <f>+D133+D136</f>
        <v>0</v>
      </c>
      <c r="E137" s="530">
        <f>SUM(E136,E133)</f>
        <v>143132.85999999999</v>
      </c>
      <c r="F137" s="530">
        <f>SUM(F136,F133)</f>
        <v>5465073.9800000004</v>
      </c>
      <c r="G137" s="530">
        <f>SUM(G136,G133)</f>
        <v>3195783.26</v>
      </c>
      <c r="H137" s="530">
        <f>+G137/F137*100</f>
        <v>58.476486717202668</v>
      </c>
      <c r="I137" s="530">
        <f>SUM(I136,I133)</f>
        <v>2269290.7200000007</v>
      </c>
      <c r="J137" s="530">
        <f>+I137/F137*100</f>
        <v>41.523513282797325</v>
      </c>
    </row>
    <row r="138" spans="1:10" s="621" customFormat="1" ht="20.100000000000001" customHeight="1" thickTop="1" x14ac:dyDescent="0.3">
      <c r="A138" s="131"/>
      <c r="B138" s="132"/>
      <c r="C138" s="132"/>
      <c r="D138" s="132"/>
      <c r="E138" s="132"/>
      <c r="F138" s="132"/>
      <c r="G138" s="132"/>
      <c r="H138" s="132"/>
      <c r="I138" s="132"/>
      <c r="J138" s="132"/>
    </row>
    <row r="139" spans="1:10" s="621" customFormat="1" ht="20.100000000000001" customHeight="1" x14ac:dyDescent="0.25">
      <c r="A139" s="501" t="s">
        <v>37</v>
      </c>
      <c r="B139" s="190"/>
      <c r="C139" s="502"/>
      <c r="D139" s="502"/>
      <c r="E139" s="502"/>
      <c r="F139" s="502"/>
      <c r="G139" s="502"/>
      <c r="H139" s="503"/>
      <c r="I139" s="502"/>
      <c r="J139" s="190"/>
    </row>
    <row r="140" spans="1:10" s="621" customFormat="1" ht="20.100000000000001" customHeight="1" x14ac:dyDescent="0.25">
      <c r="C140" s="504" t="s">
        <v>52</v>
      </c>
      <c r="D140" s="502"/>
      <c r="E140" s="502"/>
      <c r="F140" s="502"/>
      <c r="G140" s="502"/>
      <c r="H140" s="503"/>
      <c r="I140" s="502"/>
      <c r="J140" s="190"/>
    </row>
    <row r="141" spans="1:10" s="621" customFormat="1" ht="20.100000000000001" customHeight="1" x14ac:dyDescent="0.3">
      <c r="A141" s="505" t="s">
        <v>53</v>
      </c>
      <c r="B141" s="621" t="s">
        <v>712</v>
      </c>
      <c r="C141" s="476">
        <v>127184.02</v>
      </c>
      <c r="D141" s="502" t="s">
        <v>55</v>
      </c>
      <c r="E141" s="132" t="s">
        <v>806</v>
      </c>
      <c r="F141" s="502"/>
      <c r="G141" s="502"/>
      <c r="H141" s="503"/>
      <c r="I141" s="502"/>
      <c r="J141" s="190"/>
    </row>
    <row r="142" spans="1:10" s="621" customFormat="1" ht="20.100000000000001" customHeight="1" x14ac:dyDescent="0.3">
      <c r="A142" s="131"/>
      <c r="B142" s="621" t="s">
        <v>807</v>
      </c>
      <c r="C142" s="407">
        <v>1428133.79</v>
      </c>
      <c r="D142" s="502" t="s">
        <v>55</v>
      </c>
      <c r="E142" s="132" t="s">
        <v>806</v>
      </c>
      <c r="F142" s="132"/>
      <c r="G142" s="132"/>
      <c r="H142" s="132"/>
      <c r="I142" s="132"/>
      <c r="J142" s="132"/>
    </row>
    <row r="143" spans="1:10" s="131" customFormat="1" ht="21.75" customHeight="1" thickBot="1" x14ac:dyDescent="0.35">
      <c r="B143" s="132"/>
      <c r="C143" s="408">
        <f>SUM(C141:C142)</f>
        <v>1555317.81</v>
      </c>
      <c r="D143" s="502" t="s">
        <v>55</v>
      </c>
      <c r="E143" s="132"/>
      <c r="F143" s="132"/>
      <c r="G143" s="132"/>
      <c r="H143" s="132"/>
      <c r="I143" s="132"/>
      <c r="J143" s="132"/>
    </row>
    <row r="144" spans="1:10" s="131" customFormat="1" ht="21.75" customHeight="1" thickTop="1" x14ac:dyDescent="0.3">
      <c r="A144" s="505" t="s">
        <v>248</v>
      </c>
      <c r="B144" s="621" t="s">
        <v>807</v>
      </c>
      <c r="C144" s="132">
        <v>713972.91</v>
      </c>
      <c r="D144" s="502" t="s">
        <v>55</v>
      </c>
      <c r="E144" s="132" t="s">
        <v>806</v>
      </c>
      <c r="F144" s="132"/>
      <c r="G144" s="132"/>
      <c r="H144" s="132"/>
      <c r="I144" s="132"/>
      <c r="J144" s="132"/>
    </row>
    <row r="145" spans="1:10" s="131" customFormat="1" ht="21.75" customHeight="1" x14ac:dyDescent="0.3">
      <c r="B145" s="132"/>
      <c r="C145" s="51">
        <f>SUM(C144:C144)</f>
        <v>713972.91</v>
      </c>
      <c r="D145" s="502" t="s">
        <v>55</v>
      </c>
      <c r="E145" s="132"/>
      <c r="F145" s="132"/>
      <c r="G145" s="132"/>
      <c r="H145" s="132"/>
      <c r="I145" s="132"/>
      <c r="J145" s="132"/>
    </row>
    <row r="146" spans="1:10" s="131" customFormat="1" ht="21.75" customHeight="1" thickBot="1" x14ac:dyDescent="0.35">
      <c r="B146" s="132"/>
      <c r="C146" s="409">
        <f>SUM(C145,C143)</f>
        <v>2269290.7200000002</v>
      </c>
      <c r="D146" s="132"/>
      <c r="E146" s="132"/>
      <c r="F146" s="132"/>
      <c r="G146" s="132"/>
      <c r="H146" s="132"/>
      <c r="I146" s="132"/>
      <c r="J146" s="132"/>
    </row>
    <row r="147" spans="1:10" ht="20.100000000000001" customHeight="1" thickTop="1" x14ac:dyDescent="0.3"/>
    <row r="148" spans="1:10" s="657" customFormat="1" ht="20.100000000000001" customHeight="1" x14ac:dyDescent="0.3">
      <c r="A148" s="657" t="s">
        <v>808</v>
      </c>
    </row>
    <row r="151" spans="1:10" s="621" customFormat="1" ht="20.100000000000001" customHeight="1" x14ac:dyDescent="0.25">
      <c r="A151" s="895" t="s">
        <v>953</v>
      </c>
      <c r="B151" s="895"/>
      <c r="C151" s="895"/>
      <c r="D151" s="895"/>
      <c r="E151" s="895"/>
      <c r="F151" s="895"/>
      <c r="G151" s="895"/>
      <c r="H151" s="895"/>
      <c r="I151" s="895"/>
      <c r="J151" s="895"/>
    </row>
    <row r="152" spans="1:10" s="621" customFormat="1" ht="17.25" thickBot="1" x14ac:dyDescent="0.3">
      <c r="A152" s="896"/>
      <c r="B152" s="896"/>
      <c r="C152" s="896"/>
      <c r="D152" s="896"/>
      <c r="E152" s="896"/>
      <c r="F152" s="896"/>
      <c r="G152" s="896"/>
      <c r="H152" s="896"/>
      <c r="I152" s="896"/>
      <c r="J152" s="896"/>
    </row>
    <row r="153" spans="1:10" s="621" customFormat="1" ht="50.25" thickBot="1" x14ac:dyDescent="0.3">
      <c r="A153" s="405" t="s">
        <v>944</v>
      </c>
      <c r="B153" s="214" t="s">
        <v>40</v>
      </c>
      <c r="C153" s="214" t="s">
        <v>954</v>
      </c>
      <c r="D153" s="214" t="s">
        <v>42</v>
      </c>
      <c r="E153" s="214" t="s">
        <v>43</v>
      </c>
      <c r="F153" s="214" t="s">
        <v>44</v>
      </c>
      <c r="G153" s="214" t="s">
        <v>20</v>
      </c>
      <c r="H153" s="214" t="s">
        <v>45</v>
      </c>
      <c r="I153" s="214" t="s">
        <v>22</v>
      </c>
      <c r="J153" s="214" t="s">
        <v>46</v>
      </c>
    </row>
    <row r="154" spans="1:10" s="621" customFormat="1" ht="20.100000000000001" customHeight="1" x14ac:dyDescent="0.25">
      <c r="A154" s="231" t="s">
        <v>47</v>
      </c>
      <c r="B154" s="424">
        <v>1555317.81</v>
      </c>
      <c r="C154" s="424">
        <v>1011218.06</v>
      </c>
      <c r="D154" s="424"/>
      <c r="E154" s="425">
        <v>527472.22</v>
      </c>
      <c r="F154" s="424">
        <f>B154+C154-D154-E154</f>
        <v>2039063.6500000001</v>
      </c>
      <c r="G154" s="424">
        <v>1263645.3700000001</v>
      </c>
      <c r="H154" s="377">
        <f>+G154/F154*100</f>
        <v>61.971845263388417</v>
      </c>
      <c r="I154" s="377">
        <f>F154-G154</f>
        <v>775418.28</v>
      </c>
      <c r="J154" s="426">
        <f>+I154/F154*100</f>
        <v>38.028154736611583</v>
      </c>
    </row>
    <row r="155" spans="1:10" s="621" customFormat="1" ht="17.25" thickBot="1" x14ac:dyDescent="0.3">
      <c r="A155" s="427" t="s">
        <v>48</v>
      </c>
      <c r="B155" s="426">
        <f>SUM(B154)</f>
        <v>1555317.81</v>
      </c>
      <c r="C155" s="426">
        <f>SUM(C154)</f>
        <v>1011218.06</v>
      </c>
      <c r="D155" s="426">
        <v>0</v>
      </c>
      <c r="E155" s="428">
        <f>SUM(E154)</f>
        <v>527472.22</v>
      </c>
      <c r="F155" s="426">
        <f>SUM(F154)</f>
        <v>2039063.6500000001</v>
      </c>
      <c r="G155" s="426">
        <f>SUM(G154)</f>
        <v>1263645.3700000001</v>
      </c>
      <c r="H155" s="426">
        <f>+G155/F155*100</f>
        <v>61.971845263388417</v>
      </c>
      <c r="I155" s="426">
        <f>SUM(I154)</f>
        <v>775418.28</v>
      </c>
      <c r="J155" s="426">
        <f>+I155/F155*100</f>
        <v>38.028154736611583</v>
      </c>
    </row>
    <row r="156" spans="1:10" s="621" customFormat="1" ht="50.25" thickBot="1" x14ac:dyDescent="0.3">
      <c r="A156" s="405" t="s">
        <v>944</v>
      </c>
      <c r="B156" s="214" t="s">
        <v>40</v>
      </c>
      <c r="C156" s="214" t="s">
        <v>954</v>
      </c>
      <c r="D156" s="214" t="s">
        <v>42</v>
      </c>
      <c r="E156" s="214" t="s">
        <v>43</v>
      </c>
      <c r="F156" s="214" t="s">
        <v>44</v>
      </c>
      <c r="G156" s="214" t="s">
        <v>20</v>
      </c>
      <c r="H156" s="214" t="s">
        <v>45</v>
      </c>
      <c r="I156" s="214" t="s">
        <v>22</v>
      </c>
      <c r="J156" s="429" t="s">
        <v>46</v>
      </c>
    </row>
    <row r="157" spans="1:10" s="621" customFormat="1" ht="20.100000000000001" customHeight="1" x14ac:dyDescent="0.25">
      <c r="A157" s="235" t="s">
        <v>50</v>
      </c>
      <c r="B157" s="335">
        <v>713972.91</v>
      </c>
      <c r="C157" s="335">
        <v>1309987.74</v>
      </c>
      <c r="D157" s="335">
        <v>0</v>
      </c>
      <c r="E157" s="406">
        <v>0</v>
      </c>
      <c r="F157" s="238">
        <f>B157+C157-D157-E157</f>
        <v>2023960.65</v>
      </c>
      <c r="G157" s="335">
        <v>1156039.1299999999</v>
      </c>
      <c r="H157" s="377">
        <f>+G157/F157*100</f>
        <v>57.117668270872755</v>
      </c>
      <c r="I157" s="377">
        <f>+F157-G157</f>
        <v>867921.52</v>
      </c>
      <c r="J157" s="335">
        <f>+I157/F157*100</f>
        <v>42.882331729127252</v>
      </c>
    </row>
    <row r="158" spans="1:10" s="621" customFormat="1" ht="20.100000000000001" customHeight="1" x14ac:dyDescent="0.25">
      <c r="A158" s="500" t="s">
        <v>51</v>
      </c>
      <c r="B158" s="430">
        <f t="shared" ref="B158:G158" si="7">SUM(B157:B157)</f>
        <v>713972.91</v>
      </c>
      <c r="C158" s="430">
        <f t="shared" si="7"/>
        <v>1309987.74</v>
      </c>
      <c r="D158" s="430">
        <f t="shared" si="7"/>
        <v>0</v>
      </c>
      <c r="E158" s="431">
        <f t="shared" si="7"/>
        <v>0</v>
      </c>
      <c r="F158" s="430">
        <f t="shared" si="7"/>
        <v>2023960.65</v>
      </c>
      <c r="G158" s="430">
        <f t="shared" si="7"/>
        <v>1156039.1299999999</v>
      </c>
      <c r="H158" s="430">
        <f>+G158/F158*100</f>
        <v>57.117668270872755</v>
      </c>
      <c r="I158" s="430">
        <f>SUM(I157:I157)</f>
        <v>867921.52</v>
      </c>
      <c r="J158" s="430">
        <f>+I158/F158*100</f>
        <v>42.882331729127252</v>
      </c>
    </row>
    <row r="159" spans="1:10" s="437" customFormat="1" ht="20.100000000000001" customHeight="1" thickBot="1" x14ac:dyDescent="0.3">
      <c r="A159" s="529" t="s">
        <v>36</v>
      </c>
      <c r="B159" s="530">
        <f>SUM(B158,B155)</f>
        <v>2269290.7200000002</v>
      </c>
      <c r="C159" s="530">
        <f>SUM(C158,C155)</f>
        <v>2321205.7999999998</v>
      </c>
      <c r="D159" s="530">
        <f>+D155+D158</f>
        <v>0</v>
      </c>
      <c r="E159" s="530">
        <f>SUM(E158,E155)</f>
        <v>527472.22</v>
      </c>
      <c r="F159" s="530">
        <f>SUM(F158,F155)</f>
        <v>4063024.3</v>
      </c>
      <c r="G159" s="530">
        <f>SUM(G158,G155)</f>
        <v>2419684.5</v>
      </c>
      <c r="H159" s="530">
        <f>+G159/F159*100</f>
        <v>59.553778696327264</v>
      </c>
      <c r="I159" s="530">
        <f>SUM(I158,I155)</f>
        <v>1643339.8</v>
      </c>
      <c r="J159" s="530">
        <f>+I159/F159*100</f>
        <v>40.446221303672736</v>
      </c>
    </row>
    <row r="160" spans="1:10" s="621" customFormat="1" ht="20.100000000000001" customHeight="1" thickTop="1" x14ac:dyDescent="0.3">
      <c r="A160" s="131"/>
      <c r="B160" s="132"/>
      <c r="C160" s="132"/>
      <c r="D160" s="132"/>
      <c r="E160" s="132"/>
      <c r="F160" s="132"/>
      <c r="G160" s="132"/>
      <c r="H160" s="132"/>
      <c r="I160" s="132"/>
      <c r="J160" s="132"/>
    </row>
    <row r="161" spans="1:10" s="621" customFormat="1" ht="20.100000000000001" customHeight="1" x14ac:dyDescent="0.25">
      <c r="A161" s="501" t="s">
        <v>37</v>
      </c>
      <c r="B161" s="190"/>
      <c r="C161" s="502"/>
      <c r="D161" s="502"/>
      <c r="E161" s="502"/>
      <c r="F161" s="502"/>
      <c r="G161" s="502"/>
      <c r="H161" s="503"/>
      <c r="I161" s="502"/>
      <c r="J161" s="190"/>
    </row>
    <row r="162" spans="1:10" s="621" customFormat="1" ht="20.100000000000001" customHeight="1" x14ac:dyDescent="0.25">
      <c r="C162" s="504" t="s">
        <v>52</v>
      </c>
      <c r="D162" s="502"/>
      <c r="E162" s="502"/>
      <c r="F162" s="502"/>
      <c r="G162" s="502"/>
      <c r="H162" s="503"/>
      <c r="I162" s="502"/>
      <c r="J162" s="190"/>
    </row>
    <row r="163" spans="1:10" s="621" customFormat="1" ht="20.100000000000001" customHeight="1" x14ac:dyDescent="0.3">
      <c r="A163" s="505" t="s">
        <v>53</v>
      </c>
      <c r="B163" s="621" t="s">
        <v>712</v>
      </c>
      <c r="C163" s="476">
        <v>9958.44</v>
      </c>
      <c r="D163" s="502" t="s">
        <v>55</v>
      </c>
      <c r="E163" s="132" t="s">
        <v>955</v>
      </c>
      <c r="F163" s="502"/>
      <c r="G163" s="502"/>
      <c r="H163" s="503"/>
      <c r="I163" s="502"/>
      <c r="J163" s="190"/>
    </row>
    <row r="164" spans="1:10" s="621" customFormat="1" ht="20.100000000000001" customHeight="1" x14ac:dyDescent="0.3">
      <c r="A164" s="131"/>
      <c r="B164" s="621" t="s">
        <v>807</v>
      </c>
      <c r="C164" s="407">
        <v>20552.97</v>
      </c>
      <c r="D164" s="502" t="s">
        <v>55</v>
      </c>
      <c r="E164" s="132" t="s">
        <v>955</v>
      </c>
      <c r="F164" s="132"/>
      <c r="G164" s="132"/>
      <c r="H164" s="132"/>
      <c r="I164" s="132"/>
      <c r="J164" s="132"/>
    </row>
    <row r="165" spans="1:10" s="621" customFormat="1" ht="20.100000000000001" customHeight="1" x14ac:dyDescent="0.3">
      <c r="A165" s="131"/>
      <c r="B165" s="621" t="s">
        <v>956</v>
      </c>
      <c r="C165" s="407">
        <v>744906.87</v>
      </c>
      <c r="D165" s="502" t="s">
        <v>55</v>
      </c>
      <c r="E165" s="132" t="s">
        <v>955</v>
      </c>
      <c r="F165" s="132"/>
      <c r="G165" s="132"/>
      <c r="H165" s="132"/>
      <c r="I165" s="132"/>
      <c r="J165" s="132"/>
    </row>
    <row r="166" spans="1:10" s="131" customFormat="1" ht="21.75" customHeight="1" thickBot="1" x14ac:dyDescent="0.35">
      <c r="B166" s="132"/>
      <c r="C166" s="408">
        <f>SUM(C163:C165)</f>
        <v>775418.28</v>
      </c>
      <c r="D166" s="502" t="s">
        <v>55</v>
      </c>
      <c r="E166" s="132"/>
      <c r="F166" s="132"/>
      <c r="G166" s="132"/>
      <c r="H166" s="132"/>
      <c r="I166" s="132"/>
      <c r="J166" s="132"/>
    </row>
    <row r="167" spans="1:10" s="131" customFormat="1" ht="21.75" customHeight="1" thickTop="1" x14ac:dyDescent="0.3">
      <c r="A167" s="505" t="s">
        <v>248</v>
      </c>
      <c r="B167" s="621" t="s">
        <v>807</v>
      </c>
      <c r="C167" s="132">
        <v>867921.52</v>
      </c>
      <c r="D167" s="502" t="s">
        <v>55</v>
      </c>
      <c r="E167" s="132" t="s">
        <v>955</v>
      </c>
      <c r="F167" s="132"/>
      <c r="G167" s="132"/>
      <c r="H167" s="132"/>
      <c r="I167" s="132"/>
      <c r="J167" s="132"/>
    </row>
    <row r="168" spans="1:10" s="131" customFormat="1" ht="21.75" customHeight="1" x14ac:dyDescent="0.3">
      <c r="B168" s="132"/>
      <c r="C168" s="51">
        <f>SUM(C167:C167)</f>
        <v>867921.52</v>
      </c>
      <c r="D168" s="502" t="s">
        <v>55</v>
      </c>
      <c r="E168" s="132"/>
      <c r="F168" s="132"/>
      <c r="G168" s="132"/>
      <c r="H168" s="132"/>
      <c r="I168" s="132"/>
      <c r="J168" s="132"/>
    </row>
    <row r="169" spans="1:10" s="131" customFormat="1" ht="21.75" customHeight="1" thickBot="1" x14ac:dyDescent="0.35">
      <c r="B169" s="132"/>
      <c r="C169" s="409">
        <f>SUM(C168,C166)</f>
        <v>1643339.8</v>
      </c>
      <c r="D169" s="132"/>
      <c r="E169" s="132"/>
      <c r="F169" s="132"/>
      <c r="G169" s="132"/>
      <c r="H169" s="132"/>
      <c r="I169" s="132"/>
      <c r="J169" s="132"/>
    </row>
    <row r="170" spans="1:10" ht="20.100000000000001" customHeight="1" thickTop="1" x14ac:dyDescent="0.3"/>
    <row r="171" spans="1:10" s="657" customFormat="1" ht="20.100000000000001" customHeight="1" x14ac:dyDescent="0.3">
      <c r="A171" s="657" t="s">
        <v>957</v>
      </c>
    </row>
    <row r="173" spans="1:10" s="781" customFormat="1" ht="20.100000000000001" customHeight="1" x14ac:dyDescent="0.25">
      <c r="A173" s="895" t="s">
        <v>1099</v>
      </c>
      <c r="B173" s="895"/>
      <c r="C173" s="895"/>
      <c r="D173" s="895"/>
      <c r="E173" s="895"/>
      <c r="F173" s="895"/>
      <c r="G173" s="895"/>
      <c r="H173" s="895"/>
      <c r="I173" s="895"/>
      <c r="J173" s="895"/>
    </row>
    <row r="174" spans="1:10" s="781" customFormat="1" ht="17.25" thickBot="1" x14ac:dyDescent="0.3">
      <c r="A174" s="896"/>
      <c r="B174" s="896"/>
      <c r="C174" s="896"/>
      <c r="D174" s="896"/>
      <c r="E174" s="896"/>
      <c r="F174" s="896"/>
      <c r="G174" s="896"/>
      <c r="H174" s="896"/>
      <c r="I174" s="896"/>
      <c r="J174" s="896"/>
    </row>
    <row r="175" spans="1:10" s="781" customFormat="1" ht="50.25" thickBot="1" x14ac:dyDescent="0.3">
      <c r="A175" s="405" t="s">
        <v>1074</v>
      </c>
      <c r="B175" s="830" t="s">
        <v>40</v>
      </c>
      <c r="C175" s="830" t="s">
        <v>1100</v>
      </c>
      <c r="D175" s="830" t="s">
        <v>42</v>
      </c>
      <c r="E175" s="830" t="s">
        <v>43</v>
      </c>
      <c r="F175" s="830" t="s">
        <v>44</v>
      </c>
      <c r="G175" s="830" t="s">
        <v>20</v>
      </c>
      <c r="H175" s="830" t="s">
        <v>45</v>
      </c>
      <c r="I175" s="830" t="s">
        <v>22</v>
      </c>
      <c r="J175" s="830" t="s">
        <v>46</v>
      </c>
    </row>
    <row r="176" spans="1:10" s="781" customFormat="1" ht="20.100000000000001" customHeight="1" x14ac:dyDescent="0.25">
      <c r="A176" s="231" t="s">
        <v>47</v>
      </c>
      <c r="B176" s="424">
        <v>775418.28</v>
      </c>
      <c r="C176" s="424">
        <v>13882638.35</v>
      </c>
      <c r="D176" s="424"/>
      <c r="E176" s="425">
        <v>443523.06</v>
      </c>
      <c r="F176" s="424">
        <f>B176+C176-D176-E176</f>
        <v>14214533.569999998</v>
      </c>
      <c r="G176" s="424">
        <v>13589470.109999999</v>
      </c>
      <c r="H176" s="377">
        <f>+G176/F176*100</f>
        <v>95.602645300165136</v>
      </c>
      <c r="I176" s="377">
        <f>F176-G176</f>
        <v>625063.45999999903</v>
      </c>
      <c r="J176" s="426">
        <f>+I176/F176*100</f>
        <v>4.3973546998348612</v>
      </c>
    </row>
    <row r="177" spans="1:10" s="781" customFormat="1" ht="17.25" thickBot="1" x14ac:dyDescent="0.3">
      <c r="A177" s="427" t="s">
        <v>48</v>
      </c>
      <c r="B177" s="426">
        <f>SUM(B176)</f>
        <v>775418.28</v>
      </c>
      <c r="C177" s="426">
        <f>SUM(C176)</f>
        <v>13882638.35</v>
      </c>
      <c r="D177" s="426">
        <v>0</v>
      </c>
      <c r="E177" s="428">
        <f>SUM(E176)</f>
        <v>443523.06</v>
      </c>
      <c r="F177" s="426">
        <f>SUM(F176)</f>
        <v>14214533.569999998</v>
      </c>
      <c r="G177" s="426">
        <f>SUM(G176)</f>
        <v>13589470.109999999</v>
      </c>
      <c r="H177" s="426">
        <f>+G177/F177*100</f>
        <v>95.602645300165136</v>
      </c>
      <c r="I177" s="426">
        <f>SUM(I176)</f>
        <v>625063.45999999903</v>
      </c>
      <c r="J177" s="426">
        <f>+I177/F177*100</f>
        <v>4.3973546998348612</v>
      </c>
    </row>
    <row r="178" spans="1:10" s="781" customFormat="1" ht="50.25" thickBot="1" x14ac:dyDescent="0.3">
      <c r="A178" s="405" t="s">
        <v>1074</v>
      </c>
      <c r="B178" s="830" t="s">
        <v>40</v>
      </c>
      <c r="C178" s="830" t="s">
        <v>1100</v>
      </c>
      <c r="D178" s="830" t="s">
        <v>42</v>
      </c>
      <c r="E178" s="830" t="s">
        <v>43</v>
      </c>
      <c r="F178" s="830" t="s">
        <v>44</v>
      </c>
      <c r="G178" s="830" t="s">
        <v>20</v>
      </c>
      <c r="H178" s="830" t="s">
        <v>45</v>
      </c>
      <c r="I178" s="830" t="s">
        <v>22</v>
      </c>
      <c r="J178" s="429" t="s">
        <v>46</v>
      </c>
    </row>
    <row r="179" spans="1:10" s="781" customFormat="1" ht="20.100000000000001" customHeight="1" x14ac:dyDescent="0.25">
      <c r="A179" s="235" t="s">
        <v>50</v>
      </c>
      <c r="B179" s="335">
        <v>867921.52</v>
      </c>
      <c r="C179" s="335">
        <v>1300599.1299999999</v>
      </c>
      <c r="D179" s="335">
        <v>0</v>
      </c>
      <c r="E179" s="406">
        <v>0</v>
      </c>
      <c r="F179" s="238">
        <f>B179+C179-D179-E179</f>
        <v>2168520.65</v>
      </c>
      <c r="G179" s="335">
        <v>1680291.21</v>
      </c>
      <c r="H179" s="377">
        <f>+G179/F179*100</f>
        <v>77.485598765222747</v>
      </c>
      <c r="I179" s="377">
        <f>+F179-G179</f>
        <v>488229.43999999994</v>
      </c>
      <c r="J179" s="335">
        <f>+I179/F179*100</f>
        <v>22.514401234777264</v>
      </c>
    </row>
    <row r="180" spans="1:10" s="781" customFormat="1" ht="20.100000000000001" customHeight="1" x14ac:dyDescent="0.25">
      <c r="A180" s="500" t="s">
        <v>51</v>
      </c>
      <c r="B180" s="430">
        <f t="shared" ref="B180:G180" si="8">SUM(B179:B179)</f>
        <v>867921.52</v>
      </c>
      <c r="C180" s="430">
        <f t="shared" si="8"/>
        <v>1300599.1299999999</v>
      </c>
      <c r="D180" s="430">
        <f t="shared" si="8"/>
        <v>0</v>
      </c>
      <c r="E180" s="431">
        <f t="shared" si="8"/>
        <v>0</v>
      </c>
      <c r="F180" s="430">
        <f t="shared" si="8"/>
        <v>2168520.65</v>
      </c>
      <c r="G180" s="430">
        <f t="shared" si="8"/>
        <v>1680291.21</v>
      </c>
      <c r="H180" s="430">
        <f>+G180/F180*100</f>
        <v>77.485598765222747</v>
      </c>
      <c r="I180" s="430">
        <f>SUM(I179:I179)</f>
        <v>488229.43999999994</v>
      </c>
      <c r="J180" s="430">
        <f>+I180/F180*100</f>
        <v>22.514401234777264</v>
      </c>
    </row>
    <row r="181" spans="1:10" s="437" customFormat="1" ht="20.100000000000001" customHeight="1" thickBot="1" x14ac:dyDescent="0.3">
      <c r="A181" s="529" t="s">
        <v>36</v>
      </c>
      <c r="B181" s="530">
        <f>SUM(B180,B177)</f>
        <v>1643339.8</v>
      </c>
      <c r="C181" s="530">
        <f>SUM(C180,C177)</f>
        <v>15183237.48</v>
      </c>
      <c r="D181" s="530">
        <f>+D177+D180</f>
        <v>0</v>
      </c>
      <c r="E181" s="530">
        <f>SUM(E180,E177)</f>
        <v>443523.06</v>
      </c>
      <c r="F181" s="530">
        <f>SUM(F180,F177)</f>
        <v>16383054.219999999</v>
      </c>
      <c r="G181" s="530">
        <f>SUM(G180,G177)</f>
        <v>15269761.32</v>
      </c>
      <c r="H181" s="530">
        <f>+G181/F181*100</f>
        <v>93.204607119953735</v>
      </c>
      <c r="I181" s="530">
        <f>SUM(I180,I177)</f>
        <v>1113292.899999999</v>
      </c>
      <c r="J181" s="530">
        <f>+I181/F181*100</f>
        <v>6.795392880046264</v>
      </c>
    </row>
    <row r="182" spans="1:10" s="781" customFormat="1" ht="20.100000000000001" customHeight="1" thickTop="1" x14ac:dyDescent="0.3">
      <c r="A182" s="825"/>
      <c r="B182" s="826"/>
      <c r="C182" s="826"/>
      <c r="D182" s="826"/>
      <c r="E182" s="826"/>
      <c r="F182" s="826"/>
      <c r="G182" s="826"/>
      <c r="H182" s="826"/>
      <c r="I182" s="826"/>
      <c r="J182" s="826"/>
    </row>
    <row r="183" spans="1:10" s="781" customFormat="1" ht="20.100000000000001" customHeight="1" x14ac:dyDescent="0.25">
      <c r="A183" s="501" t="s">
        <v>37</v>
      </c>
      <c r="B183" s="190"/>
      <c r="C183" s="502"/>
      <c r="D183" s="502"/>
      <c r="E183" s="502"/>
      <c r="F183" s="502"/>
      <c r="G183" s="502"/>
      <c r="H183" s="503"/>
      <c r="I183" s="502"/>
      <c r="J183" s="190"/>
    </row>
    <row r="184" spans="1:10" s="781" customFormat="1" ht="20.100000000000001" customHeight="1" x14ac:dyDescent="0.25">
      <c r="C184" s="504" t="s">
        <v>52</v>
      </c>
      <c r="D184" s="502"/>
      <c r="E184" s="502"/>
      <c r="F184" s="502"/>
      <c r="G184" s="502"/>
      <c r="H184" s="503"/>
      <c r="I184" s="502"/>
      <c r="J184" s="190"/>
    </row>
    <row r="185" spans="1:10" s="781" customFormat="1" ht="20.100000000000001" customHeight="1" x14ac:dyDescent="0.3">
      <c r="A185" s="505" t="s">
        <v>53</v>
      </c>
      <c r="B185" s="781" t="s">
        <v>956</v>
      </c>
      <c r="C185" s="476">
        <v>2309.88</v>
      </c>
      <c r="D185" s="502" t="s">
        <v>55</v>
      </c>
      <c r="E185" s="826" t="s">
        <v>1101</v>
      </c>
      <c r="F185" s="502"/>
      <c r="G185" s="502"/>
      <c r="H185" s="503"/>
      <c r="I185" s="502"/>
      <c r="J185" s="190"/>
    </row>
    <row r="186" spans="1:10" s="781" customFormat="1" ht="20.100000000000001" customHeight="1" x14ac:dyDescent="0.3">
      <c r="A186" s="825"/>
      <c r="B186" s="781" t="s">
        <v>1102</v>
      </c>
      <c r="C186" s="407">
        <v>622754.4</v>
      </c>
      <c r="D186" s="502" t="s">
        <v>55</v>
      </c>
      <c r="E186" s="826" t="s">
        <v>1101</v>
      </c>
      <c r="F186" s="826"/>
      <c r="G186" s="826"/>
      <c r="H186" s="826"/>
      <c r="I186" s="826"/>
      <c r="J186" s="826"/>
    </row>
    <row r="187" spans="1:10" s="825" customFormat="1" ht="21.75" customHeight="1" thickBot="1" x14ac:dyDescent="0.35">
      <c r="B187" s="826"/>
      <c r="C187" s="408">
        <f>SUM(C185:C186)</f>
        <v>625064.28</v>
      </c>
      <c r="D187" s="502" t="s">
        <v>55</v>
      </c>
      <c r="E187" s="826"/>
      <c r="F187" s="826"/>
      <c r="G187" s="826"/>
      <c r="H187" s="826"/>
      <c r="I187" s="826"/>
      <c r="J187" s="826"/>
    </row>
    <row r="188" spans="1:10" s="825" customFormat="1" ht="21.75" customHeight="1" thickTop="1" x14ac:dyDescent="0.3">
      <c r="A188" s="505" t="s">
        <v>248</v>
      </c>
      <c r="B188" s="781" t="s">
        <v>1102</v>
      </c>
      <c r="C188" s="826">
        <v>488229.44</v>
      </c>
      <c r="D188" s="502" t="s">
        <v>55</v>
      </c>
      <c r="E188" s="826" t="s">
        <v>1101</v>
      </c>
      <c r="F188" s="826"/>
      <c r="G188" s="826"/>
      <c r="H188" s="826"/>
      <c r="I188" s="826"/>
      <c r="J188" s="826"/>
    </row>
    <row r="189" spans="1:10" s="825" customFormat="1" ht="21.75" customHeight="1" x14ac:dyDescent="0.3">
      <c r="B189" s="826"/>
      <c r="C189" s="838">
        <f>SUM(C188)</f>
        <v>488229.44</v>
      </c>
      <c r="D189" s="502" t="s">
        <v>55</v>
      </c>
      <c r="E189" s="826"/>
      <c r="F189" s="826"/>
      <c r="G189" s="826"/>
      <c r="H189" s="826"/>
      <c r="I189" s="826"/>
      <c r="J189" s="826"/>
    </row>
    <row r="190" spans="1:10" s="825" customFormat="1" ht="21.75" customHeight="1" thickBot="1" x14ac:dyDescent="0.35">
      <c r="B190" s="826"/>
      <c r="C190" s="409">
        <f>SUM(C189,C187)</f>
        <v>1113293.72</v>
      </c>
      <c r="D190" s="826"/>
      <c r="E190" s="826"/>
      <c r="F190" s="826"/>
      <c r="G190" s="826"/>
      <c r="H190" s="826"/>
      <c r="I190" s="826"/>
      <c r="J190" s="826"/>
    </row>
    <row r="191" spans="1:10" s="801" customFormat="1" ht="20.100000000000001" customHeight="1" thickTop="1" x14ac:dyDescent="0.3"/>
    <row r="192" spans="1:10" s="657" customFormat="1" ht="20.100000000000001" customHeight="1" x14ac:dyDescent="0.3">
      <c r="A192" s="657" t="s">
        <v>957</v>
      </c>
    </row>
    <row r="193" spans="1:10" s="657" customFormat="1" ht="20.100000000000001" customHeight="1" x14ac:dyDescent="0.3"/>
    <row r="194" spans="1:10" s="781" customFormat="1" ht="20.100000000000001" customHeight="1" x14ac:dyDescent="0.25">
      <c r="A194" s="895" t="s">
        <v>1171</v>
      </c>
      <c r="B194" s="895"/>
      <c r="C194" s="895"/>
      <c r="D194" s="895"/>
      <c r="E194" s="895"/>
      <c r="F194" s="895"/>
      <c r="G194" s="895"/>
      <c r="H194" s="895"/>
      <c r="I194" s="895"/>
      <c r="J194" s="895"/>
    </row>
    <row r="195" spans="1:10" s="781" customFormat="1" ht="17.25" thickBot="1" x14ac:dyDescent="0.3">
      <c r="A195" s="896"/>
      <c r="B195" s="896"/>
      <c r="C195" s="896"/>
      <c r="D195" s="896"/>
      <c r="E195" s="896"/>
      <c r="F195" s="896"/>
      <c r="G195" s="896"/>
      <c r="H195" s="896"/>
      <c r="I195" s="896"/>
      <c r="J195" s="896"/>
    </row>
    <row r="196" spans="1:10" s="781" customFormat="1" ht="50.25" thickBot="1" x14ac:dyDescent="0.3">
      <c r="A196" s="405" t="s">
        <v>1169</v>
      </c>
      <c r="B196" s="830" t="s">
        <v>40</v>
      </c>
      <c r="C196" s="830" t="s">
        <v>1172</v>
      </c>
      <c r="D196" s="830" t="s">
        <v>42</v>
      </c>
      <c r="E196" s="830" t="s">
        <v>43</v>
      </c>
      <c r="F196" s="830" t="s">
        <v>44</v>
      </c>
      <c r="G196" s="830" t="s">
        <v>20</v>
      </c>
      <c r="H196" s="830" t="s">
        <v>45</v>
      </c>
      <c r="I196" s="830" t="s">
        <v>22</v>
      </c>
      <c r="J196" s="830" t="s">
        <v>46</v>
      </c>
    </row>
    <row r="197" spans="1:10" s="781" customFormat="1" ht="20.100000000000001" customHeight="1" x14ac:dyDescent="0.25">
      <c r="A197" s="231" t="s">
        <v>47</v>
      </c>
      <c r="B197" s="424">
        <v>625064.28</v>
      </c>
      <c r="C197" s="424">
        <v>1464958.68</v>
      </c>
      <c r="D197" s="424"/>
      <c r="E197" s="425">
        <v>185398.27</v>
      </c>
      <c r="F197" s="424">
        <f>B197+C197-D197-E197</f>
        <v>1904624.69</v>
      </c>
      <c r="G197" s="424">
        <v>1440314.68</v>
      </c>
      <c r="H197" s="377">
        <f>+G197/F197*100</f>
        <v>75.621968336449527</v>
      </c>
      <c r="I197" s="377">
        <f>F197-G197</f>
        <v>464310.01</v>
      </c>
      <c r="J197" s="426">
        <f>+I197/F197*100</f>
        <v>24.378031663550473</v>
      </c>
    </row>
    <row r="198" spans="1:10" s="781" customFormat="1" ht="17.25" thickBot="1" x14ac:dyDescent="0.3">
      <c r="A198" s="427" t="s">
        <v>48</v>
      </c>
      <c r="B198" s="426">
        <f>SUM(B197)</f>
        <v>625064.28</v>
      </c>
      <c r="C198" s="426">
        <f>SUM(C197)</f>
        <v>1464958.68</v>
      </c>
      <c r="D198" s="426">
        <v>0</v>
      </c>
      <c r="E198" s="428">
        <f>SUM(E197)</f>
        <v>185398.27</v>
      </c>
      <c r="F198" s="426">
        <f>SUM(F197)</f>
        <v>1904624.69</v>
      </c>
      <c r="G198" s="426">
        <f>SUM(G197)</f>
        <v>1440314.68</v>
      </c>
      <c r="H198" s="426">
        <f>+G198/F198*100</f>
        <v>75.621968336449527</v>
      </c>
      <c r="I198" s="426">
        <f>SUM(I197)</f>
        <v>464310.01</v>
      </c>
      <c r="J198" s="426">
        <f>+I198/F198*100</f>
        <v>24.378031663550473</v>
      </c>
    </row>
    <row r="199" spans="1:10" s="781" customFormat="1" ht="50.25" thickBot="1" x14ac:dyDescent="0.3">
      <c r="A199" s="405" t="s">
        <v>1169</v>
      </c>
      <c r="B199" s="830" t="s">
        <v>40</v>
      </c>
      <c r="C199" s="830" t="s">
        <v>1172</v>
      </c>
      <c r="D199" s="830" t="s">
        <v>42</v>
      </c>
      <c r="E199" s="830" t="s">
        <v>43</v>
      </c>
      <c r="F199" s="830" t="s">
        <v>44</v>
      </c>
      <c r="G199" s="830" t="s">
        <v>20</v>
      </c>
      <c r="H199" s="830" t="s">
        <v>45</v>
      </c>
      <c r="I199" s="830" t="s">
        <v>22</v>
      </c>
      <c r="J199" s="429" t="s">
        <v>46</v>
      </c>
    </row>
    <row r="200" spans="1:10" s="781" customFormat="1" ht="20.100000000000001" customHeight="1" x14ac:dyDescent="0.25">
      <c r="A200" s="235" t="s">
        <v>50</v>
      </c>
      <c r="B200" s="335">
        <v>488229.44</v>
      </c>
      <c r="C200" s="335">
        <v>801162.07</v>
      </c>
      <c r="D200" s="335">
        <v>0</v>
      </c>
      <c r="E200" s="406">
        <v>0</v>
      </c>
      <c r="F200" s="238">
        <f>B200+C200-D200-E200</f>
        <v>1289391.51</v>
      </c>
      <c r="G200" s="335">
        <v>994557.29</v>
      </c>
      <c r="H200" s="377">
        <f>+G200/F200*100</f>
        <v>77.133848197899184</v>
      </c>
      <c r="I200" s="377">
        <f>+F200-G200</f>
        <v>294834.21999999997</v>
      </c>
      <c r="J200" s="335">
        <f>+I200/F200*100</f>
        <v>22.86615180210082</v>
      </c>
    </row>
    <row r="201" spans="1:10" s="781" customFormat="1" ht="20.100000000000001" customHeight="1" x14ac:dyDescent="0.25">
      <c r="A201" s="500" t="s">
        <v>51</v>
      </c>
      <c r="B201" s="430">
        <f t="shared" ref="B201:G201" si="9">SUM(B200:B200)</f>
        <v>488229.44</v>
      </c>
      <c r="C201" s="430">
        <f t="shared" si="9"/>
        <v>801162.07</v>
      </c>
      <c r="D201" s="430">
        <f t="shared" si="9"/>
        <v>0</v>
      </c>
      <c r="E201" s="431">
        <f t="shared" si="9"/>
        <v>0</v>
      </c>
      <c r="F201" s="430">
        <f t="shared" si="9"/>
        <v>1289391.51</v>
      </c>
      <c r="G201" s="430">
        <f t="shared" si="9"/>
        <v>994557.29</v>
      </c>
      <c r="H201" s="430">
        <f>+G201/F201*100</f>
        <v>77.133848197899184</v>
      </c>
      <c r="I201" s="430">
        <f>SUM(I200:I200)</f>
        <v>294834.21999999997</v>
      </c>
      <c r="J201" s="430">
        <f>+I201/F201*100</f>
        <v>22.86615180210082</v>
      </c>
    </row>
    <row r="202" spans="1:10" s="437" customFormat="1" ht="20.100000000000001" customHeight="1" thickBot="1" x14ac:dyDescent="0.3">
      <c r="A202" s="529" t="s">
        <v>36</v>
      </c>
      <c r="B202" s="530">
        <f>SUM(B201,B198)</f>
        <v>1113293.72</v>
      </c>
      <c r="C202" s="530">
        <f>SUM(C201,C198)</f>
        <v>2266120.75</v>
      </c>
      <c r="D202" s="530">
        <f>+D198+D201</f>
        <v>0</v>
      </c>
      <c r="E202" s="530">
        <f>SUM(E201,E198)</f>
        <v>185398.27</v>
      </c>
      <c r="F202" s="530">
        <f>SUM(F201,F198)</f>
        <v>3194016.2</v>
      </c>
      <c r="G202" s="530">
        <f>SUM(G201,G198)</f>
        <v>2434871.9699999997</v>
      </c>
      <c r="H202" s="530">
        <f>+G202/F202*100</f>
        <v>76.23229869654385</v>
      </c>
      <c r="I202" s="530">
        <f>SUM(I201,I198)</f>
        <v>759144.23</v>
      </c>
      <c r="J202" s="530">
        <f>+I202/F202*100</f>
        <v>23.767701303456128</v>
      </c>
    </row>
    <row r="203" spans="1:10" s="781" customFormat="1" ht="20.100000000000001" customHeight="1" thickTop="1" x14ac:dyDescent="0.3">
      <c r="A203" s="825"/>
      <c r="B203" s="826"/>
      <c r="C203" s="826"/>
      <c r="D203" s="826"/>
      <c r="E203" s="826"/>
      <c r="F203" s="826"/>
      <c r="G203" s="826"/>
      <c r="H203" s="826"/>
      <c r="I203" s="826"/>
      <c r="J203" s="826"/>
    </row>
    <row r="204" spans="1:10" s="781" customFormat="1" ht="19.5" customHeight="1" x14ac:dyDescent="0.25">
      <c r="A204" s="501" t="s">
        <v>37</v>
      </c>
      <c r="B204" s="190"/>
      <c r="C204" s="502"/>
      <c r="D204" s="502"/>
      <c r="E204" s="502"/>
      <c r="F204" s="502"/>
      <c r="G204" s="502"/>
      <c r="H204" s="503"/>
      <c r="I204" s="502"/>
      <c r="J204" s="190"/>
    </row>
    <row r="205" spans="1:10" s="781" customFormat="1" ht="19.5" customHeight="1" x14ac:dyDescent="0.25">
      <c r="C205" s="504" t="s">
        <v>52</v>
      </c>
      <c r="D205" s="502"/>
      <c r="E205" s="502"/>
      <c r="F205" s="502"/>
      <c r="G205" s="502"/>
      <c r="H205" s="503"/>
      <c r="I205" s="502"/>
      <c r="J205" s="190"/>
    </row>
    <row r="206" spans="1:10" s="781" customFormat="1" ht="20.100000000000001" customHeight="1" x14ac:dyDescent="0.3">
      <c r="A206" s="505" t="s">
        <v>53</v>
      </c>
      <c r="B206" s="781" t="s">
        <v>1102</v>
      </c>
      <c r="C206" s="476">
        <v>8280.15</v>
      </c>
      <c r="D206" s="502" t="s">
        <v>55</v>
      </c>
      <c r="E206" s="826" t="s">
        <v>1173</v>
      </c>
      <c r="F206" s="502"/>
      <c r="G206" s="502"/>
      <c r="H206" s="503"/>
      <c r="I206" s="502"/>
      <c r="J206" s="190"/>
    </row>
    <row r="207" spans="1:10" s="781" customFormat="1" ht="20.100000000000001" customHeight="1" x14ac:dyDescent="0.3">
      <c r="A207" s="825"/>
      <c r="B207" s="781" t="s">
        <v>1174</v>
      </c>
      <c r="C207" s="407">
        <v>456029.86</v>
      </c>
      <c r="D207" s="502" t="s">
        <v>55</v>
      </c>
      <c r="E207" s="826" t="s">
        <v>1173</v>
      </c>
      <c r="F207" s="826"/>
      <c r="G207" s="826"/>
      <c r="H207" s="826"/>
      <c r="I207" s="826"/>
      <c r="J207" s="826"/>
    </row>
    <row r="208" spans="1:10" s="825" customFormat="1" ht="21.75" customHeight="1" thickBot="1" x14ac:dyDescent="0.35">
      <c r="B208" s="826"/>
      <c r="C208" s="408">
        <f>SUM(C206:C207)</f>
        <v>464310.01</v>
      </c>
      <c r="D208" s="502" t="s">
        <v>55</v>
      </c>
      <c r="E208" s="826"/>
      <c r="F208" s="826"/>
      <c r="G208" s="826"/>
      <c r="H208" s="826"/>
      <c r="I208" s="826"/>
      <c r="J208" s="826"/>
    </row>
    <row r="209" spans="1:10" s="825" customFormat="1" ht="21.75" customHeight="1" thickTop="1" x14ac:dyDescent="0.3">
      <c r="A209" s="505" t="s">
        <v>248</v>
      </c>
      <c r="B209" s="781" t="s">
        <v>1174</v>
      </c>
      <c r="C209" s="826">
        <v>294834.21999999997</v>
      </c>
      <c r="D209" s="502" t="s">
        <v>55</v>
      </c>
      <c r="E209" s="826" t="s">
        <v>1101</v>
      </c>
      <c r="F209" s="826"/>
      <c r="G209" s="826"/>
      <c r="H209" s="826"/>
      <c r="I209" s="826"/>
      <c r="J209" s="826"/>
    </row>
    <row r="210" spans="1:10" s="825" customFormat="1" ht="21.75" customHeight="1" x14ac:dyDescent="0.3">
      <c r="B210" s="826"/>
      <c r="C210" s="838">
        <f>SUM(C209:C209)</f>
        <v>294834.21999999997</v>
      </c>
      <c r="D210" s="502" t="s">
        <v>55</v>
      </c>
      <c r="E210" s="826"/>
      <c r="F210" s="826"/>
      <c r="G210" s="826"/>
      <c r="H210" s="826"/>
      <c r="I210" s="826"/>
      <c r="J210" s="826"/>
    </row>
    <row r="211" spans="1:10" s="825" customFormat="1" ht="21.75" customHeight="1" thickBot="1" x14ac:dyDescent="0.35">
      <c r="B211" s="826"/>
      <c r="C211" s="409">
        <f>SUM(C210,C208)</f>
        <v>759144.23</v>
      </c>
      <c r="D211" s="826"/>
      <c r="E211" s="826"/>
      <c r="F211" s="826"/>
      <c r="G211" s="826"/>
      <c r="H211" s="826"/>
      <c r="I211" s="826"/>
      <c r="J211" s="826"/>
    </row>
    <row r="212" spans="1:10" s="801" customFormat="1" ht="20.100000000000001" customHeight="1" thickTop="1" x14ac:dyDescent="0.3"/>
    <row r="213" spans="1:10" s="657" customFormat="1" ht="20.100000000000001" customHeight="1" x14ac:dyDescent="0.3">
      <c r="A213" s="657" t="s">
        <v>957</v>
      </c>
    </row>
    <row r="214" spans="1:10" s="801" customFormat="1" ht="16.5" x14ac:dyDescent="0.3"/>
    <row r="215" spans="1:10" s="781" customFormat="1" ht="20.100000000000001" customHeight="1" x14ac:dyDescent="0.25">
      <c r="A215" s="895" t="s">
        <v>1291</v>
      </c>
      <c r="B215" s="895"/>
      <c r="C215" s="895"/>
      <c r="D215" s="895"/>
      <c r="E215" s="895"/>
      <c r="F215" s="895"/>
      <c r="G215" s="895"/>
      <c r="H215" s="895"/>
      <c r="I215" s="895"/>
      <c r="J215" s="895"/>
    </row>
    <row r="216" spans="1:10" s="781" customFormat="1" ht="17.25" thickBot="1" x14ac:dyDescent="0.3">
      <c r="A216" s="896"/>
      <c r="B216" s="896"/>
      <c r="C216" s="896"/>
      <c r="D216" s="896"/>
      <c r="E216" s="896"/>
      <c r="F216" s="896"/>
      <c r="G216" s="896"/>
      <c r="H216" s="896"/>
      <c r="I216" s="896"/>
      <c r="J216" s="896"/>
    </row>
    <row r="217" spans="1:10" s="781" customFormat="1" ht="50.25" thickBot="1" x14ac:dyDescent="0.3">
      <c r="A217" s="405" t="s">
        <v>1286</v>
      </c>
      <c r="B217" s="830" t="s">
        <v>40</v>
      </c>
      <c r="C217" s="830" t="s">
        <v>1292</v>
      </c>
      <c r="D217" s="830" t="s">
        <v>42</v>
      </c>
      <c r="E217" s="830" t="s">
        <v>43</v>
      </c>
      <c r="F217" s="830" t="s">
        <v>44</v>
      </c>
      <c r="G217" s="830" t="s">
        <v>20</v>
      </c>
      <c r="H217" s="830" t="s">
        <v>45</v>
      </c>
      <c r="I217" s="830" t="s">
        <v>22</v>
      </c>
      <c r="J217" s="830" t="s">
        <v>46</v>
      </c>
    </row>
    <row r="218" spans="1:10" s="781" customFormat="1" ht="20.100000000000001" customHeight="1" x14ac:dyDescent="0.25">
      <c r="A218" s="231" t="s">
        <v>47</v>
      </c>
      <c r="B218" s="424">
        <v>464310.01</v>
      </c>
      <c r="C218" s="424">
        <v>2118354.54</v>
      </c>
      <c r="D218" s="424"/>
      <c r="E218" s="425">
        <v>102854.15</v>
      </c>
      <c r="F218" s="424">
        <f>B218+C218-D218-E218</f>
        <v>2479810.4</v>
      </c>
      <c r="G218" s="424">
        <v>1983595.73</v>
      </c>
      <c r="H218" s="377">
        <f>+G218/F218*100</f>
        <v>79.989814140629463</v>
      </c>
      <c r="I218" s="377">
        <f>F218-G218</f>
        <v>496214.66999999993</v>
      </c>
      <c r="J218" s="426">
        <f>+I218/F218*100</f>
        <v>20.010185859370537</v>
      </c>
    </row>
    <row r="219" spans="1:10" s="781" customFormat="1" ht="17.25" thickBot="1" x14ac:dyDescent="0.3">
      <c r="A219" s="427" t="s">
        <v>48</v>
      </c>
      <c r="B219" s="426">
        <f>SUM(B218)</f>
        <v>464310.01</v>
      </c>
      <c r="C219" s="426">
        <f>SUM(C218)</f>
        <v>2118354.54</v>
      </c>
      <c r="D219" s="426">
        <v>0</v>
      </c>
      <c r="E219" s="428">
        <f>SUM(E218)</f>
        <v>102854.15</v>
      </c>
      <c r="F219" s="426">
        <f>SUM(F218)</f>
        <v>2479810.4</v>
      </c>
      <c r="G219" s="426">
        <f>SUM(G218)</f>
        <v>1983595.73</v>
      </c>
      <c r="H219" s="426">
        <f>+G219/F219*100</f>
        <v>79.989814140629463</v>
      </c>
      <c r="I219" s="426">
        <f>SUM(I218)</f>
        <v>496214.66999999993</v>
      </c>
      <c r="J219" s="426">
        <f>+I219/F219*100</f>
        <v>20.010185859370537</v>
      </c>
    </row>
    <row r="220" spans="1:10" s="781" customFormat="1" ht="50.25" thickBot="1" x14ac:dyDescent="0.3">
      <c r="A220" s="405" t="s">
        <v>1286</v>
      </c>
      <c r="B220" s="830" t="s">
        <v>40</v>
      </c>
      <c r="C220" s="830" t="s">
        <v>1292</v>
      </c>
      <c r="D220" s="830" t="s">
        <v>42</v>
      </c>
      <c r="E220" s="830" t="s">
        <v>43</v>
      </c>
      <c r="F220" s="830" t="s">
        <v>44</v>
      </c>
      <c r="G220" s="830" t="s">
        <v>20</v>
      </c>
      <c r="H220" s="830" t="s">
        <v>45</v>
      </c>
      <c r="I220" s="830" t="s">
        <v>22</v>
      </c>
      <c r="J220" s="429" t="s">
        <v>46</v>
      </c>
    </row>
    <row r="221" spans="1:10" s="781" customFormat="1" ht="20.100000000000001" customHeight="1" x14ac:dyDescent="0.25">
      <c r="A221" s="235" t="s">
        <v>50</v>
      </c>
      <c r="B221" s="335">
        <v>294834.21999999997</v>
      </c>
      <c r="C221" s="335">
        <v>2164340.79</v>
      </c>
      <c r="D221" s="335">
        <v>0</v>
      </c>
      <c r="E221" s="406">
        <v>0</v>
      </c>
      <c r="F221" s="238">
        <f>B221+C221-D221-E221</f>
        <v>2459175.0099999998</v>
      </c>
      <c r="G221" s="335">
        <v>1390622.08</v>
      </c>
      <c r="H221" s="377">
        <f>+G221/F221*100</f>
        <v>56.548316990257653</v>
      </c>
      <c r="I221" s="377">
        <f>+F221-G221</f>
        <v>1068552.9299999997</v>
      </c>
      <c r="J221" s="335">
        <f>+I221/F221*100</f>
        <v>43.451683009742354</v>
      </c>
    </row>
    <row r="222" spans="1:10" s="781" customFormat="1" ht="20.100000000000001" customHeight="1" x14ac:dyDescent="0.25">
      <c r="A222" s="500" t="s">
        <v>51</v>
      </c>
      <c r="B222" s="430">
        <f t="shared" ref="B222:G222" si="10">SUM(B221:B221)</f>
        <v>294834.21999999997</v>
      </c>
      <c r="C222" s="430">
        <f t="shared" si="10"/>
        <v>2164340.79</v>
      </c>
      <c r="D222" s="430">
        <f t="shared" si="10"/>
        <v>0</v>
      </c>
      <c r="E222" s="431">
        <f t="shared" si="10"/>
        <v>0</v>
      </c>
      <c r="F222" s="430">
        <f t="shared" si="10"/>
        <v>2459175.0099999998</v>
      </c>
      <c r="G222" s="430">
        <f t="shared" si="10"/>
        <v>1390622.08</v>
      </c>
      <c r="H222" s="430">
        <f>+G222/F222*100</f>
        <v>56.548316990257653</v>
      </c>
      <c r="I222" s="430">
        <f>SUM(I221:I221)</f>
        <v>1068552.9299999997</v>
      </c>
      <c r="J222" s="430">
        <f>+I222/F222*100</f>
        <v>43.451683009742354</v>
      </c>
    </row>
    <row r="223" spans="1:10" s="437" customFormat="1" ht="20.100000000000001" customHeight="1" thickBot="1" x14ac:dyDescent="0.3">
      <c r="A223" s="529" t="s">
        <v>36</v>
      </c>
      <c r="B223" s="530">
        <f>SUM(B222,B219)</f>
        <v>759144.23</v>
      </c>
      <c r="C223" s="530">
        <f>SUM(C222,C219)</f>
        <v>4282695.33</v>
      </c>
      <c r="D223" s="530">
        <f>+D219+D222</f>
        <v>0</v>
      </c>
      <c r="E223" s="530">
        <f>SUM(E222,E219)</f>
        <v>102854.15</v>
      </c>
      <c r="F223" s="530">
        <f>SUM(F222,F219)</f>
        <v>4938985.41</v>
      </c>
      <c r="G223" s="530">
        <f>SUM(G222,G219)</f>
        <v>3374217.81</v>
      </c>
      <c r="H223" s="530">
        <f>+G223/F223*100</f>
        <v>68.318035586179221</v>
      </c>
      <c r="I223" s="530">
        <f>SUM(I222,I219)</f>
        <v>1564767.5999999996</v>
      </c>
      <c r="J223" s="530">
        <f>+I223/F223*100</f>
        <v>31.681964413820761</v>
      </c>
    </row>
    <row r="224" spans="1:10" s="781" customFormat="1" ht="20.100000000000001" customHeight="1" thickTop="1" x14ac:dyDescent="0.3">
      <c r="A224" s="825"/>
      <c r="B224" s="826"/>
      <c r="C224" s="826"/>
      <c r="D224" s="826"/>
      <c r="E224" s="826"/>
      <c r="F224" s="826"/>
      <c r="G224" s="826"/>
      <c r="H224" s="826"/>
      <c r="I224" s="826"/>
      <c r="J224" s="826"/>
    </row>
    <row r="225" spans="1:10" s="781" customFormat="1" ht="19.5" customHeight="1" x14ac:dyDescent="0.25">
      <c r="A225" s="501" t="s">
        <v>37</v>
      </c>
      <c r="B225" s="190"/>
      <c r="C225" s="502"/>
      <c r="D225" s="502"/>
      <c r="E225" s="502"/>
      <c r="F225" s="502"/>
      <c r="G225" s="502"/>
      <c r="H225" s="503"/>
      <c r="I225" s="502"/>
      <c r="J225" s="190"/>
    </row>
    <row r="226" spans="1:10" s="781" customFormat="1" ht="19.5" customHeight="1" x14ac:dyDescent="0.25">
      <c r="C226" s="504" t="s">
        <v>52</v>
      </c>
      <c r="D226" s="502"/>
      <c r="E226" s="502"/>
      <c r="F226" s="502"/>
      <c r="G226" s="502"/>
      <c r="H226" s="503"/>
      <c r="I226" s="502"/>
      <c r="J226" s="190"/>
    </row>
    <row r="227" spans="1:10" s="781" customFormat="1" ht="20.100000000000001" customHeight="1" x14ac:dyDescent="0.3">
      <c r="A227" s="505" t="s">
        <v>53</v>
      </c>
      <c r="B227" s="781" t="s">
        <v>326</v>
      </c>
      <c r="C227" s="476">
        <v>496214.67</v>
      </c>
      <c r="D227" s="502" t="s">
        <v>55</v>
      </c>
      <c r="E227" s="826" t="s">
        <v>1173</v>
      </c>
      <c r="F227" s="502"/>
      <c r="G227" s="502"/>
      <c r="H227" s="503"/>
      <c r="I227" s="502"/>
      <c r="J227" s="190"/>
    </row>
    <row r="228" spans="1:10" s="825" customFormat="1" ht="21.75" customHeight="1" thickBot="1" x14ac:dyDescent="0.35">
      <c r="B228" s="826"/>
      <c r="C228" s="408">
        <f>SUM(C227:C227)</f>
        <v>496214.67</v>
      </c>
      <c r="D228" s="502" t="s">
        <v>55</v>
      </c>
      <c r="E228" s="826"/>
      <c r="F228" s="826"/>
      <c r="G228" s="826"/>
      <c r="H228" s="826"/>
      <c r="I228" s="826"/>
      <c r="J228" s="826"/>
    </row>
    <row r="229" spans="1:10" s="825" customFormat="1" ht="21.75" customHeight="1" thickTop="1" x14ac:dyDescent="0.3">
      <c r="A229" s="505" t="s">
        <v>248</v>
      </c>
      <c r="B229" s="781" t="s">
        <v>326</v>
      </c>
      <c r="C229" s="826">
        <v>1068552.93</v>
      </c>
      <c r="D229" s="502" t="s">
        <v>55</v>
      </c>
      <c r="E229" s="826" t="s">
        <v>1101</v>
      </c>
      <c r="F229" s="826"/>
      <c r="G229" s="826"/>
      <c r="H229" s="826"/>
      <c r="I229" s="826"/>
      <c r="J229" s="826"/>
    </row>
    <row r="230" spans="1:10" s="825" customFormat="1" ht="21.75" customHeight="1" x14ac:dyDescent="0.3">
      <c r="B230" s="826"/>
      <c r="C230" s="838">
        <f>SUM(C229)</f>
        <v>1068552.93</v>
      </c>
      <c r="D230" s="502" t="s">
        <v>55</v>
      </c>
      <c r="E230" s="826"/>
      <c r="F230" s="826"/>
      <c r="G230" s="826"/>
      <c r="H230" s="826"/>
      <c r="I230" s="826"/>
      <c r="J230" s="826"/>
    </row>
    <row r="231" spans="1:10" s="825" customFormat="1" ht="21.75" customHeight="1" thickBot="1" x14ac:dyDescent="0.35">
      <c r="B231" s="826"/>
      <c r="C231" s="409">
        <f>SUM(C230,C228)</f>
        <v>1564767.5999999999</v>
      </c>
      <c r="D231" s="826"/>
      <c r="E231" s="826"/>
      <c r="F231" s="826"/>
      <c r="G231" s="826"/>
      <c r="H231" s="826"/>
      <c r="I231" s="826"/>
      <c r="J231" s="826"/>
    </row>
    <row r="232" spans="1:10" s="801" customFormat="1" ht="17.25" thickTop="1" x14ac:dyDescent="0.3"/>
    <row r="235" spans="1:10" s="781" customFormat="1" ht="20.100000000000001" customHeight="1" x14ac:dyDescent="0.25">
      <c r="A235" s="895" t="s">
        <v>1434</v>
      </c>
      <c r="B235" s="895"/>
      <c r="C235" s="895"/>
      <c r="D235" s="895"/>
      <c r="E235" s="895"/>
      <c r="F235" s="895"/>
      <c r="G235" s="895"/>
      <c r="H235" s="895"/>
      <c r="I235" s="895"/>
      <c r="J235" s="895"/>
    </row>
    <row r="236" spans="1:10" s="781" customFormat="1" ht="17.25" thickBot="1" x14ac:dyDescent="0.3">
      <c r="A236" s="896"/>
      <c r="B236" s="896"/>
      <c r="C236" s="896"/>
      <c r="D236" s="896"/>
      <c r="E236" s="896"/>
      <c r="F236" s="896"/>
      <c r="G236" s="896"/>
      <c r="H236" s="896"/>
      <c r="I236" s="896"/>
      <c r="J236" s="896"/>
    </row>
    <row r="237" spans="1:10" s="781" customFormat="1" ht="50.25" thickBot="1" x14ac:dyDescent="0.3">
      <c r="A237" s="405" t="s">
        <v>1398</v>
      </c>
      <c r="B237" s="830" t="s">
        <v>40</v>
      </c>
      <c r="C237" s="830" t="s">
        <v>1435</v>
      </c>
      <c r="D237" s="830" t="s">
        <v>42</v>
      </c>
      <c r="E237" s="830" t="s">
        <v>43</v>
      </c>
      <c r="F237" s="830" t="s">
        <v>44</v>
      </c>
      <c r="G237" s="830" t="s">
        <v>20</v>
      </c>
      <c r="H237" s="830" t="s">
        <v>45</v>
      </c>
      <c r="I237" s="830" t="s">
        <v>22</v>
      </c>
      <c r="J237" s="830" t="s">
        <v>46</v>
      </c>
    </row>
    <row r="238" spans="1:10" s="781" customFormat="1" ht="20.100000000000001" customHeight="1" x14ac:dyDescent="0.25">
      <c r="A238" s="231" t="s">
        <v>47</v>
      </c>
      <c r="B238" s="424">
        <v>496214.67</v>
      </c>
      <c r="C238" s="424">
        <v>2540741.6</v>
      </c>
      <c r="D238" s="424"/>
      <c r="E238" s="425">
        <v>201554.41</v>
      </c>
      <c r="F238" s="424">
        <f>B238+C238-D238-E238</f>
        <v>2835401.86</v>
      </c>
      <c r="G238" s="424">
        <v>2747934.75</v>
      </c>
      <c r="H238" s="377">
        <f>+G238/F238*100</f>
        <v>96.915177660213573</v>
      </c>
      <c r="I238" s="377">
        <f>F238-G238</f>
        <v>87467.10999999987</v>
      </c>
      <c r="J238" s="426">
        <f>+I238/F238*100</f>
        <v>3.0848223397864269</v>
      </c>
    </row>
    <row r="239" spans="1:10" s="781" customFormat="1" ht="17.25" thickBot="1" x14ac:dyDescent="0.3">
      <c r="A239" s="427" t="s">
        <v>48</v>
      </c>
      <c r="B239" s="426">
        <f>SUM(B238)</f>
        <v>496214.67</v>
      </c>
      <c r="C239" s="426">
        <f>SUM(C238)</f>
        <v>2540741.6</v>
      </c>
      <c r="D239" s="426">
        <v>0</v>
      </c>
      <c r="E239" s="428">
        <f>SUM(E238)</f>
        <v>201554.41</v>
      </c>
      <c r="F239" s="426">
        <f>SUM(F238)</f>
        <v>2835401.86</v>
      </c>
      <c r="G239" s="426">
        <f>SUM(G238)</f>
        <v>2747934.75</v>
      </c>
      <c r="H239" s="426">
        <f>+G239/F239*100</f>
        <v>96.915177660213573</v>
      </c>
      <c r="I239" s="426">
        <f>SUM(I238)</f>
        <v>87467.10999999987</v>
      </c>
      <c r="J239" s="426">
        <f>+I239/F239*100</f>
        <v>3.0848223397864269</v>
      </c>
    </row>
    <row r="240" spans="1:10" s="781" customFormat="1" ht="50.25" thickBot="1" x14ac:dyDescent="0.3">
      <c r="A240" s="405" t="s">
        <v>1398</v>
      </c>
      <c r="B240" s="830" t="s">
        <v>40</v>
      </c>
      <c r="C240" s="830" t="s">
        <v>1435</v>
      </c>
      <c r="D240" s="830" t="s">
        <v>42</v>
      </c>
      <c r="E240" s="830" t="s">
        <v>43</v>
      </c>
      <c r="F240" s="830" t="s">
        <v>44</v>
      </c>
      <c r="G240" s="830" t="s">
        <v>20</v>
      </c>
      <c r="H240" s="830" t="s">
        <v>45</v>
      </c>
      <c r="I240" s="830" t="s">
        <v>22</v>
      </c>
      <c r="J240" s="429" t="s">
        <v>46</v>
      </c>
    </row>
    <row r="241" spans="1:10" s="781" customFormat="1" ht="20.100000000000001" customHeight="1" x14ac:dyDescent="0.25">
      <c r="A241" s="235" t="s">
        <v>50</v>
      </c>
      <c r="B241" s="335">
        <v>1068552.93</v>
      </c>
      <c r="C241" s="335">
        <v>3008110.05</v>
      </c>
      <c r="D241" s="335">
        <v>0</v>
      </c>
      <c r="E241" s="406">
        <v>0</v>
      </c>
      <c r="F241" s="238">
        <f>B241+C241-D241-E241</f>
        <v>4076662.9799999995</v>
      </c>
      <c r="G241" s="335">
        <v>2604530.23</v>
      </c>
      <c r="H241" s="377">
        <f>+G241/F241*100</f>
        <v>63.88877969009841</v>
      </c>
      <c r="I241" s="377">
        <f>+F241-G241</f>
        <v>1472132.7499999995</v>
      </c>
      <c r="J241" s="335">
        <f>+I241/F241*100</f>
        <v>36.111220309901597</v>
      </c>
    </row>
    <row r="242" spans="1:10" s="781" customFormat="1" ht="20.100000000000001" customHeight="1" x14ac:dyDescent="0.25">
      <c r="A242" s="500" t="s">
        <v>279</v>
      </c>
      <c r="B242" s="430">
        <f t="shared" ref="B242:G242" si="11">SUM(B241:B241)</f>
        <v>1068552.93</v>
      </c>
      <c r="C242" s="430">
        <f t="shared" si="11"/>
        <v>3008110.05</v>
      </c>
      <c r="D242" s="430">
        <f t="shared" si="11"/>
        <v>0</v>
      </c>
      <c r="E242" s="431">
        <f t="shared" si="11"/>
        <v>0</v>
      </c>
      <c r="F242" s="430">
        <f t="shared" si="11"/>
        <v>4076662.9799999995</v>
      </c>
      <c r="G242" s="430">
        <f t="shared" si="11"/>
        <v>2604530.23</v>
      </c>
      <c r="H242" s="430">
        <f>+G242/F242*100</f>
        <v>63.88877969009841</v>
      </c>
      <c r="I242" s="430">
        <f>SUM(I241:I241)</f>
        <v>1472132.7499999995</v>
      </c>
      <c r="J242" s="430">
        <f>+I242/F242*100</f>
        <v>36.111220309901597</v>
      </c>
    </row>
    <row r="243" spans="1:10" s="437" customFormat="1" ht="20.100000000000001" customHeight="1" thickBot="1" x14ac:dyDescent="0.3">
      <c r="A243" s="529" t="s">
        <v>36</v>
      </c>
      <c r="B243" s="530">
        <f>SUM(B242,B239)</f>
        <v>1564767.5999999999</v>
      </c>
      <c r="C243" s="530">
        <f>SUM(C242,C239)</f>
        <v>5548851.6500000004</v>
      </c>
      <c r="D243" s="530">
        <f>+D239+D242</f>
        <v>0</v>
      </c>
      <c r="E243" s="530">
        <f>SUM(E242,E239)</f>
        <v>201554.41</v>
      </c>
      <c r="F243" s="530">
        <f>SUM(F242,F239)</f>
        <v>6912064.8399999999</v>
      </c>
      <c r="G243" s="530">
        <f>SUM(G242,G239)</f>
        <v>5352464.9800000004</v>
      </c>
      <c r="H243" s="530">
        <f>+G243/F243*100</f>
        <v>77.436556280915909</v>
      </c>
      <c r="I243" s="530">
        <f>SUM(I242,I239)</f>
        <v>1559599.8599999994</v>
      </c>
      <c r="J243" s="530">
        <f>+I243/F243*100</f>
        <v>22.563443719084088</v>
      </c>
    </row>
    <row r="244" spans="1:10" s="781" customFormat="1" ht="20.100000000000001" customHeight="1" thickTop="1" x14ac:dyDescent="0.3">
      <c r="A244" s="825"/>
      <c r="B244" s="826"/>
      <c r="C244" s="826"/>
      <c r="D244" s="826"/>
      <c r="E244" s="826"/>
      <c r="F244" s="826"/>
      <c r="G244" s="826"/>
      <c r="H244" s="826"/>
      <c r="I244" s="826"/>
      <c r="J244" s="826"/>
    </row>
    <row r="245" spans="1:10" s="781" customFormat="1" ht="19.5" customHeight="1" x14ac:dyDescent="0.25">
      <c r="A245" s="501" t="s">
        <v>37</v>
      </c>
      <c r="B245" s="190"/>
      <c r="C245" s="502"/>
      <c r="D245" s="502"/>
      <c r="E245" s="502"/>
      <c r="F245" s="502"/>
      <c r="G245" s="502"/>
      <c r="H245" s="503"/>
      <c r="I245" s="502"/>
      <c r="J245" s="190"/>
    </row>
    <row r="246" spans="1:10" s="781" customFormat="1" ht="19.5" customHeight="1" x14ac:dyDescent="0.25">
      <c r="C246" s="504" t="s">
        <v>52</v>
      </c>
      <c r="D246" s="502"/>
      <c r="E246" s="502"/>
      <c r="F246" s="502"/>
      <c r="G246" s="502"/>
      <c r="H246" s="503"/>
      <c r="I246" s="502"/>
      <c r="J246" s="190"/>
    </row>
    <row r="247" spans="1:10" s="781" customFormat="1" ht="20.100000000000001" customHeight="1" x14ac:dyDescent="0.3">
      <c r="A247" s="505" t="s">
        <v>53</v>
      </c>
      <c r="B247" s="781" t="s">
        <v>326</v>
      </c>
      <c r="C247" s="476">
        <v>87467.11</v>
      </c>
      <c r="D247" s="502" t="s">
        <v>55</v>
      </c>
      <c r="E247" s="826" t="s">
        <v>1173</v>
      </c>
      <c r="F247" s="502"/>
      <c r="G247" s="502"/>
      <c r="H247" s="503"/>
      <c r="I247" s="502"/>
      <c r="J247" s="190"/>
    </row>
    <row r="248" spans="1:10" s="825" customFormat="1" ht="21.75" customHeight="1" thickBot="1" x14ac:dyDescent="0.35">
      <c r="B248" s="826"/>
      <c r="C248" s="408">
        <f>SUM(C247:C247)</f>
        <v>87467.11</v>
      </c>
      <c r="D248" s="502" t="s">
        <v>55</v>
      </c>
      <c r="E248" s="826"/>
      <c r="F248" s="826"/>
      <c r="G248" s="826"/>
      <c r="H248" s="826"/>
      <c r="I248" s="826"/>
      <c r="J248" s="826"/>
    </row>
    <row r="249" spans="1:10" s="825" customFormat="1" ht="21.75" customHeight="1" thickTop="1" x14ac:dyDescent="0.3">
      <c r="A249" s="505" t="s">
        <v>248</v>
      </c>
      <c r="B249" s="781" t="s">
        <v>326</v>
      </c>
      <c r="C249" s="826">
        <v>1472132.75</v>
      </c>
      <c r="D249" s="502" t="s">
        <v>55</v>
      </c>
      <c r="E249" s="826" t="s">
        <v>1101</v>
      </c>
      <c r="F249" s="826"/>
      <c r="G249" s="826"/>
      <c r="H249" s="826"/>
      <c r="I249" s="826"/>
      <c r="J249" s="826"/>
    </row>
    <row r="250" spans="1:10" s="825" customFormat="1" ht="21.75" customHeight="1" x14ac:dyDescent="0.3">
      <c r="B250" s="826"/>
      <c r="C250" s="838">
        <f>SUM(C249)</f>
        <v>1472132.75</v>
      </c>
      <c r="D250" s="502" t="s">
        <v>55</v>
      </c>
      <c r="E250" s="826"/>
      <c r="F250" s="826"/>
      <c r="G250" s="826"/>
      <c r="H250" s="826"/>
      <c r="I250" s="826"/>
      <c r="J250" s="826"/>
    </row>
    <row r="251" spans="1:10" s="825" customFormat="1" ht="21.75" customHeight="1" thickBot="1" x14ac:dyDescent="0.35">
      <c r="B251" s="826"/>
      <c r="C251" s="409">
        <f>SUM(C250,C248)</f>
        <v>1559599.86</v>
      </c>
      <c r="D251" s="826"/>
      <c r="E251" s="826"/>
      <c r="F251" s="826"/>
      <c r="G251" s="826"/>
      <c r="H251" s="826"/>
      <c r="I251" s="826"/>
      <c r="J251" s="826"/>
    </row>
    <row r="252" spans="1:10" s="801" customFormat="1" ht="17.25" thickTop="1" x14ac:dyDescent="0.3"/>
  </sheetData>
  <mergeCells count="12">
    <mergeCell ref="A235:J236"/>
    <mergeCell ref="A108:J109"/>
    <mergeCell ref="A1:J2"/>
    <mergeCell ref="A24:J25"/>
    <mergeCell ref="A49:J50"/>
    <mergeCell ref="A69:J70"/>
    <mergeCell ref="A89:J90"/>
    <mergeCell ref="A194:J195"/>
    <mergeCell ref="A173:J174"/>
    <mergeCell ref="A151:J152"/>
    <mergeCell ref="A129:J130"/>
    <mergeCell ref="A215:J2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5"/>
  <sheetViews>
    <sheetView topLeftCell="A185" zoomScaleNormal="100" workbookViewId="0">
      <selection activeCell="I193" sqref="I193"/>
    </sheetView>
  </sheetViews>
  <sheetFormatPr defaultColWidth="13.85546875" defaultRowHeight="20.100000000000001" customHeight="1" x14ac:dyDescent="0.3"/>
  <cols>
    <col min="1" max="1" width="27.7109375" style="131" customWidth="1"/>
    <col min="2" max="2" width="22.42578125" style="132" customWidth="1"/>
    <col min="3" max="10" width="20.7109375" style="132" customWidth="1"/>
    <col min="11" max="16384" width="13.85546875" style="131"/>
  </cols>
  <sheetData>
    <row r="1" spans="1:10" s="354" customFormat="1" ht="20.100000000000001" customHeight="1" x14ac:dyDescent="0.25">
      <c r="A1" s="895" t="s">
        <v>39</v>
      </c>
      <c r="B1" s="895"/>
      <c r="C1" s="895"/>
      <c r="D1" s="895"/>
      <c r="E1" s="895"/>
      <c r="F1" s="895"/>
      <c r="G1" s="895"/>
      <c r="H1" s="895"/>
      <c r="I1" s="895"/>
      <c r="J1" s="895"/>
    </row>
    <row r="2" spans="1:10" s="354" customFormat="1" ht="20.100000000000001" customHeight="1" thickBot="1" x14ac:dyDescent="0.3">
      <c r="A2" s="896"/>
      <c r="B2" s="896"/>
      <c r="C2" s="896"/>
      <c r="D2" s="896"/>
      <c r="E2" s="896"/>
      <c r="F2" s="896"/>
      <c r="G2" s="896"/>
      <c r="H2" s="896"/>
      <c r="I2" s="896"/>
      <c r="J2" s="896"/>
    </row>
    <row r="3" spans="1:10" s="354" customFormat="1" ht="50.25" thickBot="1" x14ac:dyDescent="0.3">
      <c r="A3" s="405" t="s">
        <v>13</v>
      </c>
      <c r="B3" s="214" t="s">
        <v>40</v>
      </c>
      <c r="C3" s="214" t="s">
        <v>41</v>
      </c>
      <c r="D3" s="214" t="s">
        <v>42</v>
      </c>
      <c r="E3" s="214" t="s">
        <v>43</v>
      </c>
      <c r="F3" s="214" t="s">
        <v>44</v>
      </c>
      <c r="G3" s="214" t="s">
        <v>20</v>
      </c>
      <c r="H3" s="214" t="s">
        <v>45</v>
      </c>
      <c r="I3" s="214" t="s">
        <v>22</v>
      </c>
      <c r="J3" s="214" t="s">
        <v>46</v>
      </c>
    </row>
    <row r="4" spans="1:10" s="354" customFormat="1" ht="20.100000000000001" customHeight="1" x14ac:dyDescent="0.25">
      <c r="A4" s="432" t="s">
        <v>47</v>
      </c>
      <c r="B4" s="424">
        <v>32782.26</v>
      </c>
      <c r="C4" s="424">
        <v>71747444.829999998</v>
      </c>
      <c r="D4" s="424"/>
      <c r="E4" s="425">
        <v>764291.02</v>
      </c>
      <c r="F4" s="424">
        <f>B4+C4-D4-E4</f>
        <v>71015936.070000008</v>
      </c>
      <c r="G4" s="424">
        <v>70985206.959999993</v>
      </c>
      <c r="H4" s="377">
        <f>+G4/F4*100</f>
        <v>99.956729275567497</v>
      </c>
      <c r="I4" s="377">
        <f>F4-G4</f>
        <v>30729.110000014305</v>
      </c>
      <c r="J4" s="433">
        <f>+I4/F4*100</f>
        <v>4.3270724432505958E-2</v>
      </c>
    </row>
    <row r="5" spans="1:10" s="354" customFormat="1" ht="20.100000000000001" customHeight="1" thickBot="1" x14ac:dyDescent="0.3">
      <c r="A5" s="427" t="s">
        <v>48</v>
      </c>
      <c r="B5" s="426">
        <f>SUM(B4)</f>
        <v>32782.26</v>
      </c>
      <c r="C5" s="426">
        <f>SUM(C4)</f>
        <v>71747444.829999998</v>
      </c>
      <c r="D5" s="426">
        <v>0</v>
      </c>
      <c r="E5" s="428">
        <f>SUM(E4)</f>
        <v>764291.02</v>
      </c>
      <c r="F5" s="426">
        <f>SUM(F4)</f>
        <v>71015936.070000008</v>
      </c>
      <c r="G5" s="426">
        <f>SUM(G4)</f>
        <v>70985206.959999993</v>
      </c>
      <c r="H5" s="426">
        <f>+G5/F5*100</f>
        <v>99.956729275567497</v>
      </c>
      <c r="I5" s="426">
        <f>SUM(I4)</f>
        <v>30729.110000014305</v>
      </c>
      <c r="J5" s="426">
        <f>+I5/F5*100</f>
        <v>4.3270724432505958E-2</v>
      </c>
    </row>
    <row r="6" spans="1:10" s="354" customFormat="1" ht="50.25" thickBot="1" x14ac:dyDescent="0.3">
      <c r="A6" s="405" t="s">
        <v>13</v>
      </c>
      <c r="B6" s="214" t="s">
        <v>40</v>
      </c>
      <c r="C6" s="214" t="s">
        <v>278</v>
      </c>
      <c r="D6" s="214" t="s">
        <v>42</v>
      </c>
      <c r="E6" s="214" t="s">
        <v>43</v>
      </c>
      <c r="F6" s="214" t="s">
        <v>44</v>
      </c>
      <c r="G6" s="214" t="s">
        <v>20</v>
      </c>
      <c r="H6" s="214" t="s">
        <v>45</v>
      </c>
      <c r="I6" s="214" t="s">
        <v>22</v>
      </c>
      <c r="J6" s="429" t="s">
        <v>46</v>
      </c>
    </row>
    <row r="7" spans="1:10" s="354" customFormat="1" ht="20.100000000000001" customHeight="1" x14ac:dyDescent="0.25">
      <c r="A7" s="434" t="s">
        <v>50</v>
      </c>
      <c r="B7" s="335">
        <v>0</v>
      </c>
      <c r="C7" s="335">
        <v>6195698.4900000002</v>
      </c>
      <c r="D7" s="335">
        <v>0</v>
      </c>
      <c r="E7" s="406">
        <v>25114.75</v>
      </c>
      <c r="F7" s="238">
        <f>B7+C7-D7-E7</f>
        <v>6170583.7400000002</v>
      </c>
      <c r="G7" s="335">
        <v>6170583.7400000002</v>
      </c>
      <c r="H7" s="377">
        <f>+G7/F7*100</f>
        <v>100</v>
      </c>
      <c r="I7" s="377">
        <f>+F7-G7</f>
        <v>0</v>
      </c>
      <c r="J7" s="335">
        <f>+I7/F7*100</f>
        <v>0</v>
      </c>
    </row>
    <row r="8" spans="1:10" s="354" customFormat="1" ht="20.100000000000001" customHeight="1" x14ac:dyDescent="0.25">
      <c r="A8" s="438" t="s">
        <v>279</v>
      </c>
      <c r="B8" s="430">
        <f t="shared" ref="B8:G8" si="0">SUM(B7:B7)</f>
        <v>0</v>
      </c>
      <c r="C8" s="430">
        <f t="shared" si="0"/>
        <v>6195698.4900000002</v>
      </c>
      <c r="D8" s="430">
        <f t="shared" si="0"/>
        <v>0</v>
      </c>
      <c r="E8" s="431">
        <f t="shared" si="0"/>
        <v>25114.75</v>
      </c>
      <c r="F8" s="430">
        <f t="shared" si="0"/>
        <v>6170583.7400000002</v>
      </c>
      <c r="G8" s="430">
        <f t="shared" si="0"/>
        <v>6170583.7400000002</v>
      </c>
      <c r="H8" s="430">
        <f>+G8/F8*100</f>
        <v>100</v>
      </c>
      <c r="I8" s="430">
        <f>SUM(I7:I7)</f>
        <v>0</v>
      </c>
      <c r="J8" s="430">
        <f>+I8/F8*100</f>
        <v>0</v>
      </c>
    </row>
    <row r="9" spans="1:10" s="437" customFormat="1" ht="20.100000000000001" customHeight="1" thickBot="1" x14ac:dyDescent="0.3">
      <c r="A9" s="435" t="s">
        <v>36</v>
      </c>
      <c r="B9" s="436">
        <f t="shared" ref="B9:G9" si="1">+B5+B8</f>
        <v>32782.26</v>
      </c>
      <c r="C9" s="436">
        <f t="shared" si="1"/>
        <v>77943143.319999993</v>
      </c>
      <c r="D9" s="436">
        <f t="shared" si="1"/>
        <v>0</v>
      </c>
      <c r="E9" s="436">
        <f t="shared" si="1"/>
        <v>789405.77</v>
      </c>
      <c r="F9" s="436">
        <f t="shared" si="1"/>
        <v>77186519.810000002</v>
      </c>
      <c r="G9" s="436">
        <f t="shared" si="1"/>
        <v>77155790.699999988</v>
      </c>
      <c r="H9" s="436">
        <f>+G9/F9*100</f>
        <v>99.960188501728467</v>
      </c>
      <c r="I9" s="436">
        <f>+I5+I8</f>
        <v>30729.110000014305</v>
      </c>
      <c r="J9" s="436">
        <f>+I9/F9*100</f>
        <v>3.9811498271532582E-2</v>
      </c>
    </row>
    <row r="10" spans="1:10" s="354" customFormat="1" ht="20.100000000000001" customHeight="1" thickTop="1" x14ac:dyDescent="0.3">
      <c r="A10" s="131"/>
      <c r="B10" s="132"/>
      <c r="C10" s="132"/>
      <c r="D10" s="132"/>
      <c r="E10" s="132"/>
      <c r="F10" s="132"/>
      <c r="G10" s="132"/>
      <c r="H10" s="132"/>
      <c r="I10" s="132"/>
      <c r="J10" s="132"/>
    </row>
    <row r="11" spans="1:10" s="354" customFormat="1" ht="20.100000000000001" customHeight="1" x14ac:dyDescent="0.25">
      <c r="A11" s="363" t="s">
        <v>37</v>
      </c>
      <c r="C11" s="357"/>
      <c r="D11" s="357"/>
      <c r="E11" s="357"/>
      <c r="F11" s="357"/>
      <c r="G11" s="357"/>
      <c r="H11" s="22"/>
      <c r="I11" s="357"/>
    </row>
    <row r="12" spans="1:10" s="354" customFormat="1" ht="20.100000000000001" customHeight="1" x14ac:dyDescent="0.25">
      <c r="A12" s="134" t="s">
        <v>96</v>
      </c>
      <c r="B12" s="135" t="s">
        <v>54</v>
      </c>
      <c r="C12" s="136" t="s">
        <v>52</v>
      </c>
      <c r="D12" s="357"/>
      <c r="E12" s="357"/>
      <c r="F12" s="357"/>
      <c r="G12" s="357"/>
      <c r="H12" s="22"/>
      <c r="I12" s="357"/>
    </row>
    <row r="13" spans="1:10" s="354" customFormat="1" ht="20.100000000000001" customHeight="1" x14ac:dyDescent="0.25">
      <c r="B13" s="354" t="s">
        <v>47</v>
      </c>
      <c r="C13" s="384">
        <f>VLOOKUP(I4,I4,1,0)</f>
        <v>30729.110000014305</v>
      </c>
      <c r="D13" s="357" t="s">
        <v>55</v>
      </c>
      <c r="E13" s="357" t="s">
        <v>56</v>
      </c>
      <c r="F13" s="357"/>
      <c r="G13" s="357"/>
      <c r="H13" s="22"/>
      <c r="I13" s="357"/>
    </row>
    <row r="14" spans="1:10" s="354" customFormat="1" ht="20.100000000000001" customHeight="1" thickBot="1" x14ac:dyDescent="0.3">
      <c r="C14" s="337">
        <f>SUM(C13:C13)</f>
        <v>30729.110000014305</v>
      </c>
      <c r="D14" s="36" t="s">
        <v>280</v>
      </c>
      <c r="E14" s="355"/>
    </row>
    <row r="15" spans="1:10" s="354" customFormat="1" ht="20.100000000000001" customHeight="1" thickTop="1" x14ac:dyDescent="0.3">
      <c r="A15" s="131"/>
      <c r="B15" s="132"/>
      <c r="C15" s="132"/>
      <c r="D15" s="132"/>
      <c r="E15" s="132"/>
      <c r="F15" s="132"/>
      <c r="G15" s="132"/>
      <c r="H15" s="132"/>
      <c r="I15" s="132"/>
      <c r="J15" s="132"/>
    </row>
    <row r="17" spans="1:10" s="354" customFormat="1" ht="20.100000000000001" customHeight="1" x14ac:dyDescent="0.25">
      <c r="A17" s="895" t="s">
        <v>367</v>
      </c>
      <c r="B17" s="895"/>
      <c r="C17" s="895"/>
      <c r="D17" s="895"/>
      <c r="E17" s="895"/>
      <c r="F17" s="895"/>
      <c r="G17" s="895"/>
      <c r="H17" s="895"/>
      <c r="I17" s="895"/>
      <c r="J17" s="895"/>
    </row>
    <row r="18" spans="1:10" s="354" customFormat="1" ht="17.25" thickBot="1" x14ac:dyDescent="0.3">
      <c r="A18" s="896"/>
      <c r="B18" s="896"/>
      <c r="C18" s="896"/>
      <c r="D18" s="896"/>
      <c r="E18" s="896"/>
      <c r="F18" s="896"/>
      <c r="G18" s="896"/>
      <c r="H18" s="896"/>
      <c r="I18" s="896"/>
      <c r="J18" s="896"/>
    </row>
    <row r="19" spans="1:10" s="354" customFormat="1" ht="50.25" thickBot="1" x14ac:dyDescent="0.3">
      <c r="A19" s="405" t="s">
        <v>263</v>
      </c>
      <c r="B19" s="214" t="s">
        <v>40</v>
      </c>
      <c r="C19" s="214" t="s">
        <v>322</v>
      </c>
      <c r="D19" s="214" t="s">
        <v>42</v>
      </c>
      <c r="E19" s="214" t="s">
        <v>43</v>
      </c>
      <c r="F19" s="214" t="s">
        <v>44</v>
      </c>
      <c r="G19" s="214" t="s">
        <v>20</v>
      </c>
      <c r="H19" s="214" t="s">
        <v>45</v>
      </c>
      <c r="I19" s="214" t="s">
        <v>22</v>
      </c>
      <c r="J19" s="214" t="s">
        <v>46</v>
      </c>
    </row>
    <row r="20" spans="1:10" s="354" customFormat="1" ht="20.100000000000001" customHeight="1" x14ac:dyDescent="0.25">
      <c r="A20" s="231" t="s">
        <v>47</v>
      </c>
      <c r="B20" s="424">
        <v>30729.11</v>
      </c>
      <c r="C20" s="424">
        <v>29578613.780000001</v>
      </c>
      <c r="D20" s="424"/>
      <c r="E20" s="425">
        <v>613562.78</v>
      </c>
      <c r="F20" s="424">
        <f>B20+C20-D20-E20</f>
        <v>28995780.109999999</v>
      </c>
      <c r="G20" s="424">
        <v>28993530.859999999</v>
      </c>
      <c r="H20" s="377">
        <f>+G20/F20*100</f>
        <v>99.992242836745675</v>
      </c>
      <c r="I20" s="377">
        <f>F20-G20</f>
        <v>2249.25</v>
      </c>
      <c r="J20" s="426">
        <f>+I20/F20*100</f>
        <v>7.7571632543325976E-3</v>
      </c>
    </row>
    <row r="21" spans="1:10" s="354" customFormat="1" ht="17.25" thickBot="1" x14ac:dyDescent="0.3">
      <c r="A21" s="427" t="s">
        <v>48</v>
      </c>
      <c r="B21" s="426">
        <f>SUM(B20)</f>
        <v>30729.11</v>
      </c>
      <c r="C21" s="426">
        <f>SUM(C20)</f>
        <v>29578613.780000001</v>
      </c>
      <c r="D21" s="426">
        <v>0</v>
      </c>
      <c r="E21" s="428">
        <f>SUM(E20)</f>
        <v>613562.78</v>
      </c>
      <c r="F21" s="426">
        <f>SUM(F20)</f>
        <v>28995780.109999999</v>
      </c>
      <c r="G21" s="426">
        <f>SUM(G20)</f>
        <v>28993530.859999999</v>
      </c>
      <c r="H21" s="426">
        <f>+G21/F21*100</f>
        <v>99.992242836745675</v>
      </c>
      <c r="I21" s="426">
        <f>SUM(I20)</f>
        <v>2249.25</v>
      </c>
      <c r="J21" s="426">
        <f>+I21/F21*100</f>
        <v>7.7571632543325976E-3</v>
      </c>
    </row>
    <row r="22" spans="1:10" s="354" customFormat="1" ht="50.25" thickBot="1" x14ac:dyDescent="0.3">
      <c r="A22" s="405" t="s">
        <v>263</v>
      </c>
      <c r="B22" s="214" t="s">
        <v>40</v>
      </c>
      <c r="C22" s="214" t="s">
        <v>241</v>
      </c>
      <c r="D22" s="214" t="s">
        <v>42</v>
      </c>
      <c r="E22" s="214" t="s">
        <v>43</v>
      </c>
      <c r="F22" s="214" t="s">
        <v>44</v>
      </c>
      <c r="G22" s="214" t="s">
        <v>20</v>
      </c>
      <c r="H22" s="214" t="s">
        <v>45</v>
      </c>
      <c r="I22" s="214" t="s">
        <v>22</v>
      </c>
      <c r="J22" s="429" t="s">
        <v>46</v>
      </c>
    </row>
    <row r="23" spans="1:10" s="354" customFormat="1" ht="20.100000000000001" customHeight="1" x14ac:dyDescent="0.25">
      <c r="A23" s="235" t="s">
        <v>50</v>
      </c>
      <c r="B23" s="335">
        <v>0</v>
      </c>
      <c r="C23" s="335">
        <v>2972825.92</v>
      </c>
      <c r="D23" s="335">
        <v>0</v>
      </c>
      <c r="E23" s="406">
        <v>21624.41</v>
      </c>
      <c r="F23" s="238">
        <f>B23+C23-D23-E23</f>
        <v>2951201.51</v>
      </c>
      <c r="G23" s="335">
        <v>2951201.51</v>
      </c>
      <c r="H23" s="377">
        <f>+G23/F23*100</f>
        <v>100</v>
      </c>
      <c r="I23" s="377">
        <f>+F23-G23</f>
        <v>0</v>
      </c>
      <c r="J23" s="335">
        <f>+I23/F23*100</f>
        <v>0</v>
      </c>
    </row>
    <row r="24" spans="1:10" s="354" customFormat="1" ht="20.100000000000001" customHeight="1" x14ac:dyDescent="0.25">
      <c r="A24" s="500" t="s">
        <v>51</v>
      </c>
      <c r="B24" s="430">
        <f t="shared" ref="B24:G24" si="2">SUM(B23:B23)</f>
        <v>0</v>
      </c>
      <c r="C24" s="430">
        <f t="shared" si="2"/>
        <v>2972825.92</v>
      </c>
      <c r="D24" s="430">
        <f t="shared" si="2"/>
        <v>0</v>
      </c>
      <c r="E24" s="431">
        <f t="shared" si="2"/>
        <v>21624.41</v>
      </c>
      <c r="F24" s="430">
        <f t="shared" si="2"/>
        <v>2951201.51</v>
      </c>
      <c r="G24" s="430">
        <f t="shared" si="2"/>
        <v>2951201.51</v>
      </c>
      <c r="H24" s="430">
        <f>+G24/F24*100</f>
        <v>100</v>
      </c>
      <c r="I24" s="430">
        <f>SUM(I23:I23)</f>
        <v>0</v>
      </c>
      <c r="J24" s="430">
        <f>+I24/F24*100</f>
        <v>0</v>
      </c>
    </row>
    <row r="25" spans="1:10" s="364" customFormat="1" ht="20.100000000000001" customHeight="1" thickBot="1" x14ac:dyDescent="0.3">
      <c r="A25" s="435" t="s">
        <v>36</v>
      </c>
      <c r="B25" s="508">
        <f>+B21+B24</f>
        <v>30729.11</v>
      </c>
      <c r="C25" s="508">
        <f>+C21+C24</f>
        <v>32551439.700000003</v>
      </c>
      <c r="D25" s="508">
        <f>+D21+D24</f>
        <v>0</v>
      </c>
      <c r="E25" s="508">
        <f>SUM(B25:D25)</f>
        <v>32582168.810000002</v>
      </c>
      <c r="F25" s="508">
        <f>+F21+F24</f>
        <v>31946981.619999997</v>
      </c>
      <c r="G25" s="508">
        <f>+G21+G24</f>
        <v>31944732.369999997</v>
      </c>
      <c r="H25" s="508">
        <f>+G25/F25*100</f>
        <v>99.99295942875996</v>
      </c>
      <c r="I25" s="508">
        <f>+I21+I24</f>
        <v>2249.25</v>
      </c>
      <c r="J25" s="508">
        <f>+I25/F25*100</f>
        <v>7.0405712400444303E-3</v>
      </c>
    </row>
    <row r="26" spans="1:10" s="354" customFormat="1" ht="20.100000000000001" customHeight="1" thickTop="1" x14ac:dyDescent="0.3">
      <c r="A26" s="131"/>
      <c r="B26" s="132"/>
      <c r="C26" s="132"/>
      <c r="D26" s="132"/>
      <c r="E26" s="132"/>
      <c r="F26" s="132"/>
      <c r="G26" s="132"/>
      <c r="H26" s="132"/>
      <c r="I26" s="132"/>
      <c r="J26" s="132"/>
    </row>
    <row r="27" spans="1:10" s="354" customFormat="1" ht="20.100000000000001" customHeight="1" x14ac:dyDescent="0.25">
      <c r="A27" s="501" t="s">
        <v>37</v>
      </c>
      <c r="B27" s="190"/>
      <c r="C27" s="502"/>
      <c r="D27" s="502"/>
      <c r="E27" s="502"/>
      <c r="F27" s="502"/>
      <c r="G27" s="502"/>
      <c r="H27" s="503"/>
      <c r="I27" s="502"/>
      <c r="J27" s="190"/>
    </row>
    <row r="28" spans="1:10" s="354" customFormat="1" ht="20.100000000000001" customHeight="1" x14ac:dyDescent="0.25">
      <c r="C28" s="504" t="s">
        <v>52</v>
      </c>
      <c r="D28" s="502"/>
      <c r="E28" s="502"/>
      <c r="F28" s="502"/>
      <c r="G28" s="502"/>
      <c r="H28" s="503"/>
      <c r="I28" s="502"/>
      <c r="J28" s="190"/>
    </row>
    <row r="29" spans="1:10" s="354" customFormat="1" ht="20.100000000000001" customHeight="1" x14ac:dyDescent="0.25">
      <c r="A29" s="505" t="s">
        <v>53</v>
      </c>
      <c r="B29" s="191" t="s">
        <v>54</v>
      </c>
      <c r="C29" s="506">
        <f>VLOOKUP(I20,I20,1,0)</f>
        <v>2249.25</v>
      </c>
      <c r="D29" s="502" t="s">
        <v>55</v>
      </c>
      <c r="E29" s="502" t="s">
        <v>323</v>
      </c>
      <c r="F29" s="502"/>
      <c r="G29" s="502"/>
      <c r="H29" s="503"/>
      <c r="I29" s="502"/>
      <c r="J29" s="190"/>
    </row>
    <row r="30" spans="1:10" s="354" customFormat="1" ht="20.100000000000001" customHeight="1" thickBot="1" x14ac:dyDescent="0.3">
      <c r="C30" s="337">
        <f>SUM(C29:C29)</f>
        <v>2249.25</v>
      </c>
      <c r="D30" s="355" t="s">
        <v>324</v>
      </c>
      <c r="E30" s="355"/>
    </row>
    <row r="31" spans="1:10" s="354" customFormat="1" ht="20.100000000000001" customHeight="1" thickTop="1" x14ac:dyDescent="0.3">
      <c r="A31" s="131"/>
      <c r="B31" s="132"/>
      <c r="C31" s="132"/>
      <c r="D31" s="132"/>
      <c r="E31" s="132"/>
      <c r="F31" s="132"/>
      <c r="G31" s="132"/>
      <c r="H31" s="132"/>
      <c r="I31" s="132"/>
      <c r="J31" s="132"/>
    </row>
    <row r="32" spans="1:10" ht="20.100000000000001" customHeight="1" x14ac:dyDescent="0.3">
      <c r="B32" s="131"/>
      <c r="C32" s="131"/>
      <c r="D32" s="131"/>
      <c r="E32" s="131"/>
      <c r="F32" s="131"/>
      <c r="G32" s="131"/>
      <c r="H32" s="131"/>
      <c r="I32" s="131"/>
      <c r="J32" s="131"/>
    </row>
    <row r="33" spans="1:10" s="354" customFormat="1" ht="20.100000000000001" customHeight="1" x14ac:dyDescent="0.25">
      <c r="A33" s="895" t="s">
        <v>378</v>
      </c>
      <c r="B33" s="895"/>
      <c r="C33" s="895"/>
      <c r="D33" s="895"/>
      <c r="E33" s="895"/>
      <c r="F33" s="895"/>
      <c r="G33" s="895"/>
      <c r="H33" s="895"/>
      <c r="I33" s="895"/>
      <c r="J33" s="895"/>
    </row>
    <row r="34" spans="1:10" s="354" customFormat="1" ht="17.25" thickBot="1" x14ac:dyDescent="0.3">
      <c r="A34" s="896"/>
      <c r="B34" s="896"/>
      <c r="C34" s="896"/>
      <c r="D34" s="896"/>
      <c r="E34" s="896"/>
      <c r="F34" s="896"/>
      <c r="G34" s="896"/>
      <c r="H34" s="896"/>
      <c r="I34" s="896"/>
      <c r="J34" s="896"/>
    </row>
    <row r="35" spans="1:10" s="354" customFormat="1" ht="50.25" thickBot="1" x14ac:dyDescent="0.3">
      <c r="A35" s="405" t="s">
        <v>373</v>
      </c>
      <c r="B35" s="214" t="s">
        <v>40</v>
      </c>
      <c r="C35" s="214" t="s">
        <v>379</v>
      </c>
      <c r="D35" s="214" t="s">
        <v>42</v>
      </c>
      <c r="E35" s="214" t="s">
        <v>43</v>
      </c>
      <c r="F35" s="214" t="s">
        <v>44</v>
      </c>
      <c r="G35" s="214" t="s">
        <v>20</v>
      </c>
      <c r="H35" s="214" t="s">
        <v>45</v>
      </c>
      <c r="I35" s="214" t="s">
        <v>22</v>
      </c>
      <c r="J35" s="214" t="s">
        <v>46</v>
      </c>
    </row>
    <row r="36" spans="1:10" s="354" customFormat="1" ht="20.100000000000001" customHeight="1" x14ac:dyDescent="0.25">
      <c r="A36" s="231" t="s">
        <v>47</v>
      </c>
      <c r="B36" s="424">
        <v>2249.25</v>
      </c>
      <c r="C36" s="424">
        <v>33956826.969999999</v>
      </c>
      <c r="D36" s="424"/>
      <c r="E36" s="425">
        <v>708001.54</v>
      </c>
      <c r="F36" s="424">
        <f>B36+C36-D36-E36</f>
        <v>33251074.68</v>
      </c>
      <c r="G36" s="424">
        <v>33248825.43</v>
      </c>
      <c r="H36" s="377">
        <f>+G36/F36*100</f>
        <v>99.993235556980792</v>
      </c>
      <c r="I36" s="377">
        <f>F36-G36</f>
        <v>2249.25</v>
      </c>
      <c r="J36" s="426">
        <f>+I36/F36*100</f>
        <v>6.7644430191992821E-3</v>
      </c>
    </row>
    <row r="37" spans="1:10" s="354" customFormat="1" ht="17.25" thickBot="1" x14ac:dyDescent="0.3">
      <c r="A37" s="427" t="s">
        <v>48</v>
      </c>
      <c r="B37" s="426">
        <f>SUM(B36)</f>
        <v>2249.25</v>
      </c>
      <c r="C37" s="426">
        <f>SUM(C36)</f>
        <v>33956826.969999999</v>
      </c>
      <c r="D37" s="426">
        <v>0</v>
      </c>
      <c r="E37" s="428">
        <f>SUM(E36)</f>
        <v>708001.54</v>
      </c>
      <c r="F37" s="426">
        <f>SUM(F36)</f>
        <v>33251074.68</v>
      </c>
      <c r="G37" s="426">
        <f>SUM(G36)</f>
        <v>33248825.43</v>
      </c>
      <c r="H37" s="426">
        <f>+G37/F37*100</f>
        <v>99.993235556980792</v>
      </c>
      <c r="I37" s="426">
        <f>SUM(I36)</f>
        <v>2249.25</v>
      </c>
      <c r="J37" s="426">
        <f>+I37/F37*100</f>
        <v>6.7644430191992821E-3</v>
      </c>
    </row>
    <row r="38" spans="1:10" s="354" customFormat="1" ht="50.25" thickBot="1" x14ac:dyDescent="0.3">
      <c r="A38" s="405" t="s">
        <v>374</v>
      </c>
      <c r="B38" s="214" t="s">
        <v>40</v>
      </c>
      <c r="C38" s="214" t="s">
        <v>380</v>
      </c>
      <c r="D38" s="214" t="s">
        <v>42</v>
      </c>
      <c r="E38" s="214" t="s">
        <v>43</v>
      </c>
      <c r="F38" s="214" t="s">
        <v>44</v>
      </c>
      <c r="G38" s="214" t="s">
        <v>20</v>
      </c>
      <c r="H38" s="214" t="s">
        <v>45</v>
      </c>
      <c r="I38" s="214" t="s">
        <v>22</v>
      </c>
      <c r="J38" s="429" t="s">
        <v>46</v>
      </c>
    </row>
    <row r="39" spans="1:10" s="354" customFormat="1" ht="20.100000000000001" customHeight="1" x14ac:dyDescent="0.25">
      <c r="A39" s="235" t="s">
        <v>50</v>
      </c>
      <c r="B39" s="335">
        <v>0</v>
      </c>
      <c r="C39" s="335">
        <v>2923606.24</v>
      </c>
      <c r="D39" s="335">
        <v>0</v>
      </c>
      <c r="E39" s="406">
        <v>74470.570000000007</v>
      </c>
      <c r="F39" s="238">
        <f>B39+C39-D39-E39</f>
        <v>2849135.6700000004</v>
      </c>
      <c r="G39" s="335">
        <v>2849135.67</v>
      </c>
      <c r="H39" s="377">
        <f>+G39/F39*100</f>
        <v>99.999999999999986</v>
      </c>
      <c r="I39" s="377">
        <f>+F39-G39</f>
        <v>0</v>
      </c>
      <c r="J39" s="335">
        <f>+I39/F39*100</f>
        <v>0</v>
      </c>
    </row>
    <row r="40" spans="1:10" s="354" customFormat="1" ht="20.100000000000001" customHeight="1" x14ac:dyDescent="0.25">
      <c r="A40" s="500" t="s">
        <v>51</v>
      </c>
      <c r="B40" s="430">
        <f t="shared" ref="B40:G40" si="3">SUM(B39:B39)</f>
        <v>0</v>
      </c>
      <c r="C40" s="430">
        <f t="shared" si="3"/>
        <v>2923606.24</v>
      </c>
      <c r="D40" s="430">
        <f t="shared" si="3"/>
        <v>0</v>
      </c>
      <c r="E40" s="431">
        <f t="shared" si="3"/>
        <v>74470.570000000007</v>
      </c>
      <c r="F40" s="430">
        <f t="shared" si="3"/>
        <v>2849135.6700000004</v>
      </c>
      <c r="G40" s="430">
        <f t="shared" si="3"/>
        <v>2849135.67</v>
      </c>
      <c r="H40" s="430">
        <f>+G40/F40*100</f>
        <v>99.999999999999986</v>
      </c>
      <c r="I40" s="430">
        <f>SUM(I39:I39)</f>
        <v>0</v>
      </c>
      <c r="J40" s="430">
        <f>+I40/F40*100</f>
        <v>0</v>
      </c>
    </row>
    <row r="41" spans="1:10" s="364" customFormat="1" ht="20.100000000000001" customHeight="1" thickBot="1" x14ac:dyDescent="0.3">
      <c r="A41" s="435" t="s">
        <v>36</v>
      </c>
      <c r="B41" s="508">
        <f>+B37+B40</f>
        <v>2249.25</v>
      </c>
      <c r="C41" s="508">
        <f>+C37+C40</f>
        <v>36880433.210000001</v>
      </c>
      <c r="D41" s="508">
        <f>+D37+D40</f>
        <v>0</v>
      </c>
      <c r="E41" s="508">
        <f>SUM(B41:D41)</f>
        <v>36882682.460000001</v>
      </c>
      <c r="F41" s="508">
        <f>+F37+F40</f>
        <v>36100210.350000001</v>
      </c>
      <c r="G41" s="508">
        <f>+G37+G40</f>
        <v>36097961.100000001</v>
      </c>
      <c r="H41" s="508">
        <f>+G41/F41*100</f>
        <v>99.993769426886459</v>
      </c>
      <c r="I41" s="508">
        <f>+I37+I40</f>
        <v>2249.25</v>
      </c>
      <c r="J41" s="508">
        <f>+I41/F41*100</f>
        <v>6.230573113544198E-3</v>
      </c>
    </row>
    <row r="42" spans="1:10" s="354" customFormat="1" ht="20.100000000000001" customHeight="1" thickTop="1" x14ac:dyDescent="0.3">
      <c r="A42" s="131"/>
      <c r="B42" s="132"/>
      <c r="C42" s="132"/>
      <c r="D42" s="132"/>
      <c r="E42" s="132"/>
      <c r="F42" s="132"/>
      <c r="G42" s="132"/>
      <c r="H42" s="132"/>
      <c r="I42" s="132"/>
      <c r="J42" s="132"/>
    </row>
    <row r="43" spans="1:10" s="354" customFormat="1" ht="20.100000000000001" customHeight="1" x14ac:dyDescent="0.25">
      <c r="A43" s="501" t="s">
        <v>37</v>
      </c>
      <c r="B43" s="190"/>
      <c r="C43" s="502"/>
      <c r="D43" s="502"/>
      <c r="E43" s="502"/>
      <c r="F43" s="502"/>
      <c r="G43" s="502"/>
      <c r="H43" s="503"/>
      <c r="I43" s="502"/>
      <c r="J43" s="190"/>
    </row>
    <row r="44" spans="1:10" s="354" customFormat="1" ht="20.100000000000001" customHeight="1" x14ac:dyDescent="0.25">
      <c r="B44" s="504" t="s">
        <v>52</v>
      </c>
      <c r="D44" s="502"/>
      <c r="E44" s="502"/>
      <c r="F44" s="502"/>
      <c r="G44" s="502"/>
      <c r="H44" s="503"/>
      <c r="I44" s="502"/>
      <c r="J44" s="190"/>
    </row>
    <row r="45" spans="1:10" s="354" customFormat="1" ht="20.100000000000001" customHeight="1" x14ac:dyDescent="0.25">
      <c r="A45" s="134" t="s">
        <v>53</v>
      </c>
      <c r="B45" s="25" t="s">
        <v>54</v>
      </c>
      <c r="C45" s="384">
        <f>VLOOKUP(I36,I36,1,0)</f>
        <v>2249.25</v>
      </c>
      <c r="D45" s="357" t="s">
        <v>55</v>
      </c>
      <c r="E45" s="357" t="s">
        <v>381</v>
      </c>
      <c r="F45" s="357"/>
      <c r="G45" s="357"/>
      <c r="H45" s="22"/>
      <c r="I45" s="357"/>
    </row>
    <row r="46" spans="1:10" s="354" customFormat="1" ht="20.100000000000001" customHeight="1" thickBot="1" x14ac:dyDescent="0.3">
      <c r="C46" s="337">
        <f>SUM(C45:C45)</f>
        <v>2249.25</v>
      </c>
      <c r="D46" s="355" t="s">
        <v>324</v>
      </c>
      <c r="E46" s="355"/>
    </row>
    <row r="47" spans="1:10" s="354" customFormat="1" ht="20.100000000000001" customHeight="1" thickTop="1" x14ac:dyDescent="0.3">
      <c r="A47" s="131"/>
      <c r="B47" s="132"/>
      <c r="C47" s="132"/>
      <c r="D47" s="132"/>
      <c r="E47" s="132"/>
      <c r="F47" s="132"/>
      <c r="G47" s="132"/>
      <c r="H47" s="132"/>
      <c r="I47" s="132"/>
      <c r="J47" s="132"/>
    </row>
    <row r="48" spans="1:10" ht="20.100000000000001" customHeight="1" x14ac:dyDescent="0.3">
      <c r="B48" s="131"/>
      <c r="C48" s="131"/>
      <c r="D48" s="131"/>
      <c r="E48" s="131"/>
      <c r="F48" s="131"/>
      <c r="G48" s="131"/>
      <c r="H48" s="131"/>
      <c r="I48" s="131"/>
      <c r="J48" s="131"/>
    </row>
    <row r="49" spans="1:10" s="354" customFormat="1" ht="20.100000000000001" customHeight="1" x14ac:dyDescent="0.25">
      <c r="A49" s="895" t="s">
        <v>497</v>
      </c>
      <c r="B49" s="895"/>
      <c r="C49" s="895"/>
      <c r="D49" s="895"/>
      <c r="E49" s="895"/>
      <c r="F49" s="895"/>
      <c r="G49" s="895"/>
      <c r="H49" s="895"/>
      <c r="I49" s="895"/>
      <c r="J49" s="895"/>
    </row>
    <row r="50" spans="1:10" s="354" customFormat="1" ht="17.25" thickBot="1" x14ac:dyDescent="0.3">
      <c r="A50" s="896"/>
      <c r="B50" s="896"/>
      <c r="C50" s="896"/>
      <c r="D50" s="896"/>
      <c r="E50" s="896"/>
      <c r="F50" s="896"/>
      <c r="G50" s="896"/>
      <c r="H50" s="896"/>
      <c r="I50" s="896"/>
      <c r="J50" s="896"/>
    </row>
    <row r="51" spans="1:10" s="354" customFormat="1" ht="50.25" thickBot="1" x14ac:dyDescent="0.3">
      <c r="A51" s="405" t="s">
        <v>373</v>
      </c>
      <c r="B51" s="214" t="s">
        <v>40</v>
      </c>
      <c r="C51" s="214" t="s">
        <v>498</v>
      </c>
      <c r="D51" s="214" t="s">
        <v>42</v>
      </c>
      <c r="E51" s="214" t="s">
        <v>43</v>
      </c>
      <c r="F51" s="214" t="s">
        <v>44</v>
      </c>
      <c r="G51" s="214" t="s">
        <v>20</v>
      </c>
      <c r="H51" s="214" t="s">
        <v>45</v>
      </c>
      <c r="I51" s="214" t="s">
        <v>22</v>
      </c>
      <c r="J51" s="214" t="s">
        <v>46</v>
      </c>
    </row>
    <row r="52" spans="1:10" s="354" customFormat="1" ht="20.100000000000001" customHeight="1" x14ac:dyDescent="0.25">
      <c r="A52" s="231" t="s">
        <v>47</v>
      </c>
      <c r="B52" s="424">
        <v>2249.25</v>
      </c>
      <c r="C52" s="424">
        <v>29585734.170000002</v>
      </c>
      <c r="D52" s="424"/>
      <c r="E52" s="425">
        <v>512523.37</v>
      </c>
      <c r="F52" s="424">
        <f>B52+C52-D52-E52</f>
        <v>29075460.050000001</v>
      </c>
      <c r="G52" s="424">
        <v>29051320.510000002</v>
      </c>
      <c r="H52" s="377">
        <f>+G52/F52*100</f>
        <v>99.916976240587459</v>
      </c>
      <c r="I52" s="377">
        <f>F52-G52</f>
        <v>24139.539999999106</v>
      </c>
      <c r="J52" s="426">
        <f>+I52/F52*100</f>
        <v>8.3023759412532858E-2</v>
      </c>
    </row>
    <row r="53" spans="1:10" s="354" customFormat="1" ht="17.25" thickBot="1" x14ac:dyDescent="0.3">
      <c r="A53" s="427" t="s">
        <v>48</v>
      </c>
      <c r="B53" s="426">
        <f>SUM(B52)</f>
        <v>2249.25</v>
      </c>
      <c r="C53" s="426">
        <f>SUM(C52)</f>
        <v>29585734.170000002</v>
      </c>
      <c r="D53" s="426">
        <v>0</v>
      </c>
      <c r="E53" s="428">
        <f>SUM(E52)</f>
        <v>512523.37</v>
      </c>
      <c r="F53" s="426">
        <f>SUM(F52)</f>
        <v>29075460.050000001</v>
      </c>
      <c r="G53" s="426">
        <f>SUM(G52)</f>
        <v>29051320.510000002</v>
      </c>
      <c r="H53" s="426">
        <f>+G53/F53*100</f>
        <v>99.916976240587459</v>
      </c>
      <c r="I53" s="426">
        <f>SUM(I52)</f>
        <v>24139.539999999106</v>
      </c>
      <c r="J53" s="426">
        <f>+I53/F53*100</f>
        <v>8.3023759412532858E-2</v>
      </c>
    </row>
    <row r="54" spans="1:10" s="354" customFormat="1" ht="50.25" thickBot="1" x14ac:dyDescent="0.3">
      <c r="A54" s="405" t="s">
        <v>374</v>
      </c>
      <c r="B54" s="214" t="s">
        <v>40</v>
      </c>
      <c r="C54" s="214" t="s">
        <v>490</v>
      </c>
      <c r="D54" s="214" t="s">
        <v>42</v>
      </c>
      <c r="E54" s="214" t="s">
        <v>43</v>
      </c>
      <c r="F54" s="214" t="s">
        <v>44</v>
      </c>
      <c r="G54" s="214" t="s">
        <v>20</v>
      </c>
      <c r="H54" s="214" t="s">
        <v>45</v>
      </c>
      <c r="I54" s="214" t="s">
        <v>22</v>
      </c>
      <c r="J54" s="429" t="s">
        <v>46</v>
      </c>
    </row>
    <row r="55" spans="1:10" s="354" customFormat="1" ht="20.100000000000001" customHeight="1" x14ac:dyDescent="0.25">
      <c r="A55" s="235" t="s">
        <v>50</v>
      </c>
      <c r="B55" s="335">
        <v>0</v>
      </c>
      <c r="C55" s="335">
        <v>2259123.96</v>
      </c>
      <c r="D55" s="335">
        <v>0</v>
      </c>
      <c r="E55" s="406">
        <v>20037.099999999999</v>
      </c>
      <c r="F55" s="238">
        <f>B55+C55-D55-E55</f>
        <v>2239086.86</v>
      </c>
      <c r="G55" s="335">
        <v>2239086.86</v>
      </c>
      <c r="H55" s="377">
        <f>+G55/F55*100</f>
        <v>100</v>
      </c>
      <c r="I55" s="377">
        <f>+F55-G55</f>
        <v>0</v>
      </c>
      <c r="J55" s="335">
        <f>+I55/F55*100</f>
        <v>0</v>
      </c>
    </row>
    <row r="56" spans="1:10" s="354" customFormat="1" ht="20.100000000000001" customHeight="1" x14ac:dyDescent="0.25">
      <c r="A56" s="500" t="s">
        <v>51</v>
      </c>
      <c r="B56" s="430">
        <f t="shared" ref="B56:G56" si="4">SUM(B55:B55)</f>
        <v>0</v>
      </c>
      <c r="C56" s="430">
        <f t="shared" si="4"/>
        <v>2259123.96</v>
      </c>
      <c r="D56" s="430">
        <f t="shared" si="4"/>
        <v>0</v>
      </c>
      <c r="E56" s="431">
        <f t="shared" si="4"/>
        <v>20037.099999999999</v>
      </c>
      <c r="F56" s="430">
        <f t="shared" si="4"/>
        <v>2239086.86</v>
      </c>
      <c r="G56" s="430">
        <f t="shared" si="4"/>
        <v>2239086.86</v>
      </c>
      <c r="H56" s="430">
        <f>+G56/F56*100</f>
        <v>100</v>
      </c>
      <c r="I56" s="430">
        <f>SUM(I55:I55)</f>
        <v>0</v>
      </c>
      <c r="J56" s="430">
        <f>+I56/F56*100</f>
        <v>0</v>
      </c>
    </row>
    <row r="57" spans="1:10" s="364" customFormat="1" ht="20.100000000000001" customHeight="1" thickBot="1" x14ac:dyDescent="0.3">
      <c r="A57" s="435" t="s">
        <v>36</v>
      </c>
      <c r="B57" s="508">
        <f>+B53+B56</f>
        <v>2249.25</v>
      </c>
      <c r="C57" s="508">
        <f>+C53+C56</f>
        <v>31844858.130000003</v>
      </c>
      <c r="D57" s="508">
        <f>+D53+D56</f>
        <v>0</v>
      </c>
      <c r="E57" s="508">
        <f>SUM(B57:D57)</f>
        <v>31847107.380000003</v>
      </c>
      <c r="F57" s="508">
        <f>+F53+F56</f>
        <v>31314546.91</v>
      </c>
      <c r="G57" s="508">
        <f>+G53+G56</f>
        <v>31290407.370000001</v>
      </c>
      <c r="H57" s="508">
        <f>+G57/F57*100</f>
        <v>99.922912695912942</v>
      </c>
      <c r="I57" s="508">
        <f>+I53+I56</f>
        <v>24139.539999999106</v>
      </c>
      <c r="J57" s="508">
        <f>+I57/F57*100</f>
        <v>7.7087304087067515E-2</v>
      </c>
    </row>
    <row r="58" spans="1:10" s="354" customFormat="1" ht="20.100000000000001" customHeight="1" thickTop="1" x14ac:dyDescent="0.3">
      <c r="A58" s="131"/>
      <c r="B58" s="132"/>
      <c r="C58" s="132"/>
      <c r="D58" s="132"/>
      <c r="E58" s="132"/>
      <c r="F58" s="132"/>
      <c r="G58" s="132"/>
      <c r="H58" s="132"/>
      <c r="I58" s="132"/>
      <c r="J58" s="132"/>
    </row>
    <row r="59" spans="1:10" s="354" customFormat="1" ht="20.100000000000001" customHeight="1" x14ac:dyDescent="0.25">
      <c r="A59" s="501" t="s">
        <v>37</v>
      </c>
      <c r="B59" s="190"/>
      <c r="C59" s="502"/>
      <c r="D59" s="502"/>
      <c r="E59" s="502"/>
      <c r="F59" s="502"/>
      <c r="G59" s="502"/>
      <c r="H59" s="503"/>
      <c r="I59" s="502"/>
      <c r="J59" s="190"/>
    </row>
    <row r="60" spans="1:10" s="354" customFormat="1" ht="20.100000000000001" customHeight="1" x14ac:dyDescent="0.25">
      <c r="B60" s="504" t="s">
        <v>52</v>
      </c>
      <c r="D60" s="502"/>
      <c r="E60" s="502"/>
      <c r="F60" s="502"/>
      <c r="G60" s="502"/>
      <c r="H60" s="503"/>
      <c r="I60" s="502"/>
      <c r="J60" s="190"/>
    </row>
    <row r="61" spans="1:10" s="354" customFormat="1" ht="20.100000000000001" customHeight="1" x14ac:dyDescent="0.25">
      <c r="A61" s="134" t="s">
        <v>53</v>
      </c>
      <c r="B61" s="25" t="s">
        <v>499</v>
      </c>
      <c r="C61" s="384">
        <f>VLOOKUP(I52,I52,1,0)</f>
        <v>24139.539999999106</v>
      </c>
      <c r="D61" s="357" t="s">
        <v>55</v>
      </c>
      <c r="E61" s="357" t="s">
        <v>500</v>
      </c>
      <c r="F61" s="357"/>
      <c r="G61" s="357"/>
      <c r="H61" s="22"/>
      <c r="I61" s="357"/>
    </row>
    <row r="62" spans="1:10" s="354" customFormat="1" ht="20.100000000000001" customHeight="1" thickBot="1" x14ac:dyDescent="0.3">
      <c r="C62" s="337">
        <f>SUM(C61:C61)</f>
        <v>24139.539999999106</v>
      </c>
      <c r="D62" s="355" t="s">
        <v>324</v>
      </c>
      <c r="E62" s="355"/>
    </row>
    <row r="63" spans="1:10" s="354" customFormat="1" ht="20.100000000000001" customHeight="1" thickTop="1" x14ac:dyDescent="0.25">
      <c r="C63" s="36"/>
      <c r="D63" s="355"/>
      <c r="E63" s="355"/>
    </row>
    <row r="64" spans="1:10" s="354" customFormat="1" ht="20.100000000000001" customHeight="1" x14ac:dyDescent="0.3">
      <c r="A64" s="131"/>
      <c r="B64" s="132"/>
      <c r="C64" s="132"/>
      <c r="D64" s="132"/>
      <c r="E64" s="132"/>
      <c r="F64" s="132"/>
      <c r="G64" s="132"/>
      <c r="H64" s="132"/>
      <c r="I64" s="132"/>
      <c r="J64" s="132"/>
    </row>
    <row r="65" spans="1:10" s="354" customFormat="1" ht="20.100000000000001" customHeight="1" x14ac:dyDescent="0.25">
      <c r="A65" s="895" t="s">
        <v>586</v>
      </c>
      <c r="B65" s="895"/>
      <c r="C65" s="895"/>
      <c r="D65" s="895"/>
      <c r="E65" s="895"/>
      <c r="F65" s="895"/>
      <c r="G65" s="895"/>
      <c r="H65" s="895"/>
      <c r="I65" s="895"/>
      <c r="J65" s="895"/>
    </row>
    <row r="66" spans="1:10" s="354" customFormat="1" ht="17.25" thickBot="1" x14ac:dyDescent="0.3">
      <c r="A66" s="896"/>
      <c r="B66" s="896"/>
      <c r="C66" s="896"/>
      <c r="D66" s="896"/>
      <c r="E66" s="896"/>
      <c r="F66" s="896"/>
      <c r="G66" s="896"/>
      <c r="H66" s="896"/>
      <c r="I66" s="896"/>
      <c r="J66" s="896"/>
    </row>
    <row r="67" spans="1:10" s="354" customFormat="1" ht="50.25" thickBot="1" x14ac:dyDescent="0.3">
      <c r="A67" s="405" t="s">
        <v>587</v>
      </c>
      <c r="B67" s="214" t="s">
        <v>40</v>
      </c>
      <c r="C67" s="214" t="s">
        <v>588</v>
      </c>
      <c r="D67" s="214" t="s">
        <v>42</v>
      </c>
      <c r="E67" s="214" t="s">
        <v>43</v>
      </c>
      <c r="F67" s="214" t="s">
        <v>44</v>
      </c>
      <c r="G67" s="214" t="s">
        <v>20</v>
      </c>
      <c r="H67" s="214" t="s">
        <v>45</v>
      </c>
      <c r="I67" s="214" t="s">
        <v>22</v>
      </c>
      <c r="J67" s="214" t="s">
        <v>46</v>
      </c>
    </row>
    <row r="68" spans="1:10" s="354" customFormat="1" ht="20.100000000000001" customHeight="1" x14ac:dyDescent="0.25">
      <c r="A68" s="231" t="s">
        <v>47</v>
      </c>
      <c r="B68" s="424">
        <v>24139.54</v>
      </c>
      <c r="C68" s="424">
        <v>34858948.079999998</v>
      </c>
      <c r="D68" s="424"/>
      <c r="E68" s="425">
        <v>639234.68999999994</v>
      </c>
      <c r="F68" s="424">
        <f>B68+C68-D68-E68</f>
        <v>34243852.93</v>
      </c>
      <c r="G68" s="424">
        <v>34222472.649999999</v>
      </c>
      <c r="H68" s="377">
        <f>+G68/F68*100</f>
        <v>99.937564619134108</v>
      </c>
      <c r="I68" s="377">
        <f>F68-G68</f>
        <v>21380.280000001192</v>
      </c>
      <c r="J68" s="426">
        <f>+I68/F68*100</f>
        <v>6.2435380865891336E-2</v>
      </c>
    </row>
    <row r="69" spans="1:10" s="354" customFormat="1" ht="17.25" thickBot="1" x14ac:dyDescent="0.3">
      <c r="A69" s="427" t="s">
        <v>48</v>
      </c>
      <c r="B69" s="426">
        <f>SUM(B68)</f>
        <v>24139.54</v>
      </c>
      <c r="C69" s="426">
        <f>SUM(C68)</f>
        <v>34858948.079999998</v>
      </c>
      <c r="D69" s="426">
        <v>0</v>
      </c>
      <c r="E69" s="428">
        <f>SUM(E68)</f>
        <v>639234.68999999994</v>
      </c>
      <c r="F69" s="426">
        <f>SUM(F68)</f>
        <v>34243852.93</v>
      </c>
      <c r="G69" s="426">
        <f>SUM(G68)</f>
        <v>34222472.649999999</v>
      </c>
      <c r="H69" s="426">
        <f>+G69/F69*100</f>
        <v>99.937564619134108</v>
      </c>
      <c r="I69" s="426">
        <f>SUM(I68)</f>
        <v>21380.280000001192</v>
      </c>
      <c r="J69" s="426">
        <f>+I69/F69*100</f>
        <v>6.2435380865891336E-2</v>
      </c>
    </row>
    <row r="70" spans="1:10" s="354" customFormat="1" ht="50.25" thickBot="1" x14ac:dyDescent="0.3">
      <c r="A70" s="405" t="s">
        <v>589</v>
      </c>
      <c r="B70" s="214" t="s">
        <v>40</v>
      </c>
      <c r="C70" s="214" t="s">
        <v>492</v>
      </c>
      <c r="D70" s="214" t="s">
        <v>42</v>
      </c>
      <c r="E70" s="214" t="s">
        <v>43</v>
      </c>
      <c r="F70" s="214" t="s">
        <v>44</v>
      </c>
      <c r="G70" s="214" t="s">
        <v>20</v>
      </c>
      <c r="H70" s="214" t="s">
        <v>45</v>
      </c>
      <c r="I70" s="214" t="s">
        <v>22</v>
      </c>
      <c r="J70" s="429" t="s">
        <v>46</v>
      </c>
    </row>
    <row r="71" spans="1:10" s="354" customFormat="1" ht="20.100000000000001" customHeight="1" x14ac:dyDescent="0.25">
      <c r="A71" s="235" t="s">
        <v>50</v>
      </c>
      <c r="B71" s="335">
        <v>0</v>
      </c>
      <c r="C71" s="335">
        <v>1881437.01</v>
      </c>
      <c r="D71" s="335">
        <v>0</v>
      </c>
      <c r="E71" s="406">
        <v>8794.85</v>
      </c>
      <c r="F71" s="238">
        <f>B71+C71-D71-E71</f>
        <v>1872642.16</v>
      </c>
      <c r="G71" s="335">
        <v>1872642.16</v>
      </c>
      <c r="H71" s="377">
        <f>+G71/F71*100</f>
        <v>100</v>
      </c>
      <c r="I71" s="377">
        <f>+F71-G71</f>
        <v>0</v>
      </c>
      <c r="J71" s="335">
        <f>+I71/F71*100</f>
        <v>0</v>
      </c>
    </row>
    <row r="72" spans="1:10" s="354" customFormat="1" ht="20.100000000000001" customHeight="1" x14ac:dyDescent="0.25">
      <c r="A72" s="500" t="s">
        <v>51</v>
      </c>
      <c r="B72" s="430">
        <f t="shared" ref="B72:G72" si="5">SUM(B71:B71)</f>
        <v>0</v>
      </c>
      <c r="C72" s="430">
        <f t="shared" si="5"/>
        <v>1881437.01</v>
      </c>
      <c r="D72" s="430">
        <f t="shared" si="5"/>
        <v>0</v>
      </c>
      <c r="E72" s="431">
        <f t="shared" si="5"/>
        <v>8794.85</v>
      </c>
      <c r="F72" s="430">
        <f t="shared" si="5"/>
        <v>1872642.16</v>
      </c>
      <c r="G72" s="430">
        <f t="shared" si="5"/>
        <v>1872642.16</v>
      </c>
      <c r="H72" s="430">
        <f>+G72/F72*100</f>
        <v>100</v>
      </c>
      <c r="I72" s="430">
        <f>SUM(I71:I71)</f>
        <v>0</v>
      </c>
      <c r="J72" s="430">
        <f>+I72/F72*100</f>
        <v>0</v>
      </c>
    </row>
    <row r="73" spans="1:10" s="364" customFormat="1" ht="20.100000000000001" customHeight="1" thickBot="1" x14ac:dyDescent="0.3">
      <c r="A73" s="435" t="s">
        <v>36</v>
      </c>
      <c r="B73" s="508">
        <f t="shared" ref="B73:G73" si="6">+B69+B72</f>
        <v>24139.54</v>
      </c>
      <c r="C73" s="508">
        <f t="shared" si="6"/>
        <v>36740385.089999996</v>
      </c>
      <c r="D73" s="508">
        <f t="shared" si="6"/>
        <v>0</v>
      </c>
      <c r="E73" s="508">
        <f t="shared" si="6"/>
        <v>648029.53999999992</v>
      </c>
      <c r="F73" s="508">
        <f t="shared" si="6"/>
        <v>36116495.089999996</v>
      </c>
      <c r="G73" s="508">
        <f t="shared" si="6"/>
        <v>36095114.809999995</v>
      </c>
      <c r="H73" s="508">
        <f>+G73/F73*100</f>
        <v>99.940801896898563</v>
      </c>
      <c r="I73" s="508">
        <f>+I69+I72</f>
        <v>21380.280000001192</v>
      </c>
      <c r="J73" s="508">
        <f>+I73/F73*100</f>
        <v>5.9198103101430255E-2</v>
      </c>
    </row>
    <row r="74" spans="1:10" s="354" customFormat="1" ht="20.100000000000001" customHeight="1" thickTop="1" x14ac:dyDescent="0.3">
      <c r="A74" s="131"/>
      <c r="B74" s="132"/>
      <c r="C74" s="132"/>
      <c r="D74" s="132"/>
      <c r="E74" s="132"/>
      <c r="F74" s="132"/>
      <c r="G74" s="132"/>
      <c r="H74" s="132"/>
      <c r="I74" s="132"/>
      <c r="J74" s="132"/>
    </row>
    <row r="75" spans="1:10" s="354" customFormat="1" ht="20.100000000000001" customHeight="1" x14ac:dyDescent="0.25">
      <c r="A75" s="501" t="s">
        <v>37</v>
      </c>
      <c r="B75" s="190"/>
      <c r="C75" s="502"/>
      <c r="D75" s="502"/>
      <c r="E75" s="502"/>
      <c r="F75" s="502"/>
      <c r="G75" s="502"/>
      <c r="H75" s="503"/>
      <c r="I75" s="502"/>
      <c r="J75" s="190"/>
    </row>
    <row r="76" spans="1:10" s="354" customFormat="1" ht="20.100000000000001" customHeight="1" x14ac:dyDescent="0.25">
      <c r="B76" s="504" t="s">
        <v>52</v>
      </c>
      <c r="D76" s="502"/>
      <c r="E76" s="502"/>
      <c r="F76" s="502"/>
      <c r="G76" s="502"/>
      <c r="H76" s="503"/>
      <c r="I76" s="502"/>
      <c r="J76" s="190"/>
    </row>
    <row r="77" spans="1:10" s="354" customFormat="1" ht="20.100000000000001" customHeight="1" x14ac:dyDescent="0.25">
      <c r="A77" s="134" t="s">
        <v>53</v>
      </c>
      <c r="B77" s="25" t="s">
        <v>499</v>
      </c>
      <c r="C77" s="384">
        <v>10163.299999999999</v>
      </c>
      <c r="D77" s="357" t="s">
        <v>55</v>
      </c>
      <c r="E77" s="357" t="s">
        <v>658</v>
      </c>
      <c r="F77" s="357"/>
      <c r="G77" s="357"/>
      <c r="H77" s="22"/>
      <c r="I77" s="357"/>
    </row>
    <row r="78" spans="1:10" s="354" customFormat="1" ht="20.100000000000001" customHeight="1" x14ac:dyDescent="0.25">
      <c r="A78" s="134"/>
      <c r="B78" s="25" t="s">
        <v>590</v>
      </c>
      <c r="C78" s="384">
        <v>11216.98</v>
      </c>
      <c r="D78" s="357" t="s">
        <v>55</v>
      </c>
      <c r="E78" s="357" t="s">
        <v>658</v>
      </c>
      <c r="F78" s="357"/>
      <c r="G78" s="357"/>
      <c r="H78" s="22"/>
      <c r="I78" s="357"/>
    </row>
    <row r="79" spans="1:10" s="354" customFormat="1" ht="20.100000000000001" customHeight="1" thickBot="1" x14ac:dyDescent="0.3">
      <c r="C79" s="337">
        <f>SUM(C77:C78)</f>
        <v>21380.28</v>
      </c>
      <c r="D79" s="355" t="s">
        <v>324</v>
      </c>
      <c r="E79" s="355"/>
    </row>
    <row r="80" spans="1:10" s="354" customFormat="1" ht="20.100000000000001" customHeight="1" thickTop="1" x14ac:dyDescent="0.3">
      <c r="A80" s="131"/>
      <c r="B80" s="132"/>
      <c r="C80" s="132"/>
      <c r="D80" s="132"/>
      <c r="E80" s="132"/>
      <c r="F80" s="132"/>
      <c r="G80" s="132"/>
      <c r="H80" s="132"/>
      <c r="I80" s="132"/>
      <c r="J80" s="132"/>
    </row>
    <row r="81" spans="1:10" ht="20.100000000000001" customHeight="1" x14ac:dyDescent="0.3">
      <c r="B81" s="131"/>
      <c r="C81" s="131"/>
      <c r="D81" s="131"/>
      <c r="E81" s="131"/>
      <c r="F81" s="131"/>
      <c r="G81" s="131"/>
      <c r="H81" s="131"/>
      <c r="I81" s="131"/>
      <c r="J81" s="131"/>
    </row>
    <row r="82" spans="1:10" s="354" customFormat="1" ht="20.100000000000001" customHeight="1" x14ac:dyDescent="0.25">
      <c r="A82" s="895" t="s">
        <v>705</v>
      </c>
      <c r="B82" s="895"/>
      <c r="C82" s="895"/>
      <c r="D82" s="895"/>
      <c r="E82" s="895"/>
      <c r="F82" s="895"/>
      <c r="G82" s="895"/>
      <c r="H82" s="895"/>
      <c r="I82" s="895"/>
      <c r="J82" s="895"/>
    </row>
    <row r="83" spans="1:10" s="354" customFormat="1" ht="17.25" thickBot="1" x14ac:dyDescent="0.3">
      <c r="A83" s="896"/>
      <c r="B83" s="896"/>
      <c r="C83" s="896"/>
      <c r="D83" s="896"/>
      <c r="E83" s="896"/>
      <c r="F83" s="896"/>
      <c r="G83" s="896"/>
      <c r="H83" s="896"/>
      <c r="I83" s="896"/>
      <c r="J83" s="896"/>
    </row>
    <row r="84" spans="1:10" s="354" customFormat="1" ht="50.25" thickBot="1" x14ac:dyDescent="0.3">
      <c r="A84" s="405" t="s">
        <v>696</v>
      </c>
      <c r="B84" s="214" t="s">
        <v>40</v>
      </c>
      <c r="C84" s="214" t="s">
        <v>706</v>
      </c>
      <c r="D84" s="214" t="s">
        <v>42</v>
      </c>
      <c r="E84" s="214" t="s">
        <v>43</v>
      </c>
      <c r="F84" s="214" t="s">
        <v>44</v>
      </c>
      <c r="G84" s="214" t="s">
        <v>20</v>
      </c>
      <c r="H84" s="214" t="s">
        <v>45</v>
      </c>
      <c r="I84" s="214" t="s">
        <v>22</v>
      </c>
      <c r="J84" s="214" t="s">
        <v>46</v>
      </c>
    </row>
    <row r="85" spans="1:10" s="354" customFormat="1" ht="20.100000000000001" customHeight="1" x14ac:dyDescent="0.25">
      <c r="A85" s="231" t="s">
        <v>47</v>
      </c>
      <c r="B85" s="424">
        <v>10163.299999999999</v>
      </c>
      <c r="C85" s="424">
        <v>30818266.609999999</v>
      </c>
      <c r="D85" s="424"/>
      <c r="E85" s="425">
        <v>714774.47</v>
      </c>
      <c r="F85" s="424">
        <f>B85+C85-D85-E85</f>
        <v>30113655.440000001</v>
      </c>
      <c r="G85" s="424">
        <v>30074245.18</v>
      </c>
      <c r="H85" s="377">
        <f>+G85/F85*100</f>
        <v>99.869128276112065</v>
      </c>
      <c r="I85" s="377">
        <f>F85-G85</f>
        <v>39410.260000001639</v>
      </c>
      <c r="J85" s="426">
        <f>+I85/F85*100</f>
        <v>0.13087172388793741</v>
      </c>
    </row>
    <row r="86" spans="1:10" s="354" customFormat="1" ht="17.25" thickBot="1" x14ac:dyDescent="0.3">
      <c r="A86" s="427" t="s">
        <v>48</v>
      </c>
      <c r="B86" s="426">
        <f>SUM(B85)</f>
        <v>10163.299999999999</v>
      </c>
      <c r="C86" s="426">
        <f>SUM(C85)</f>
        <v>30818266.609999999</v>
      </c>
      <c r="D86" s="426">
        <v>0</v>
      </c>
      <c r="E86" s="428">
        <f>SUM(E85)</f>
        <v>714774.47</v>
      </c>
      <c r="F86" s="426">
        <f>SUM(F85)</f>
        <v>30113655.440000001</v>
      </c>
      <c r="G86" s="426">
        <f>SUM(G85)</f>
        <v>30074245.18</v>
      </c>
      <c r="H86" s="426">
        <f>+G86/F86*100</f>
        <v>99.869128276112065</v>
      </c>
      <c r="I86" s="426">
        <f>SUM(I85)</f>
        <v>39410.260000001639</v>
      </c>
      <c r="J86" s="426">
        <f>+I86/F86*100</f>
        <v>0.13087172388793741</v>
      </c>
    </row>
    <row r="87" spans="1:10" s="354" customFormat="1" ht="50.25" thickBot="1" x14ac:dyDescent="0.3">
      <c r="A87" s="405" t="s">
        <v>696</v>
      </c>
      <c r="B87" s="214" t="s">
        <v>40</v>
      </c>
      <c r="C87" s="214" t="s">
        <v>591</v>
      </c>
      <c r="D87" s="214" t="s">
        <v>42</v>
      </c>
      <c r="E87" s="214" t="s">
        <v>43</v>
      </c>
      <c r="F87" s="214" t="s">
        <v>44</v>
      </c>
      <c r="G87" s="214" t="s">
        <v>20</v>
      </c>
      <c r="H87" s="214" t="s">
        <v>45</v>
      </c>
      <c r="I87" s="214" t="s">
        <v>22</v>
      </c>
      <c r="J87" s="429" t="s">
        <v>46</v>
      </c>
    </row>
    <row r="88" spans="1:10" s="354" customFormat="1" ht="20.100000000000001" customHeight="1" x14ac:dyDescent="0.25">
      <c r="A88" s="235" t="s">
        <v>50</v>
      </c>
      <c r="B88" s="335">
        <v>0</v>
      </c>
      <c r="C88" s="335">
        <v>1662314.58</v>
      </c>
      <c r="D88" s="335">
        <v>0</v>
      </c>
      <c r="E88" s="406">
        <v>5983.39</v>
      </c>
      <c r="F88" s="238">
        <f>B88+C88-D88-E88</f>
        <v>1656331.1900000002</v>
      </c>
      <c r="G88" s="335">
        <v>1656331.19</v>
      </c>
      <c r="H88" s="377">
        <f>+G88/F88*100</f>
        <v>99.999999999999986</v>
      </c>
      <c r="I88" s="377">
        <f>+F88-G88</f>
        <v>0</v>
      </c>
      <c r="J88" s="335">
        <f>+I88/F88*100</f>
        <v>0</v>
      </c>
    </row>
    <row r="89" spans="1:10" s="354" customFormat="1" ht="20.100000000000001" customHeight="1" x14ac:dyDescent="0.25">
      <c r="A89" s="500" t="s">
        <v>279</v>
      </c>
      <c r="B89" s="430">
        <f t="shared" ref="B89:G89" si="7">SUM(B88:B88)</f>
        <v>0</v>
      </c>
      <c r="C89" s="430">
        <f t="shared" si="7"/>
        <v>1662314.58</v>
      </c>
      <c r="D89" s="430">
        <f t="shared" si="7"/>
        <v>0</v>
      </c>
      <c r="E89" s="431">
        <f t="shared" si="7"/>
        <v>5983.39</v>
      </c>
      <c r="F89" s="430">
        <f t="shared" si="7"/>
        <v>1656331.1900000002</v>
      </c>
      <c r="G89" s="430">
        <f t="shared" si="7"/>
        <v>1656331.19</v>
      </c>
      <c r="H89" s="430">
        <f>+G89/F89*100</f>
        <v>99.999999999999986</v>
      </c>
      <c r="I89" s="430">
        <f>SUM(I88:I88)</f>
        <v>0</v>
      </c>
      <c r="J89" s="430">
        <f>+I89/F89*100</f>
        <v>0</v>
      </c>
    </row>
    <row r="90" spans="1:10" s="364" customFormat="1" ht="20.100000000000001" customHeight="1" thickBot="1" x14ac:dyDescent="0.3">
      <c r="A90" s="435" t="s">
        <v>36</v>
      </c>
      <c r="B90" s="508">
        <f>+B86+B89</f>
        <v>10163.299999999999</v>
      </c>
      <c r="C90" s="508">
        <f t="shared" ref="C90:E90" si="8">+C86+C89</f>
        <v>32480581.189999998</v>
      </c>
      <c r="D90" s="508">
        <f t="shared" si="8"/>
        <v>0</v>
      </c>
      <c r="E90" s="508">
        <f t="shared" si="8"/>
        <v>720757.86</v>
      </c>
      <c r="F90" s="508">
        <f>+F86+F89</f>
        <v>31769986.630000003</v>
      </c>
      <c r="G90" s="508">
        <f>+G86+G89</f>
        <v>31730576.370000001</v>
      </c>
      <c r="H90" s="508">
        <f>+G90/F90*100</f>
        <v>99.875951285535677</v>
      </c>
      <c r="I90" s="508">
        <f>+I86+I89</f>
        <v>39410.260000001639</v>
      </c>
      <c r="J90" s="508">
        <f>+I90/F90*100</f>
        <v>0.12404871446432093</v>
      </c>
    </row>
    <row r="91" spans="1:10" s="354" customFormat="1" ht="20.100000000000001" customHeight="1" thickTop="1" x14ac:dyDescent="0.3">
      <c r="A91" s="131"/>
      <c r="B91" s="132"/>
      <c r="C91" s="132"/>
      <c r="D91" s="132"/>
      <c r="E91" s="132"/>
      <c r="F91" s="132"/>
      <c r="G91" s="132"/>
      <c r="H91" s="132"/>
      <c r="I91" s="132"/>
      <c r="J91" s="132"/>
    </row>
    <row r="92" spans="1:10" s="354" customFormat="1" ht="20.100000000000001" customHeight="1" x14ac:dyDescent="0.25">
      <c r="A92" s="501" t="s">
        <v>37</v>
      </c>
      <c r="B92" s="190"/>
      <c r="C92" s="502"/>
      <c r="D92" s="502"/>
      <c r="E92" s="502"/>
      <c r="F92" s="502"/>
      <c r="G92" s="502"/>
      <c r="H92" s="503"/>
      <c r="I92" s="502"/>
      <c r="J92" s="190"/>
    </row>
    <row r="93" spans="1:10" s="354" customFormat="1" ht="20.100000000000001" customHeight="1" x14ac:dyDescent="0.25">
      <c r="B93" s="504" t="s">
        <v>52</v>
      </c>
      <c r="D93" s="502"/>
      <c r="E93" s="502"/>
      <c r="F93" s="502"/>
      <c r="G93" s="502"/>
      <c r="H93" s="503"/>
      <c r="I93" s="502"/>
      <c r="J93" s="190"/>
    </row>
    <row r="94" spans="1:10" s="354" customFormat="1" ht="20.100000000000001" customHeight="1" x14ac:dyDescent="0.25">
      <c r="A94" s="134" t="s">
        <v>53</v>
      </c>
      <c r="B94" s="25" t="s">
        <v>499</v>
      </c>
      <c r="C94" s="384">
        <v>9163.7000000000007</v>
      </c>
      <c r="D94" s="357" t="s">
        <v>55</v>
      </c>
      <c r="E94" s="357" t="s">
        <v>707</v>
      </c>
      <c r="F94" s="357"/>
      <c r="G94" s="357"/>
      <c r="H94" s="22"/>
      <c r="I94" s="357"/>
    </row>
    <row r="95" spans="1:10" s="354" customFormat="1" ht="20.100000000000001" customHeight="1" x14ac:dyDescent="0.25">
      <c r="A95" s="134"/>
      <c r="B95" s="25" t="s">
        <v>708</v>
      </c>
      <c r="C95" s="384">
        <v>30246.560000000001</v>
      </c>
      <c r="D95" s="357" t="s">
        <v>55</v>
      </c>
      <c r="E95" s="357" t="s">
        <v>707</v>
      </c>
      <c r="F95" s="357"/>
      <c r="G95" s="357"/>
      <c r="H95" s="22"/>
      <c r="I95" s="357"/>
    </row>
    <row r="96" spans="1:10" s="354" customFormat="1" ht="20.100000000000001" customHeight="1" thickBot="1" x14ac:dyDescent="0.3">
      <c r="C96" s="337">
        <f>SUM(C94:C95)</f>
        <v>39410.26</v>
      </c>
      <c r="D96" s="355" t="s">
        <v>324</v>
      </c>
      <c r="E96" s="355"/>
    </row>
    <row r="97" spans="1:10" ht="20.100000000000001" customHeight="1" thickTop="1" x14ac:dyDescent="0.3">
      <c r="B97" s="131"/>
      <c r="C97" s="131"/>
      <c r="D97" s="131"/>
      <c r="E97" s="131"/>
      <c r="F97" s="131"/>
      <c r="G97" s="131"/>
      <c r="H97" s="131"/>
      <c r="I97" s="131"/>
      <c r="J97" s="131"/>
    </row>
    <row r="98" spans="1:10" ht="20.100000000000001" customHeight="1" x14ac:dyDescent="0.3">
      <c r="B98" s="131"/>
      <c r="C98" s="131"/>
      <c r="D98" s="131"/>
      <c r="E98" s="131"/>
      <c r="F98" s="131"/>
      <c r="G98" s="131"/>
      <c r="H98" s="131"/>
      <c r="I98" s="131"/>
      <c r="J98" s="131"/>
    </row>
    <row r="99" spans="1:10" s="621" customFormat="1" ht="20.100000000000001" customHeight="1" x14ac:dyDescent="0.25">
      <c r="A99" s="895" t="s">
        <v>799</v>
      </c>
      <c r="B99" s="895"/>
      <c r="C99" s="895"/>
      <c r="D99" s="895"/>
      <c r="E99" s="895"/>
      <c r="F99" s="895"/>
      <c r="G99" s="895"/>
      <c r="H99" s="895"/>
      <c r="I99" s="895"/>
      <c r="J99" s="895"/>
    </row>
    <row r="100" spans="1:10" s="621" customFormat="1" ht="17.25" thickBot="1" x14ac:dyDescent="0.3">
      <c r="A100" s="896"/>
      <c r="B100" s="896"/>
      <c r="C100" s="896"/>
      <c r="D100" s="896"/>
      <c r="E100" s="896"/>
      <c r="F100" s="896"/>
      <c r="G100" s="896"/>
      <c r="H100" s="896"/>
      <c r="I100" s="896"/>
      <c r="J100" s="896"/>
    </row>
    <row r="101" spans="1:10" s="621" customFormat="1" ht="50.25" thickBot="1" x14ac:dyDescent="0.3">
      <c r="A101" s="405" t="s">
        <v>800</v>
      </c>
      <c r="B101" s="214" t="s">
        <v>40</v>
      </c>
      <c r="C101" s="214" t="s">
        <v>801</v>
      </c>
      <c r="D101" s="214" t="s">
        <v>42</v>
      </c>
      <c r="E101" s="214" t="s">
        <v>43</v>
      </c>
      <c r="F101" s="214" t="s">
        <v>44</v>
      </c>
      <c r="G101" s="214" t="s">
        <v>20</v>
      </c>
      <c r="H101" s="214" t="s">
        <v>45</v>
      </c>
      <c r="I101" s="214" t="s">
        <v>22</v>
      </c>
      <c r="J101" s="214" t="s">
        <v>46</v>
      </c>
    </row>
    <row r="102" spans="1:10" s="621" customFormat="1" ht="20.100000000000001" customHeight="1" x14ac:dyDescent="0.25">
      <c r="A102" s="231" t="s">
        <v>47</v>
      </c>
      <c r="B102" s="424">
        <v>39410.26</v>
      </c>
      <c r="C102" s="424">
        <v>47140072.840000004</v>
      </c>
      <c r="D102" s="424"/>
      <c r="E102" s="425">
        <v>674575.4</v>
      </c>
      <c r="F102" s="424">
        <f>B102+C102-D102-E102</f>
        <v>46504907.700000003</v>
      </c>
      <c r="G102" s="424">
        <v>46349064.649999999</v>
      </c>
      <c r="H102" s="377">
        <f>+G102/F102*100</f>
        <v>99.664889024174968</v>
      </c>
      <c r="I102" s="377">
        <f>F102-G102</f>
        <v>155843.05000000447</v>
      </c>
      <c r="J102" s="426">
        <f>+I102/F102*100</f>
        <v>0.33511097582504062</v>
      </c>
    </row>
    <row r="103" spans="1:10" s="621" customFormat="1" ht="17.25" thickBot="1" x14ac:dyDescent="0.3">
      <c r="A103" s="427" t="s">
        <v>48</v>
      </c>
      <c r="B103" s="426">
        <f>SUM(B102)</f>
        <v>39410.26</v>
      </c>
      <c r="C103" s="426">
        <f>SUM(C102)</f>
        <v>47140072.840000004</v>
      </c>
      <c r="D103" s="426">
        <v>0</v>
      </c>
      <c r="E103" s="428">
        <f>SUM(E102)</f>
        <v>674575.4</v>
      </c>
      <c r="F103" s="426">
        <f>SUM(F102)</f>
        <v>46504907.700000003</v>
      </c>
      <c r="G103" s="426">
        <f>SUM(G102)</f>
        <v>46349064.649999999</v>
      </c>
      <c r="H103" s="426">
        <f>+G103/F103*100</f>
        <v>99.664889024174968</v>
      </c>
      <c r="I103" s="426">
        <f>SUM(I102)</f>
        <v>155843.05000000447</v>
      </c>
      <c r="J103" s="426">
        <f>+I103/F103*100</f>
        <v>0.33511097582504062</v>
      </c>
    </row>
    <row r="104" spans="1:10" s="621" customFormat="1" ht="50.25" thickBot="1" x14ac:dyDescent="0.3">
      <c r="A104" s="405" t="s">
        <v>800</v>
      </c>
      <c r="B104" s="214" t="s">
        <v>40</v>
      </c>
      <c r="C104" s="214" t="s">
        <v>801</v>
      </c>
      <c r="D104" s="214" t="s">
        <v>42</v>
      </c>
      <c r="E104" s="214" t="s">
        <v>43</v>
      </c>
      <c r="F104" s="214" t="s">
        <v>44</v>
      </c>
      <c r="G104" s="214" t="s">
        <v>20</v>
      </c>
      <c r="H104" s="214" t="s">
        <v>45</v>
      </c>
      <c r="I104" s="214" t="s">
        <v>22</v>
      </c>
      <c r="J104" s="429" t="s">
        <v>46</v>
      </c>
    </row>
    <row r="105" spans="1:10" s="621" customFormat="1" ht="20.100000000000001" customHeight="1" x14ac:dyDescent="0.25">
      <c r="A105" s="235" t="s">
        <v>50</v>
      </c>
      <c r="B105" s="335">
        <v>0</v>
      </c>
      <c r="C105" s="335">
        <v>478349.59</v>
      </c>
      <c r="D105" s="335">
        <v>0</v>
      </c>
      <c r="E105" s="406">
        <v>12350.41</v>
      </c>
      <c r="F105" s="238">
        <f>B105+C105-D105-E105</f>
        <v>465999.18000000005</v>
      </c>
      <c r="G105" s="335">
        <v>465999.18</v>
      </c>
      <c r="H105" s="377">
        <f>+G105/F105*100</f>
        <v>99.999999999999986</v>
      </c>
      <c r="I105" s="377">
        <f>+F105-G105</f>
        <v>0</v>
      </c>
      <c r="J105" s="335">
        <f>+I105/F105*100</f>
        <v>0</v>
      </c>
    </row>
    <row r="106" spans="1:10" s="621" customFormat="1" ht="20.100000000000001" customHeight="1" x14ac:dyDescent="0.25">
      <c r="A106" s="500" t="s">
        <v>279</v>
      </c>
      <c r="B106" s="430">
        <f t="shared" ref="B106:G106" si="9">SUM(B105:B105)</f>
        <v>0</v>
      </c>
      <c r="C106" s="430">
        <f t="shared" si="9"/>
        <v>478349.59</v>
      </c>
      <c r="D106" s="430">
        <f t="shared" si="9"/>
        <v>0</v>
      </c>
      <c r="E106" s="431">
        <f t="shared" si="9"/>
        <v>12350.41</v>
      </c>
      <c r="F106" s="430">
        <f t="shared" si="9"/>
        <v>465999.18000000005</v>
      </c>
      <c r="G106" s="430">
        <f t="shared" si="9"/>
        <v>465999.18</v>
      </c>
      <c r="H106" s="430">
        <f>+G106/F106*100</f>
        <v>99.999999999999986</v>
      </c>
      <c r="I106" s="430">
        <f>SUM(I105:I105)</f>
        <v>0</v>
      </c>
      <c r="J106" s="430">
        <f>+I106/F106*100</f>
        <v>0</v>
      </c>
    </row>
    <row r="107" spans="1:10" s="364" customFormat="1" ht="20.100000000000001" customHeight="1" thickBot="1" x14ac:dyDescent="0.3">
      <c r="A107" s="435" t="s">
        <v>36</v>
      </c>
      <c r="B107" s="508">
        <f>SUM(B106,B103)</f>
        <v>39410.26</v>
      </c>
      <c r="C107" s="508">
        <f>SUM(C106,C103)</f>
        <v>47618422.430000007</v>
      </c>
      <c r="D107" s="508">
        <f>+D103+D106</f>
        <v>0</v>
      </c>
      <c r="E107" s="508">
        <f>+E103+E106</f>
        <v>686925.81</v>
      </c>
      <c r="F107" s="508">
        <f>SUM(F106,F103)</f>
        <v>46970906.880000003</v>
      </c>
      <c r="G107" s="508">
        <f>SUM(G106,G103)</f>
        <v>46815063.829999998</v>
      </c>
      <c r="H107" s="508">
        <f>+G107/F107*100</f>
        <v>99.668213665965297</v>
      </c>
      <c r="I107" s="508">
        <f>SUM(I106,I103)</f>
        <v>155843.05000000447</v>
      </c>
      <c r="J107" s="508">
        <f>+I107/F107*100</f>
        <v>0.33178633403469954</v>
      </c>
    </row>
    <row r="108" spans="1:10" s="621" customFormat="1" ht="20.100000000000001" customHeight="1" thickTop="1" x14ac:dyDescent="0.3">
      <c r="A108" s="131"/>
      <c r="B108" s="132"/>
      <c r="C108" s="132"/>
      <c r="D108" s="132"/>
      <c r="E108" s="132"/>
      <c r="F108" s="132"/>
      <c r="G108" s="132"/>
      <c r="H108" s="132"/>
      <c r="I108" s="132"/>
      <c r="J108" s="132"/>
    </row>
    <row r="109" spans="1:10" s="621" customFormat="1" ht="20.100000000000001" customHeight="1" x14ac:dyDescent="0.25">
      <c r="A109" s="501" t="s">
        <v>37</v>
      </c>
      <c r="B109" s="190"/>
      <c r="C109" s="502"/>
      <c r="D109" s="502"/>
      <c r="E109" s="502"/>
      <c r="F109" s="502"/>
      <c r="G109" s="502"/>
      <c r="H109" s="503"/>
      <c r="I109" s="502"/>
      <c r="J109" s="190"/>
    </row>
    <row r="110" spans="1:10" s="621" customFormat="1" ht="20.100000000000001" customHeight="1" x14ac:dyDescent="0.25">
      <c r="B110" s="504" t="s">
        <v>52</v>
      </c>
      <c r="D110" s="502"/>
      <c r="E110" s="502"/>
      <c r="F110" s="502"/>
      <c r="G110" s="502"/>
      <c r="H110" s="503"/>
      <c r="I110" s="502"/>
      <c r="J110" s="190"/>
    </row>
    <row r="111" spans="1:10" s="621" customFormat="1" ht="20.100000000000001" customHeight="1" x14ac:dyDescent="0.25">
      <c r="A111" s="134" t="s">
        <v>53</v>
      </c>
      <c r="B111" s="629" t="s">
        <v>708</v>
      </c>
      <c r="C111" s="649">
        <v>16052.09</v>
      </c>
      <c r="D111" s="622" t="s">
        <v>55</v>
      </c>
      <c r="E111" s="622" t="s">
        <v>809</v>
      </c>
      <c r="F111" s="622"/>
      <c r="G111" s="622"/>
      <c r="H111" s="22"/>
      <c r="I111" s="622"/>
    </row>
    <row r="112" spans="1:10" s="621" customFormat="1" ht="20.100000000000001" customHeight="1" x14ac:dyDescent="0.25">
      <c r="A112" s="134"/>
      <c r="B112" s="629" t="s">
        <v>802</v>
      </c>
      <c r="C112" s="649">
        <v>139790.96</v>
      </c>
      <c r="D112" s="622" t="s">
        <v>55</v>
      </c>
      <c r="E112" s="622" t="s">
        <v>803</v>
      </c>
      <c r="F112" s="622"/>
      <c r="G112" s="622"/>
      <c r="H112" s="22"/>
      <c r="I112" s="622"/>
    </row>
    <row r="113" spans="1:10" s="621" customFormat="1" ht="20.100000000000001" customHeight="1" thickBot="1" x14ac:dyDescent="0.3">
      <c r="C113" s="337">
        <f>SUM(C111:C112)</f>
        <v>155843.04999999999</v>
      </c>
      <c r="D113" s="627" t="s">
        <v>324</v>
      </c>
      <c r="E113" s="627"/>
    </row>
    <row r="114" spans="1:10" ht="20.100000000000001" customHeight="1" thickTop="1" x14ac:dyDescent="0.3">
      <c r="B114" s="131"/>
      <c r="C114" s="131"/>
      <c r="D114" s="131"/>
      <c r="E114" s="131"/>
      <c r="F114" s="131"/>
      <c r="G114" s="131"/>
      <c r="H114" s="131"/>
      <c r="I114" s="131"/>
      <c r="J114" s="131"/>
    </row>
    <row r="115" spans="1:10" ht="20.100000000000001" customHeight="1" x14ac:dyDescent="0.3">
      <c r="B115" s="131"/>
      <c r="C115" s="131"/>
      <c r="D115" s="131"/>
      <c r="E115" s="131"/>
      <c r="F115" s="131"/>
      <c r="G115" s="131"/>
      <c r="H115" s="131"/>
      <c r="I115" s="131"/>
      <c r="J115" s="131"/>
    </row>
    <row r="116" spans="1:10" s="781" customFormat="1" ht="20.100000000000001" customHeight="1" x14ac:dyDescent="0.25">
      <c r="A116" s="895" t="s">
        <v>958</v>
      </c>
      <c r="B116" s="895"/>
      <c r="C116" s="895"/>
      <c r="D116" s="895"/>
      <c r="E116" s="895"/>
      <c r="F116" s="895"/>
      <c r="G116" s="895"/>
      <c r="H116" s="895"/>
      <c r="I116" s="895"/>
      <c r="J116" s="895"/>
    </row>
    <row r="117" spans="1:10" s="781" customFormat="1" ht="17.25" thickBot="1" x14ac:dyDescent="0.3">
      <c r="A117" s="896"/>
      <c r="B117" s="896"/>
      <c r="C117" s="896"/>
      <c r="D117" s="896"/>
      <c r="E117" s="896"/>
      <c r="F117" s="896"/>
      <c r="G117" s="896"/>
      <c r="H117" s="896"/>
      <c r="I117" s="896"/>
      <c r="J117" s="896"/>
    </row>
    <row r="118" spans="1:10" s="781" customFormat="1" ht="50.25" thickBot="1" x14ac:dyDescent="0.3">
      <c r="A118" s="405" t="s">
        <v>944</v>
      </c>
      <c r="B118" s="830" t="s">
        <v>40</v>
      </c>
      <c r="C118" s="830" t="s">
        <v>959</v>
      </c>
      <c r="D118" s="830" t="s">
        <v>42</v>
      </c>
      <c r="E118" s="830" t="s">
        <v>43</v>
      </c>
      <c r="F118" s="830" t="s">
        <v>44</v>
      </c>
      <c r="G118" s="830" t="s">
        <v>20</v>
      </c>
      <c r="H118" s="830" t="s">
        <v>45</v>
      </c>
      <c r="I118" s="830" t="s">
        <v>22</v>
      </c>
      <c r="J118" s="830" t="s">
        <v>46</v>
      </c>
    </row>
    <row r="119" spans="1:10" s="781" customFormat="1" ht="20.100000000000001" customHeight="1" x14ac:dyDescent="0.25">
      <c r="A119" s="231" t="s">
        <v>47</v>
      </c>
      <c r="B119" s="424">
        <v>155843.04999999999</v>
      </c>
      <c r="C119" s="424">
        <v>27190289.309999999</v>
      </c>
      <c r="D119" s="424">
        <v>0</v>
      </c>
      <c r="E119" s="425">
        <v>592357.35</v>
      </c>
      <c r="F119" s="424">
        <f>B119+C119-D119-E119</f>
        <v>26753775.009999998</v>
      </c>
      <c r="G119" s="424">
        <v>26734977.300000001</v>
      </c>
      <c r="H119" s="377">
        <f>+G119/F119*100</f>
        <v>99.929738102406219</v>
      </c>
      <c r="I119" s="377">
        <f>F119-G119</f>
        <v>18797.709999997169</v>
      </c>
      <c r="J119" s="426">
        <f>+I119/F119*100</f>
        <v>7.0261897593782485E-2</v>
      </c>
    </row>
    <row r="120" spans="1:10" s="781" customFormat="1" ht="17.25" thickBot="1" x14ac:dyDescent="0.3">
      <c r="A120" s="427" t="s">
        <v>48</v>
      </c>
      <c r="B120" s="426">
        <f>SUM(B119)</f>
        <v>155843.04999999999</v>
      </c>
      <c r="C120" s="426">
        <f>SUM(C119)</f>
        <v>27190289.309999999</v>
      </c>
      <c r="D120" s="426">
        <v>0</v>
      </c>
      <c r="E120" s="428">
        <f>SUM(E119)</f>
        <v>592357.35</v>
      </c>
      <c r="F120" s="426">
        <f>SUM(F119)</f>
        <v>26753775.009999998</v>
      </c>
      <c r="G120" s="426">
        <f>SUM(G119)</f>
        <v>26734977.300000001</v>
      </c>
      <c r="H120" s="426">
        <f>+G120/F120*100</f>
        <v>99.929738102406219</v>
      </c>
      <c r="I120" s="426">
        <f>SUM(I119)</f>
        <v>18797.709999997169</v>
      </c>
      <c r="J120" s="426">
        <f>+I120/F120*100</f>
        <v>7.0261897593782485E-2</v>
      </c>
    </row>
    <row r="121" spans="1:10" s="781" customFormat="1" ht="50.25" thickBot="1" x14ac:dyDescent="0.3">
      <c r="A121" s="405" t="s">
        <v>944</v>
      </c>
      <c r="B121" s="830" t="s">
        <v>40</v>
      </c>
      <c r="C121" s="830" t="s">
        <v>959</v>
      </c>
      <c r="D121" s="830" t="s">
        <v>42</v>
      </c>
      <c r="E121" s="830" t="s">
        <v>43</v>
      </c>
      <c r="F121" s="830" t="s">
        <v>44</v>
      </c>
      <c r="G121" s="830" t="s">
        <v>20</v>
      </c>
      <c r="H121" s="830" t="s">
        <v>45</v>
      </c>
      <c r="I121" s="830" t="s">
        <v>22</v>
      </c>
      <c r="J121" s="429" t="s">
        <v>46</v>
      </c>
    </row>
    <row r="122" spans="1:10" s="781" customFormat="1" ht="20.100000000000001" customHeight="1" x14ac:dyDescent="0.25">
      <c r="A122" s="235" t="s">
        <v>50</v>
      </c>
      <c r="B122" s="335">
        <v>0</v>
      </c>
      <c r="C122" s="335">
        <v>785508.21</v>
      </c>
      <c r="D122" s="335">
        <v>0</v>
      </c>
      <c r="E122" s="406">
        <v>3401.97</v>
      </c>
      <c r="F122" s="238">
        <f>B122+C122-D122-E122</f>
        <v>782106.24</v>
      </c>
      <c r="G122" s="335">
        <v>782106.24</v>
      </c>
      <c r="H122" s="377">
        <f>+G122/F122*100</f>
        <v>100</v>
      </c>
      <c r="I122" s="377">
        <f>+F122-G122</f>
        <v>0</v>
      </c>
      <c r="J122" s="335">
        <f>+I122/F122*100</f>
        <v>0</v>
      </c>
    </row>
    <row r="123" spans="1:10" s="781" customFormat="1" ht="20.100000000000001" customHeight="1" x14ac:dyDescent="0.25">
      <c r="A123" s="500" t="s">
        <v>279</v>
      </c>
      <c r="B123" s="430">
        <f t="shared" ref="B123:G123" si="10">SUM(B122:B122)</f>
        <v>0</v>
      </c>
      <c r="C123" s="430">
        <f t="shared" si="10"/>
        <v>785508.21</v>
      </c>
      <c r="D123" s="430">
        <f t="shared" si="10"/>
        <v>0</v>
      </c>
      <c r="E123" s="431">
        <f t="shared" si="10"/>
        <v>3401.97</v>
      </c>
      <c r="F123" s="430">
        <f t="shared" si="10"/>
        <v>782106.24</v>
      </c>
      <c r="G123" s="430">
        <f t="shared" si="10"/>
        <v>782106.24</v>
      </c>
      <c r="H123" s="430">
        <f>+G123/F123*100</f>
        <v>100</v>
      </c>
      <c r="I123" s="430">
        <f>SUM(I122:I122)</f>
        <v>0</v>
      </c>
      <c r="J123" s="430">
        <f>+I123/F123*100</f>
        <v>0</v>
      </c>
    </row>
    <row r="124" spans="1:10" s="798" customFormat="1" ht="20.100000000000001" customHeight="1" thickBot="1" x14ac:dyDescent="0.3">
      <c r="A124" s="435" t="s">
        <v>36</v>
      </c>
      <c r="B124" s="508">
        <f>+B120+B123</f>
        <v>155843.04999999999</v>
      </c>
      <c r="C124" s="508">
        <f>C120+C123</f>
        <v>27975797.52</v>
      </c>
      <c r="D124" s="508">
        <f>+D120+D123</f>
        <v>0</v>
      </c>
      <c r="E124" s="508">
        <f>+E120+E123</f>
        <v>595759.31999999995</v>
      </c>
      <c r="F124" s="508">
        <f>+F120+F123</f>
        <v>27535881.249999996</v>
      </c>
      <c r="G124" s="508">
        <f>+G120+G123</f>
        <v>27517083.539999999</v>
      </c>
      <c r="H124" s="508">
        <f>+G124/F124*100</f>
        <v>99.931733762833545</v>
      </c>
      <c r="I124" s="508">
        <f>+I120+I123</f>
        <v>18797.709999997169</v>
      </c>
      <c r="J124" s="508">
        <f>+I124/F124*100</f>
        <v>6.8266237166450486E-2</v>
      </c>
    </row>
    <row r="125" spans="1:10" s="781" customFormat="1" ht="20.100000000000001" customHeight="1" thickTop="1" x14ac:dyDescent="0.3">
      <c r="A125" s="825"/>
      <c r="B125" s="826"/>
      <c r="C125" s="826"/>
      <c r="D125" s="826"/>
      <c r="E125" s="826"/>
      <c r="F125" s="826"/>
      <c r="G125" s="826"/>
      <c r="H125" s="826"/>
      <c r="I125" s="826"/>
      <c r="J125" s="826"/>
    </row>
    <row r="126" spans="1:10" s="781" customFormat="1" ht="20.100000000000001" customHeight="1" x14ac:dyDescent="0.25">
      <c r="A126" s="501" t="s">
        <v>37</v>
      </c>
      <c r="B126" s="190"/>
      <c r="C126" s="502"/>
      <c r="D126" s="502"/>
      <c r="E126" s="502"/>
      <c r="F126" s="502"/>
      <c r="G126" s="502"/>
      <c r="H126" s="503"/>
      <c r="I126" s="502"/>
      <c r="J126" s="190"/>
    </row>
    <row r="127" spans="1:10" s="781" customFormat="1" ht="20.100000000000001" customHeight="1" x14ac:dyDescent="0.25">
      <c r="B127" s="504" t="s">
        <v>52</v>
      </c>
      <c r="D127" s="502"/>
      <c r="E127" s="502"/>
      <c r="F127" s="502"/>
      <c r="G127" s="502"/>
      <c r="H127" s="503"/>
      <c r="I127" s="502"/>
      <c r="J127" s="190"/>
    </row>
    <row r="128" spans="1:10" s="781" customFormat="1" ht="20.100000000000001" customHeight="1" x14ac:dyDescent="0.25">
      <c r="A128" s="134" t="s">
        <v>53</v>
      </c>
      <c r="B128" s="755" t="s">
        <v>708</v>
      </c>
      <c r="C128" s="775">
        <v>16052.09</v>
      </c>
      <c r="D128" s="780" t="s">
        <v>55</v>
      </c>
      <c r="E128" s="780" t="s">
        <v>960</v>
      </c>
      <c r="F128" s="780"/>
      <c r="G128" s="780"/>
      <c r="H128" s="782"/>
      <c r="I128" s="780"/>
    </row>
    <row r="129" spans="1:10" s="781" customFormat="1" ht="20.100000000000001" customHeight="1" x14ac:dyDescent="0.25">
      <c r="A129" s="134"/>
      <c r="B129" s="755" t="s">
        <v>802</v>
      </c>
      <c r="C129" s="775">
        <v>2745.62</v>
      </c>
      <c r="D129" s="780" t="s">
        <v>55</v>
      </c>
      <c r="E129" s="780" t="s">
        <v>960</v>
      </c>
      <c r="F129" s="780"/>
      <c r="G129" s="780"/>
      <c r="H129" s="782"/>
      <c r="I129" s="780"/>
    </row>
    <row r="130" spans="1:10" s="781" customFormat="1" ht="20.100000000000001" customHeight="1" thickBot="1" x14ac:dyDescent="0.3">
      <c r="C130" s="337">
        <f>SUM(C128:C129)</f>
        <v>18797.71</v>
      </c>
      <c r="D130" s="797" t="s">
        <v>324</v>
      </c>
      <c r="E130" s="797"/>
    </row>
    <row r="131" spans="1:10" s="825" customFormat="1" ht="20.100000000000001" customHeight="1" thickTop="1" x14ac:dyDescent="0.3"/>
    <row r="132" spans="1:10" s="825" customFormat="1" ht="20.100000000000001" customHeight="1" x14ac:dyDescent="0.3">
      <c r="H132" s="874">
        <f>B136+C136-E136-50054.54-7322.23</f>
        <v>28496230.989999998</v>
      </c>
    </row>
    <row r="133" spans="1:10" s="781" customFormat="1" ht="20.100000000000001" customHeight="1" x14ac:dyDescent="0.25">
      <c r="A133" s="895" t="s">
        <v>1103</v>
      </c>
      <c r="B133" s="895"/>
      <c r="C133" s="895"/>
      <c r="D133" s="895"/>
      <c r="E133" s="895"/>
      <c r="F133" s="895"/>
      <c r="G133" s="895"/>
      <c r="H133" s="895"/>
      <c r="I133" s="895"/>
      <c r="J133" s="895"/>
    </row>
    <row r="134" spans="1:10" s="781" customFormat="1" ht="17.25" thickBot="1" x14ac:dyDescent="0.3">
      <c r="A134" s="896"/>
      <c r="B134" s="896"/>
      <c r="C134" s="896"/>
      <c r="D134" s="896"/>
      <c r="E134" s="896"/>
      <c r="F134" s="896"/>
      <c r="G134" s="896"/>
      <c r="H134" s="896"/>
      <c r="I134" s="896"/>
      <c r="J134" s="896"/>
    </row>
    <row r="135" spans="1:10" s="781" customFormat="1" ht="50.25" thickBot="1" x14ac:dyDescent="0.3">
      <c r="A135" s="405" t="s">
        <v>1074</v>
      </c>
      <c r="B135" s="830" t="s">
        <v>40</v>
      </c>
      <c r="C135" s="830" t="s">
        <v>1104</v>
      </c>
      <c r="D135" s="830" t="s">
        <v>42</v>
      </c>
      <c r="E135" s="830" t="s">
        <v>43</v>
      </c>
      <c r="F135" s="830" t="s">
        <v>44</v>
      </c>
      <c r="G135" s="830" t="s">
        <v>20</v>
      </c>
      <c r="H135" s="830" t="s">
        <v>45</v>
      </c>
      <c r="I135" s="830" t="s">
        <v>22</v>
      </c>
      <c r="J135" s="830" t="s">
        <v>46</v>
      </c>
    </row>
    <row r="136" spans="1:10" s="781" customFormat="1" ht="20.100000000000001" customHeight="1" x14ac:dyDescent="0.25">
      <c r="A136" s="231" t="s">
        <v>47</v>
      </c>
      <c r="B136" s="424">
        <v>18797.71</v>
      </c>
      <c r="C136" s="424">
        <v>29218986.809999999</v>
      </c>
      <c r="D136" s="424">
        <v>0</v>
      </c>
      <c r="E136" s="425">
        <v>684176.76</v>
      </c>
      <c r="F136" s="424">
        <f>B136+C136-D136-E136</f>
        <v>28553607.759999998</v>
      </c>
      <c r="G136" s="424">
        <v>28496230.989999998</v>
      </c>
      <c r="H136" s="377">
        <f>+G136/F136*100</f>
        <v>99.799055970501996</v>
      </c>
      <c r="I136" s="377">
        <f>F136-G136</f>
        <v>57376.769999999553</v>
      </c>
      <c r="J136" s="426">
        <f>+I136/F136*100</f>
        <v>0.2009440294980068</v>
      </c>
    </row>
    <row r="137" spans="1:10" s="781" customFormat="1" ht="17.25" thickBot="1" x14ac:dyDescent="0.3">
      <c r="A137" s="427" t="s">
        <v>48</v>
      </c>
      <c r="B137" s="426">
        <f>SUM(B136)</f>
        <v>18797.71</v>
      </c>
      <c r="C137" s="426">
        <f>SUM(C136)</f>
        <v>29218986.809999999</v>
      </c>
      <c r="D137" s="426">
        <v>0</v>
      </c>
      <c r="E137" s="428">
        <f>SUM(E136)</f>
        <v>684176.76</v>
      </c>
      <c r="F137" s="426">
        <f>SUM(F136)</f>
        <v>28553607.759999998</v>
      </c>
      <c r="G137" s="426">
        <f>SUM(G136)</f>
        <v>28496230.989999998</v>
      </c>
      <c r="H137" s="426">
        <f>+G137/F137*100</f>
        <v>99.799055970501996</v>
      </c>
      <c r="I137" s="426">
        <f>SUM(I136)</f>
        <v>57376.769999999553</v>
      </c>
      <c r="J137" s="426">
        <f>+I137/F137*100</f>
        <v>0.2009440294980068</v>
      </c>
    </row>
    <row r="138" spans="1:10" s="781" customFormat="1" ht="50.25" thickBot="1" x14ac:dyDescent="0.3">
      <c r="A138" s="405" t="s">
        <v>1074</v>
      </c>
      <c r="B138" s="830" t="s">
        <v>40</v>
      </c>
      <c r="C138" s="830" t="s">
        <v>1104</v>
      </c>
      <c r="D138" s="830" t="s">
        <v>42</v>
      </c>
      <c r="E138" s="830" t="s">
        <v>43</v>
      </c>
      <c r="F138" s="830" t="s">
        <v>44</v>
      </c>
      <c r="G138" s="830" t="s">
        <v>20</v>
      </c>
      <c r="H138" s="830" t="s">
        <v>45</v>
      </c>
      <c r="I138" s="830" t="s">
        <v>22</v>
      </c>
      <c r="J138" s="429" t="s">
        <v>46</v>
      </c>
    </row>
    <row r="139" spans="1:10" s="781" customFormat="1" ht="20.100000000000001" customHeight="1" x14ac:dyDescent="0.25">
      <c r="A139" s="235" t="s">
        <v>50</v>
      </c>
      <c r="B139" s="335">
        <v>0</v>
      </c>
      <c r="C139" s="335">
        <v>587953.32999999996</v>
      </c>
      <c r="D139" s="335">
        <v>0</v>
      </c>
      <c r="E139" s="406">
        <v>0</v>
      </c>
      <c r="F139" s="238">
        <f>B139+C139-D139-E139</f>
        <v>587953.32999999996</v>
      </c>
      <c r="G139" s="335">
        <v>587953.32999999996</v>
      </c>
      <c r="H139" s="377">
        <f>+G139/F139*100</f>
        <v>100</v>
      </c>
      <c r="I139" s="377">
        <f>+F139-G139</f>
        <v>0</v>
      </c>
      <c r="J139" s="335">
        <f>+I139/F139*100</f>
        <v>0</v>
      </c>
    </row>
    <row r="140" spans="1:10" s="781" customFormat="1" ht="20.100000000000001" customHeight="1" x14ac:dyDescent="0.25">
      <c r="A140" s="500" t="s">
        <v>279</v>
      </c>
      <c r="B140" s="430">
        <f t="shared" ref="B140:G140" si="11">SUM(B139:B139)</f>
        <v>0</v>
      </c>
      <c r="C140" s="430">
        <f t="shared" si="11"/>
        <v>587953.32999999996</v>
      </c>
      <c r="D140" s="430">
        <f t="shared" si="11"/>
        <v>0</v>
      </c>
      <c r="E140" s="431">
        <f t="shared" si="11"/>
        <v>0</v>
      </c>
      <c r="F140" s="430">
        <f t="shared" si="11"/>
        <v>587953.32999999996</v>
      </c>
      <c r="G140" s="430">
        <f t="shared" si="11"/>
        <v>587953.32999999996</v>
      </c>
      <c r="H140" s="430">
        <f>+G140/F140*100</f>
        <v>100</v>
      </c>
      <c r="I140" s="430">
        <f>SUM(I139:I139)</f>
        <v>0</v>
      </c>
      <c r="J140" s="430">
        <f>+I140/F140*100</f>
        <v>0</v>
      </c>
    </row>
    <row r="141" spans="1:10" s="798" customFormat="1" ht="20.100000000000001" customHeight="1" thickBot="1" x14ac:dyDescent="0.3">
      <c r="A141" s="435" t="s">
        <v>36</v>
      </c>
      <c r="B141" s="508">
        <f>+B137+B140</f>
        <v>18797.71</v>
      </c>
      <c r="C141" s="508">
        <f>C137+C140</f>
        <v>29806940.139999997</v>
      </c>
      <c r="D141" s="508">
        <f>+D137+D140</f>
        <v>0</v>
      </c>
      <c r="E141" s="508">
        <f>+E137+E140</f>
        <v>684176.76</v>
      </c>
      <c r="F141" s="508">
        <f>+F137+F140</f>
        <v>29141561.089999996</v>
      </c>
      <c r="G141" s="508">
        <f>+G137+G140</f>
        <v>29084184.319999997</v>
      </c>
      <c r="H141" s="508">
        <f>+G141/F141*100</f>
        <v>99.803110170306937</v>
      </c>
      <c r="I141" s="508">
        <f>+I137+I140</f>
        <v>57376.769999999553</v>
      </c>
      <c r="J141" s="508">
        <f>+I141/F141*100</f>
        <v>0.19688982969305835</v>
      </c>
    </row>
    <row r="142" spans="1:10" s="781" customFormat="1" ht="20.100000000000001" customHeight="1" thickTop="1" x14ac:dyDescent="0.3">
      <c r="A142" s="825"/>
      <c r="B142" s="826"/>
      <c r="C142" s="826"/>
      <c r="D142" s="826"/>
      <c r="E142" s="826"/>
      <c r="F142" s="826"/>
      <c r="G142" s="826"/>
      <c r="H142" s="826"/>
      <c r="I142" s="826"/>
      <c r="J142" s="826"/>
    </row>
    <row r="143" spans="1:10" s="781" customFormat="1" ht="20.100000000000001" customHeight="1" x14ac:dyDescent="0.25">
      <c r="A143" s="501" t="s">
        <v>37</v>
      </c>
      <c r="B143" s="190"/>
      <c r="C143" s="502"/>
      <c r="D143" s="502"/>
      <c r="E143" s="502"/>
      <c r="F143" s="502"/>
      <c r="G143" s="502"/>
      <c r="H143" s="503"/>
      <c r="I143" s="502"/>
      <c r="J143" s="190"/>
    </row>
    <row r="144" spans="1:10" s="781" customFormat="1" ht="20.100000000000001" customHeight="1" x14ac:dyDescent="0.25">
      <c r="B144" s="504" t="s">
        <v>52</v>
      </c>
      <c r="D144" s="502"/>
      <c r="E144" s="502"/>
      <c r="F144" s="502"/>
      <c r="G144" s="502"/>
      <c r="H144" s="503"/>
      <c r="I144" s="502"/>
      <c r="J144" s="190"/>
    </row>
    <row r="145" spans="1:10" s="781" customFormat="1" ht="20.100000000000001" customHeight="1" x14ac:dyDescent="0.25">
      <c r="A145" s="134" t="s">
        <v>53</v>
      </c>
      <c r="B145" s="755" t="s">
        <v>1105</v>
      </c>
      <c r="C145" s="775">
        <v>7322.23</v>
      </c>
      <c r="D145" s="780" t="s">
        <v>55</v>
      </c>
      <c r="E145" s="780" t="s">
        <v>1106</v>
      </c>
      <c r="F145" s="780"/>
      <c r="G145" s="780"/>
      <c r="H145" s="782"/>
      <c r="I145" s="780"/>
    </row>
    <row r="146" spans="1:10" s="781" customFormat="1" ht="20.100000000000001" customHeight="1" x14ac:dyDescent="0.25">
      <c r="A146" s="134"/>
      <c r="B146" s="755" t="s">
        <v>1107</v>
      </c>
      <c r="C146" s="775">
        <v>50054.54</v>
      </c>
      <c r="D146" s="780" t="s">
        <v>55</v>
      </c>
      <c r="E146" s="780" t="s">
        <v>1106</v>
      </c>
      <c r="F146" s="780"/>
      <c r="G146" s="780"/>
      <c r="H146" s="782"/>
      <c r="I146" s="780"/>
    </row>
    <row r="147" spans="1:10" s="781" customFormat="1" ht="20.100000000000001" customHeight="1" thickBot="1" x14ac:dyDescent="0.3">
      <c r="C147" s="337">
        <f>SUM(C145:C146)</f>
        <v>57376.770000000004</v>
      </c>
      <c r="D147" s="797" t="s">
        <v>324</v>
      </c>
      <c r="E147" s="797"/>
    </row>
    <row r="148" spans="1:10" s="781" customFormat="1" ht="20.100000000000001" customHeight="1" thickTop="1" x14ac:dyDescent="0.25">
      <c r="C148" s="36"/>
      <c r="D148" s="797"/>
      <c r="E148" s="797"/>
    </row>
    <row r="149" spans="1:10" s="825" customFormat="1" ht="20.100000000000001" customHeight="1" x14ac:dyDescent="0.3"/>
    <row r="150" spans="1:10" s="781" customFormat="1" ht="20.100000000000001" customHeight="1" x14ac:dyDescent="0.25">
      <c r="A150" s="895" t="s">
        <v>1168</v>
      </c>
      <c r="B150" s="895"/>
      <c r="C150" s="895"/>
      <c r="D150" s="895"/>
      <c r="E150" s="895"/>
      <c r="F150" s="895"/>
      <c r="G150" s="895"/>
      <c r="H150" s="895"/>
      <c r="I150" s="895"/>
      <c r="J150" s="895"/>
    </row>
    <row r="151" spans="1:10" s="781" customFormat="1" ht="17.25" thickBot="1" x14ac:dyDescent="0.3">
      <c r="A151" s="896"/>
      <c r="B151" s="896"/>
      <c r="C151" s="896"/>
      <c r="D151" s="896"/>
      <c r="E151" s="896"/>
      <c r="F151" s="896"/>
      <c r="G151" s="896"/>
      <c r="H151" s="896"/>
      <c r="I151" s="896"/>
      <c r="J151" s="896"/>
    </row>
    <row r="152" spans="1:10" s="781" customFormat="1" ht="50.25" thickBot="1" x14ac:dyDescent="0.3">
      <c r="A152" s="405" t="s">
        <v>1169</v>
      </c>
      <c r="B152" s="830" t="s">
        <v>40</v>
      </c>
      <c r="C152" s="830" t="s">
        <v>1170</v>
      </c>
      <c r="D152" s="830" t="s">
        <v>42</v>
      </c>
      <c r="E152" s="830" t="s">
        <v>43</v>
      </c>
      <c r="F152" s="830" t="s">
        <v>44</v>
      </c>
      <c r="G152" s="830" t="s">
        <v>20</v>
      </c>
      <c r="H152" s="830" t="s">
        <v>45</v>
      </c>
      <c r="I152" s="830" t="s">
        <v>22</v>
      </c>
      <c r="J152" s="830" t="s">
        <v>46</v>
      </c>
    </row>
    <row r="153" spans="1:10" s="781" customFormat="1" ht="20.100000000000001" customHeight="1" x14ac:dyDescent="0.25">
      <c r="A153" s="231" t="s">
        <v>47</v>
      </c>
      <c r="B153" s="424">
        <v>57376.77</v>
      </c>
      <c r="C153" s="424">
        <v>43278366.329999998</v>
      </c>
      <c r="D153" s="424">
        <v>0</v>
      </c>
      <c r="E153" s="425">
        <v>596361.6</v>
      </c>
      <c r="F153" s="424">
        <f>B153+C153-D153-E153</f>
        <v>42739381.5</v>
      </c>
      <c r="G153" s="424">
        <v>42739381.5</v>
      </c>
      <c r="H153" s="377">
        <f>+G153/F153*100</f>
        <v>100</v>
      </c>
      <c r="I153" s="377">
        <f>F153-G153</f>
        <v>0</v>
      </c>
      <c r="J153" s="426">
        <f>+I153/F153*100</f>
        <v>0</v>
      </c>
    </row>
    <row r="154" spans="1:10" s="781" customFormat="1" ht="17.25" thickBot="1" x14ac:dyDescent="0.3">
      <c r="A154" s="427" t="s">
        <v>48</v>
      </c>
      <c r="B154" s="426">
        <f>SUM(B153)</f>
        <v>57376.77</v>
      </c>
      <c r="C154" s="426">
        <f>SUM(C153)</f>
        <v>43278366.329999998</v>
      </c>
      <c r="D154" s="426">
        <v>0</v>
      </c>
      <c r="E154" s="428">
        <f>SUM(E153)</f>
        <v>596361.6</v>
      </c>
      <c r="F154" s="426">
        <f>SUM(F153)</f>
        <v>42739381.5</v>
      </c>
      <c r="G154" s="426">
        <f>SUM(G153)</f>
        <v>42739381.5</v>
      </c>
      <c r="H154" s="426">
        <f>+G154/F154*100</f>
        <v>100</v>
      </c>
      <c r="I154" s="426">
        <f>SUM(I153)</f>
        <v>0</v>
      </c>
      <c r="J154" s="426">
        <f>+I154/F154*100</f>
        <v>0</v>
      </c>
    </row>
    <row r="155" spans="1:10" s="781" customFormat="1" ht="50.25" thickBot="1" x14ac:dyDescent="0.3">
      <c r="A155" s="405" t="s">
        <v>1169</v>
      </c>
      <c r="B155" s="830" t="s">
        <v>40</v>
      </c>
      <c r="C155" s="830" t="s">
        <v>1104</v>
      </c>
      <c r="D155" s="830" t="s">
        <v>42</v>
      </c>
      <c r="E155" s="830" t="s">
        <v>43</v>
      </c>
      <c r="F155" s="830" t="s">
        <v>44</v>
      </c>
      <c r="G155" s="830" t="s">
        <v>20</v>
      </c>
      <c r="H155" s="830" t="s">
        <v>45</v>
      </c>
      <c r="I155" s="830" t="s">
        <v>22</v>
      </c>
      <c r="J155" s="429" t="s">
        <v>46</v>
      </c>
    </row>
    <row r="156" spans="1:10" s="781" customFormat="1" ht="20.100000000000001" customHeight="1" x14ac:dyDescent="0.25">
      <c r="A156" s="235" t="s">
        <v>50</v>
      </c>
      <c r="B156" s="335">
        <v>0</v>
      </c>
      <c r="C156" s="335">
        <v>1578168.13</v>
      </c>
      <c r="D156" s="335">
        <v>0</v>
      </c>
      <c r="E156" s="406">
        <v>83365.39</v>
      </c>
      <c r="F156" s="238">
        <f>B156+C156-D156-E156</f>
        <v>1494802.74</v>
      </c>
      <c r="G156" s="335">
        <v>1482332.66</v>
      </c>
      <c r="H156" s="377">
        <f>+G156/F156*100</f>
        <v>99.165770862849769</v>
      </c>
      <c r="I156" s="377">
        <f>+F156-G156</f>
        <v>12470.080000000075</v>
      </c>
      <c r="J156" s="335">
        <f>+I156/F156*100</f>
        <v>0.83422913715023528</v>
      </c>
    </row>
    <row r="157" spans="1:10" s="781" customFormat="1" ht="20.100000000000001" customHeight="1" x14ac:dyDescent="0.25">
      <c r="A157" s="500" t="s">
        <v>279</v>
      </c>
      <c r="B157" s="430">
        <f t="shared" ref="B157:G157" si="12">SUM(B156:B156)</f>
        <v>0</v>
      </c>
      <c r="C157" s="430">
        <f t="shared" si="12"/>
        <v>1578168.13</v>
      </c>
      <c r="D157" s="430">
        <f t="shared" si="12"/>
        <v>0</v>
      </c>
      <c r="E157" s="431">
        <f t="shared" si="12"/>
        <v>83365.39</v>
      </c>
      <c r="F157" s="430">
        <f t="shared" si="12"/>
        <v>1494802.74</v>
      </c>
      <c r="G157" s="430">
        <f t="shared" si="12"/>
        <v>1482332.66</v>
      </c>
      <c r="H157" s="430">
        <f>+G157/F157*100</f>
        <v>99.165770862849769</v>
      </c>
      <c r="I157" s="430">
        <f>SUM(I156:I156)</f>
        <v>12470.080000000075</v>
      </c>
      <c r="J157" s="430">
        <f>+I157/F157*100</f>
        <v>0.83422913715023528</v>
      </c>
    </row>
    <row r="158" spans="1:10" s="798" customFormat="1" ht="20.100000000000001" customHeight="1" thickBot="1" x14ac:dyDescent="0.3">
      <c r="A158" s="435" t="s">
        <v>36</v>
      </c>
      <c r="B158" s="508">
        <f>+B154+B157</f>
        <v>57376.77</v>
      </c>
      <c r="C158" s="508">
        <f>C154+C157</f>
        <v>44856534.460000001</v>
      </c>
      <c r="D158" s="508">
        <f>+D154+D157</f>
        <v>0</v>
      </c>
      <c r="E158" s="508">
        <f>SUM(E154+E157)</f>
        <v>679726.99</v>
      </c>
      <c r="F158" s="508">
        <f>+F154+F157</f>
        <v>44234184.240000002</v>
      </c>
      <c r="G158" s="508">
        <f>+G154+G157</f>
        <v>44221714.159999996</v>
      </c>
      <c r="H158" s="508">
        <f>+G158/F158*100</f>
        <v>99.971808952252076</v>
      </c>
      <c r="I158" s="508">
        <f>+I154+I157</f>
        <v>12470.080000000075</v>
      </c>
      <c r="J158" s="508">
        <f>+I158/F158*100</f>
        <v>2.8191047747917222E-2</v>
      </c>
    </row>
    <row r="159" spans="1:10" s="781" customFormat="1" ht="20.100000000000001" customHeight="1" thickTop="1" x14ac:dyDescent="0.3">
      <c r="A159" s="825"/>
      <c r="B159" s="826"/>
      <c r="C159" s="826"/>
      <c r="D159" s="826"/>
      <c r="E159" s="826"/>
      <c r="F159" s="826"/>
      <c r="G159" s="826"/>
      <c r="H159" s="826"/>
      <c r="I159" s="826"/>
      <c r="J159" s="826"/>
    </row>
    <row r="160" spans="1:10" s="781" customFormat="1" ht="20.100000000000001" customHeight="1" x14ac:dyDescent="0.25">
      <c r="A160" s="501" t="s">
        <v>37</v>
      </c>
      <c r="B160" s="190"/>
      <c r="C160" s="502"/>
      <c r="D160" s="502"/>
      <c r="E160" s="502"/>
      <c r="F160" s="502"/>
      <c r="G160" s="502"/>
      <c r="H160" s="503"/>
      <c r="I160" s="502"/>
      <c r="J160" s="190"/>
    </row>
    <row r="161" spans="1:10" s="781" customFormat="1" ht="20.100000000000001" customHeight="1" x14ac:dyDescent="0.25">
      <c r="B161" s="504" t="s">
        <v>52</v>
      </c>
      <c r="D161" s="502"/>
      <c r="E161" s="502"/>
      <c r="F161" s="502"/>
      <c r="G161" s="502"/>
      <c r="H161" s="503"/>
      <c r="I161" s="502"/>
      <c r="J161" s="190"/>
    </row>
    <row r="162" spans="1:10" s="781" customFormat="1" ht="20.100000000000001" customHeight="1" x14ac:dyDescent="0.25">
      <c r="A162" s="134" t="s">
        <v>248</v>
      </c>
      <c r="B162" s="755" t="s">
        <v>1102</v>
      </c>
      <c r="C162" s="775">
        <v>12470.08</v>
      </c>
      <c r="D162" s="780" t="s">
        <v>55</v>
      </c>
      <c r="E162" s="780" t="s">
        <v>1196</v>
      </c>
      <c r="F162" s="780"/>
      <c r="G162" s="780"/>
      <c r="H162" s="782"/>
      <c r="I162" s="780"/>
    </row>
    <row r="163" spans="1:10" s="781" customFormat="1" ht="20.100000000000001" customHeight="1" thickBot="1" x14ac:dyDescent="0.3">
      <c r="C163" s="337">
        <f>SUM(C162)</f>
        <v>12470.08</v>
      </c>
      <c r="D163" s="797" t="s">
        <v>324</v>
      </c>
      <c r="E163" s="797"/>
    </row>
    <row r="164" spans="1:10" s="781" customFormat="1" ht="20.100000000000001" customHeight="1" thickTop="1" x14ac:dyDescent="0.25">
      <c r="C164" s="36"/>
      <c r="D164" s="797"/>
      <c r="E164" s="797"/>
    </row>
    <row r="165" spans="1:10" s="825" customFormat="1" ht="20.100000000000001" customHeight="1" x14ac:dyDescent="0.3"/>
    <row r="166" spans="1:10" s="358" customFormat="1" ht="16.5" x14ac:dyDescent="0.25">
      <c r="A166" s="895" t="s">
        <v>1285</v>
      </c>
      <c r="B166" s="895"/>
      <c r="C166" s="895"/>
      <c r="D166" s="895"/>
      <c r="E166" s="895"/>
      <c r="F166" s="895"/>
      <c r="G166" s="895"/>
      <c r="H166" s="895"/>
      <c r="I166" s="895"/>
      <c r="J166" s="895"/>
    </row>
    <row r="167" spans="1:10" s="781" customFormat="1" ht="20.100000000000001" customHeight="1" thickBot="1" x14ac:dyDescent="0.3">
      <c r="A167" s="896"/>
      <c r="B167" s="896"/>
      <c r="C167" s="896"/>
      <c r="D167" s="896"/>
      <c r="E167" s="896"/>
      <c r="F167" s="896"/>
      <c r="G167" s="896"/>
      <c r="H167" s="896"/>
      <c r="I167" s="896"/>
      <c r="J167" s="896"/>
    </row>
    <row r="168" spans="1:10" s="781" customFormat="1" ht="50.25" thickBot="1" x14ac:dyDescent="0.3">
      <c r="A168" s="405" t="s">
        <v>1286</v>
      </c>
      <c r="B168" s="830" t="s">
        <v>40</v>
      </c>
      <c r="C168" s="830" t="s">
        <v>1287</v>
      </c>
      <c r="D168" s="830" t="s">
        <v>42</v>
      </c>
      <c r="E168" s="830" t="s">
        <v>43</v>
      </c>
      <c r="F168" s="830" t="s">
        <v>44</v>
      </c>
      <c r="G168" s="830" t="s">
        <v>20</v>
      </c>
      <c r="H168" s="830" t="s">
        <v>45</v>
      </c>
      <c r="I168" s="830" t="s">
        <v>22</v>
      </c>
      <c r="J168" s="830" t="s">
        <v>46</v>
      </c>
    </row>
    <row r="169" spans="1:10" s="781" customFormat="1" ht="16.5" x14ac:dyDescent="0.25">
      <c r="A169" s="231" t="s">
        <v>47</v>
      </c>
      <c r="B169" s="424">
        <v>0</v>
      </c>
      <c r="C169" s="424">
        <v>38481759.539999999</v>
      </c>
      <c r="D169" s="424">
        <v>0</v>
      </c>
      <c r="E169" s="425">
        <v>509762.09</v>
      </c>
      <c r="F169" s="424">
        <f>B169+C169-D169-E169</f>
        <v>37971997.449999996</v>
      </c>
      <c r="G169" s="424">
        <v>37936425.759999998</v>
      </c>
      <c r="H169" s="377">
        <f>+G169/F169*100</f>
        <v>99.90632125674496</v>
      </c>
      <c r="I169" s="377">
        <f>F169-G169</f>
        <v>35571.689999997616</v>
      </c>
      <c r="J169" s="426">
        <f>+I169/F169*100</f>
        <v>9.3678743255044702E-2</v>
      </c>
    </row>
    <row r="170" spans="1:10" s="781" customFormat="1" ht="20.100000000000001" customHeight="1" thickBot="1" x14ac:dyDescent="0.3">
      <c r="A170" s="427" t="s">
        <v>48</v>
      </c>
      <c r="B170" s="426">
        <f>SUM(B169)</f>
        <v>0</v>
      </c>
      <c r="C170" s="426">
        <f>SUM(C169)</f>
        <v>38481759.539999999</v>
      </c>
      <c r="D170" s="426">
        <v>0</v>
      </c>
      <c r="E170" s="428">
        <f>SUM(E169)</f>
        <v>509762.09</v>
      </c>
      <c r="F170" s="426">
        <f>SUM(F169)</f>
        <v>37971997.449999996</v>
      </c>
      <c r="G170" s="426">
        <f>SUM(G169)</f>
        <v>37936425.759999998</v>
      </c>
      <c r="H170" s="426">
        <f>+G170/F170*100</f>
        <v>99.90632125674496</v>
      </c>
      <c r="I170" s="426">
        <f>SUM(I169)</f>
        <v>35571.689999997616</v>
      </c>
      <c r="J170" s="426">
        <f>+I170/F170*100</f>
        <v>9.3678743255044702E-2</v>
      </c>
    </row>
    <row r="171" spans="1:10" s="781" customFormat="1" ht="50.25" thickBot="1" x14ac:dyDescent="0.3">
      <c r="A171" s="405" t="s">
        <v>1286</v>
      </c>
      <c r="B171" s="830" t="s">
        <v>40</v>
      </c>
      <c r="C171" s="830" t="s">
        <v>1287</v>
      </c>
      <c r="D171" s="830" t="s">
        <v>42</v>
      </c>
      <c r="E171" s="830" t="s">
        <v>43</v>
      </c>
      <c r="F171" s="830" t="s">
        <v>44</v>
      </c>
      <c r="G171" s="830" t="s">
        <v>20</v>
      </c>
      <c r="H171" s="830" t="s">
        <v>45</v>
      </c>
      <c r="I171" s="830" t="s">
        <v>22</v>
      </c>
      <c r="J171" s="429" t="s">
        <v>46</v>
      </c>
    </row>
    <row r="172" spans="1:10" s="798" customFormat="1" ht="20.100000000000001" customHeight="1" x14ac:dyDescent="0.25">
      <c r="A172" s="235" t="s">
        <v>50</v>
      </c>
      <c r="B172" s="335">
        <v>12470.08</v>
      </c>
      <c r="C172" s="335">
        <v>1303410.45</v>
      </c>
      <c r="D172" s="335">
        <v>0</v>
      </c>
      <c r="E172" s="406">
        <v>49582.74</v>
      </c>
      <c r="F172" s="238">
        <f>B172+C172-D172-E172</f>
        <v>1266297.79</v>
      </c>
      <c r="G172" s="335">
        <v>1253827.71</v>
      </c>
      <c r="H172" s="377">
        <f>+G172/F172*100</f>
        <v>99.015233217772575</v>
      </c>
      <c r="I172" s="377">
        <f>+F172-G172</f>
        <v>12470.080000000075</v>
      </c>
      <c r="J172" s="335">
        <f>+I172/F172*100</f>
        <v>0.98476678222743119</v>
      </c>
    </row>
    <row r="173" spans="1:10" s="781" customFormat="1" ht="20.100000000000001" customHeight="1" x14ac:dyDescent="0.25">
      <c r="A173" s="500" t="s">
        <v>279</v>
      </c>
      <c r="B173" s="430">
        <f t="shared" ref="B173:G173" si="13">SUM(B172:B172)</f>
        <v>12470.08</v>
      </c>
      <c r="C173" s="430">
        <f t="shared" si="13"/>
        <v>1303410.45</v>
      </c>
      <c r="D173" s="430">
        <f t="shared" si="13"/>
        <v>0</v>
      </c>
      <c r="E173" s="431">
        <f t="shared" si="13"/>
        <v>49582.74</v>
      </c>
      <c r="F173" s="430">
        <f t="shared" si="13"/>
        <v>1266297.79</v>
      </c>
      <c r="G173" s="430">
        <f t="shared" si="13"/>
        <v>1253827.71</v>
      </c>
      <c r="H173" s="430">
        <f>+G173/F173*100</f>
        <v>99.015233217772575</v>
      </c>
      <c r="I173" s="430">
        <f>SUM(I172:I172)</f>
        <v>12470.080000000075</v>
      </c>
      <c r="J173" s="430">
        <f>+I173/F173*100</f>
        <v>0.98476678222743119</v>
      </c>
    </row>
    <row r="174" spans="1:10" s="781" customFormat="1" ht="20.100000000000001" customHeight="1" thickBot="1" x14ac:dyDescent="0.3">
      <c r="A174" s="435" t="s">
        <v>36</v>
      </c>
      <c r="B174" s="508">
        <f>+B170+B173</f>
        <v>12470.08</v>
      </c>
      <c r="C174" s="508">
        <f>C170+C173</f>
        <v>39785169.990000002</v>
      </c>
      <c r="D174" s="508">
        <f>+D170+D173</f>
        <v>0</v>
      </c>
      <c r="E174" s="508">
        <f>SUM(E170+E173)</f>
        <v>559344.83000000007</v>
      </c>
      <c r="F174" s="508">
        <f>+F170+F173</f>
        <v>39238295.239999995</v>
      </c>
      <c r="G174" s="508">
        <f>+G170+G173</f>
        <v>39190253.469999999</v>
      </c>
      <c r="H174" s="508">
        <f>+G174/F174*100</f>
        <v>99.877564074315288</v>
      </c>
      <c r="I174" s="508">
        <f>+I170+I173</f>
        <v>48041.76999999769</v>
      </c>
      <c r="J174" s="508">
        <f>+I174/F174*100</f>
        <v>0.12243592568472068</v>
      </c>
    </row>
    <row r="175" spans="1:10" s="781" customFormat="1" ht="20.100000000000001" customHeight="1" thickTop="1" x14ac:dyDescent="0.3">
      <c r="A175" s="825"/>
      <c r="B175" s="826"/>
      <c r="C175" s="826"/>
      <c r="D175" s="826"/>
      <c r="E175" s="826"/>
      <c r="F175" s="826"/>
      <c r="G175" s="826"/>
      <c r="H175" s="826"/>
      <c r="I175" s="826"/>
      <c r="J175" s="826"/>
    </row>
    <row r="176" spans="1:10" s="781" customFormat="1" ht="20.100000000000001" customHeight="1" x14ac:dyDescent="0.25">
      <c r="A176" s="501" t="s">
        <v>37</v>
      </c>
      <c r="B176" s="190"/>
      <c r="C176" s="502"/>
      <c r="D176" s="502"/>
      <c r="E176" s="502"/>
      <c r="F176" s="502"/>
      <c r="G176" s="502"/>
      <c r="H176" s="503"/>
      <c r="I176" s="502"/>
      <c r="J176" s="190"/>
    </row>
    <row r="177" spans="1:10" s="781" customFormat="1" ht="20.100000000000001" customHeight="1" x14ac:dyDescent="0.25">
      <c r="B177" s="504" t="s">
        <v>52</v>
      </c>
      <c r="D177" s="502"/>
      <c r="E177" s="502"/>
      <c r="F177" s="502"/>
      <c r="G177" s="502"/>
      <c r="H177" s="503"/>
      <c r="I177" s="502"/>
      <c r="J177" s="190"/>
    </row>
    <row r="178" spans="1:10" s="781" customFormat="1" ht="20.100000000000001" customHeight="1" x14ac:dyDescent="0.25">
      <c r="A178" s="134" t="s">
        <v>53</v>
      </c>
      <c r="B178" s="755" t="s">
        <v>1288</v>
      </c>
      <c r="C178" s="775">
        <v>35571.69</v>
      </c>
      <c r="D178" s="780" t="s">
        <v>55</v>
      </c>
      <c r="E178" s="780" t="s">
        <v>1289</v>
      </c>
      <c r="F178" s="780"/>
      <c r="G178" s="780"/>
      <c r="H178" s="782"/>
      <c r="I178" s="780"/>
    </row>
    <row r="179" spans="1:10" s="825" customFormat="1" ht="20.100000000000001" customHeight="1" thickBot="1" x14ac:dyDescent="0.35">
      <c r="A179" s="781"/>
      <c r="B179" s="781"/>
      <c r="C179" s="337">
        <f>SUM(C178:C178)</f>
        <v>35571.69</v>
      </c>
      <c r="D179" s="797" t="s">
        <v>324</v>
      </c>
      <c r="E179" s="797"/>
      <c r="F179" s="781"/>
      <c r="G179" s="781"/>
      <c r="H179" s="781"/>
      <c r="I179" s="781"/>
      <c r="J179" s="781"/>
    </row>
    <row r="180" spans="1:10" s="825" customFormat="1" ht="21.75" customHeight="1" thickTop="1" x14ac:dyDescent="0.3">
      <c r="A180" s="134" t="s">
        <v>248</v>
      </c>
      <c r="B180" s="755" t="s">
        <v>1102</v>
      </c>
      <c r="C180" s="775">
        <v>12470.08</v>
      </c>
      <c r="D180" s="780" t="s">
        <v>55</v>
      </c>
      <c r="E180" s="780" t="s">
        <v>1290</v>
      </c>
      <c r="F180" s="780"/>
      <c r="G180" s="780"/>
      <c r="H180" s="782"/>
      <c r="I180" s="780"/>
      <c r="J180" s="781"/>
    </row>
    <row r="181" spans="1:10" s="825" customFormat="1" ht="21.75" customHeight="1" x14ac:dyDescent="0.3">
      <c r="A181" s="781"/>
      <c r="B181" s="781"/>
      <c r="C181" s="884">
        <f>SUM(C180)</f>
        <v>12470.08</v>
      </c>
      <c r="D181" s="797" t="s">
        <v>324</v>
      </c>
      <c r="E181" s="797"/>
      <c r="F181" s="781"/>
      <c r="G181" s="781"/>
      <c r="H181" s="781"/>
      <c r="I181" s="781"/>
      <c r="J181" s="781"/>
    </row>
    <row r="182" spans="1:10" s="825" customFormat="1" ht="21.75" customHeight="1" thickBot="1" x14ac:dyDescent="0.35">
      <c r="B182" s="826"/>
      <c r="C182" s="885">
        <f>SUM(C181,C179)</f>
        <v>48041.770000000004</v>
      </c>
      <c r="D182" s="826"/>
      <c r="E182" s="826"/>
      <c r="F182" s="826"/>
      <c r="G182" s="826"/>
      <c r="H182" s="826"/>
      <c r="I182" s="826"/>
      <c r="J182" s="826"/>
    </row>
    <row r="183" spans="1:10" ht="20.100000000000001" customHeight="1" thickTop="1" x14ac:dyDescent="0.3">
      <c r="B183" s="131"/>
      <c r="C183" s="131"/>
      <c r="D183" s="131"/>
      <c r="E183" s="131"/>
      <c r="F183" s="131"/>
      <c r="G183" s="131"/>
      <c r="H183" s="131"/>
      <c r="I183" s="131"/>
      <c r="J183" s="131"/>
    </row>
    <row r="184" spans="1:10" ht="20.100000000000001" customHeight="1" x14ac:dyDescent="0.3">
      <c r="B184" s="131"/>
      <c r="C184" s="131"/>
      <c r="D184" s="131"/>
      <c r="E184" s="131"/>
      <c r="F184" s="131"/>
      <c r="G184" s="131"/>
      <c r="H184" s="131"/>
      <c r="I184" s="131"/>
      <c r="J184" s="131"/>
    </row>
    <row r="185" spans="1:10" s="781" customFormat="1" ht="16.5" x14ac:dyDescent="0.25">
      <c r="A185" s="895" t="s">
        <v>1430</v>
      </c>
      <c r="B185" s="895"/>
      <c r="C185" s="895"/>
      <c r="D185" s="895"/>
      <c r="E185" s="895"/>
      <c r="F185" s="895"/>
      <c r="G185" s="895"/>
      <c r="H185" s="895"/>
      <c r="I185" s="895"/>
      <c r="J185" s="895"/>
    </row>
    <row r="186" spans="1:10" s="781" customFormat="1" ht="20.100000000000001" customHeight="1" thickBot="1" x14ac:dyDescent="0.3">
      <c r="A186" s="896"/>
      <c r="B186" s="896"/>
      <c r="C186" s="896"/>
      <c r="D186" s="896"/>
      <c r="E186" s="896"/>
      <c r="F186" s="896"/>
      <c r="G186" s="896"/>
      <c r="H186" s="896"/>
      <c r="I186" s="896"/>
      <c r="J186" s="896"/>
    </row>
    <row r="187" spans="1:10" s="781" customFormat="1" ht="50.25" thickBot="1" x14ac:dyDescent="0.3">
      <c r="A187" s="405" t="s">
        <v>1398</v>
      </c>
      <c r="B187" s="830" t="s">
        <v>40</v>
      </c>
      <c r="C187" s="830" t="s">
        <v>1431</v>
      </c>
      <c r="D187" s="830" t="s">
        <v>42</v>
      </c>
      <c r="E187" s="830" t="s">
        <v>43</v>
      </c>
      <c r="F187" s="830" t="s">
        <v>44</v>
      </c>
      <c r="G187" s="830" t="s">
        <v>20</v>
      </c>
      <c r="H187" s="830" t="s">
        <v>45</v>
      </c>
      <c r="I187" s="830" t="s">
        <v>22</v>
      </c>
      <c r="J187" s="830" t="s">
        <v>46</v>
      </c>
    </row>
    <row r="188" spans="1:10" s="781" customFormat="1" ht="16.5" x14ac:dyDescent="0.25">
      <c r="A188" s="231" t="s">
        <v>47</v>
      </c>
      <c r="B188" s="424">
        <v>35571.69</v>
      </c>
      <c r="C188" s="424">
        <v>36083135.079999998</v>
      </c>
      <c r="D188" s="424">
        <v>0</v>
      </c>
      <c r="E188" s="425">
        <v>468671.15</v>
      </c>
      <c r="F188" s="424">
        <f>B188+C188-D188-E188</f>
        <v>35650035.619999997</v>
      </c>
      <c r="G188" s="424">
        <v>35576184.159999996</v>
      </c>
      <c r="H188" s="377">
        <f>+G188/F188*100</f>
        <v>99.792843236435445</v>
      </c>
      <c r="I188" s="377">
        <f>F188-G188</f>
        <v>73851.460000000894</v>
      </c>
      <c r="J188" s="426">
        <f>+I188/F188*100</f>
        <v>0.20715676356454901</v>
      </c>
    </row>
    <row r="189" spans="1:10" s="781" customFormat="1" ht="20.100000000000001" customHeight="1" thickBot="1" x14ac:dyDescent="0.3">
      <c r="A189" s="427" t="s">
        <v>48</v>
      </c>
      <c r="B189" s="426">
        <f>SUM(B188)</f>
        <v>35571.69</v>
      </c>
      <c r="C189" s="426">
        <f>SUM(C188)</f>
        <v>36083135.079999998</v>
      </c>
      <c r="D189" s="426">
        <v>0</v>
      </c>
      <c r="E189" s="428">
        <f>SUM(E188)</f>
        <v>468671.15</v>
      </c>
      <c r="F189" s="426">
        <f>SUM(F188)</f>
        <v>35650035.619999997</v>
      </c>
      <c r="G189" s="426">
        <f>SUM(G188)</f>
        <v>35576184.159999996</v>
      </c>
      <c r="H189" s="426">
        <f>+G189/F189*100</f>
        <v>99.792843236435445</v>
      </c>
      <c r="I189" s="426">
        <f>SUM(I188)</f>
        <v>73851.460000000894</v>
      </c>
      <c r="J189" s="426">
        <f>+I189/F189*100</f>
        <v>0.20715676356454901</v>
      </c>
    </row>
    <row r="190" spans="1:10" s="781" customFormat="1" ht="50.25" thickBot="1" x14ac:dyDescent="0.3">
      <c r="A190" s="405" t="s">
        <v>1398</v>
      </c>
      <c r="B190" s="830" t="s">
        <v>40</v>
      </c>
      <c r="C190" s="830" t="s">
        <v>1431</v>
      </c>
      <c r="D190" s="830" t="s">
        <v>42</v>
      </c>
      <c r="E190" s="830" t="s">
        <v>43</v>
      </c>
      <c r="F190" s="830" t="s">
        <v>44</v>
      </c>
      <c r="G190" s="830" t="s">
        <v>20</v>
      </c>
      <c r="H190" s="830" t="s">
        <v>45</v>
      </c>
      <c r="I190" s="830" t="s">
        <v>22</v>
      </c>
      <c r="J190" s="429" t="s">
        <v>46</v>
      </c>
    </row>
    <row r="191" spans="1:10" s="798" customFormat="1" ht="20.100000000000001" customHeight="1" x14ac:dyDescent="0.25">
      <c r="A191" s="235" t="s">
        <v>50</v>
      </c>
      <c r="B191" s="335">
        <v>12470.08</v>
      </c>
      <c r="C191" s="335">
        <v>1722926.45</v>
      </c>
      <c r="D191" s="335">
        <v>0</v>
      </c>
      <c r="E191" s="406">
        <v>53302.51</v>
      </c>
      <c r="F191" s="238">
        <f>B191+C191-D191-E191</f>
        <v>1682094.02</v>
      </c>
      <c r="G191" s="335">
        <v>1682094.02</v>
      </c>
      <c r="H191" s="377">
        <f>+G191/F191*100</f>
        <v>100</v>
      </c>
      <c r="I191" s="377">
        <f>+F191-G191</f>
        <v>0</v>
      </c>
      <c r="J191" s="335">
        <f>+I191/F191*100</f>
        <v>0</v>
      </c>
    </row>
    <row r="192" spans="1:10" s="781" customFormat="1" ht="20.100000000000001" customHeight="1" x14ac:dyDescent="0.25">
      <c r="A192" s="500" t="s">
        <v>279</v>
      </c>
      <c r="B192" s="430">
        <f t="shared" ref="B192:G192" si="14">SUM(B191:B191)</f>
        <v>12470.08</v>
      </c>
      <c r="C192" s="430">
        <f t="shared" si="14"/>
        <v>1722926.45</v>
      </c>
      <c r="D192" s="430">
        <f t="shared" si="14"/>
        <v>0</v>
      </c>
      <c r="E192" s="431">
        <f t="shared" si="14"/>
        <v>53302.51</v>
      </c>
      <c r="F192" s="430">
        <f t="shared" si="14"/>
        <v>1682094.02</v>
      </c>
      <c r="G192" s="430">
        <f t="shared" si="14"/>
        <v>1682094.02</v>
      </c>
      <c r="H192" s="430">
        <f>+G192/F192*100</f>
        <v>100</v>
      </c>
      <c r="I192" s="430">
        <f>SUM(I191:I191)</f>
        <v>0</v>
      </c>
      <c r="J192" s="430">
        <f>+I192/F192*100</f>
        <v>0</v>
      </c>
    </row>
    <row r="193" spans="1:10" s="781" customFormat="1" ht="20.100000000000001" customHeight="1" thickBot="1" x14ac:dyDescent="0.3">
      <c r="A193" s="435" t="s">
        <v>36</v>
      </c>
      <c r="B193" s="508">
        <f>+B189+B192</f>
        <v>48041.770000000004</v>
      </c>
      <c r="C193" s="508">
        <f>C189+C192</f>
        <v>37806061.530000001</v>
      </c>
      <c r="D193" s="508">
        <f>+D189+D192</f>
        <v>0</v>
      </c>
      <c r="E193" s="508">
        <f>SUM(E189+E192)</f>
        <v>521973.66000000003</v>
      </c>
      <c r="F193" s="508">
        <f>+F189+F192</f>
        <v>37332129.640000001</v>
      </c>
      <c r="G193" s="508">
        <f>+G189+G192</f>
        <v>37258278.18</v>
      </c>
      <c r="H193" s="508">
        <f>+G193/F193*100</f>
        <v>99.802177211125738</v>
      </c>
      <c r="I193" s="508">
        <f>+I189+I192</f>
        <v>73851.460000000894</v>
      </c>
      <c r="J193" s="508">
        <f>+I193/F193*100</f>
        <v>0.19782278887425639</v>
      </c>
    </row>
    <row r="194" spans="1:10" s="781" customFormat="1" ht="20.100000000000001" customHeight="1" thickTop="1" x14ac:dyDescent="0.3">
      <c r="A194" s="825"/>
      <c r="B194" s="826"/>
      <c r="C194" s="826"/>
      <c r="D194" s="826"/>
      <c r="E194" s="826"/>
      <c r="F194" s="826"/>
      <c r="G194" s="826"/>
      <c r="H194" s="826"/>
      <c r="I194" s="826"/>
      <c r="J194" s="826"/>
    </row>
    <row r="195" spans="1:10" s="781" customFormat="1" ht="20.100000000000001" customHeight="1" x14ac:dyDescent="0.25">
      <c r="A195" s="501" t="s">
        <v>37</v>
      </c>
      <c r="B195" s="190"/>
      <c r="C195" s="502"/>
      <c r="D195" s="502"/>
      <c r="E195" s="502"/>
      <c r="F195" s="502"/>
      <c r="G195" s="502"/>
      <c r="H195" s="503"/>
      <c r="I195" s="502"/>
      <c r="J195" s="190"/>
    </row>
    <row r="196" spans="1:10" s="781" customFormat="1" ht="20.100000000000001" customHeight="1" x14ac:dyDescent="0.25">
      <c r="B196" s="504" t="s">
        <v>52</v>
      </c>
      <c r="D196" s="502"/>
      <c r="E196" s="502"/>
      <c r="F196" s="502"/>
      <c r="G196" s="502"/>
      <c r="H196" s="503"/>
      <c r="I196" s="502"/>
      <c r="J196" s="190"/>
    </row>
    <row r="197" spans="1:10" s="781" customFormat="1" ht="20.100000000000001" customHeight="1" x14ac:dyDescent="0.25">
      <c r="A197" s="134" t="s">
        <v>53</v>
      </c>
      <c r="B197" s="755" t="s">
        <v>1432</v>
      </c>
      <c r="C197" s="775">
        <v>73851.460000000006</v>
      </c>
      <c r="D197" s="780" t="s">
        <v>55</v>
      </c>
      <c r="E197" s="780" t="s">
        <v>1433</v>
      </c>
      <c r="F197" s="780"/>
      <c r="G197" s="780"/>
      <c r="H197" s="782"/>
      <c r="I197" s="780"/>
    </row>
    <row r="198" spans="1:10" s="825" customFormat="1" ht="20.100000000000001" customHeight="1" x14ac:dyDescent="0.3">
      <c r="A198" s="781"/>
      <c r="B198" s="781"/>
      <c r="C198" s="890">
        <f>SUM(C197:C197)</f>
        <v>73851.460000000006</v>
      </c>
      <c r="D198" s="797" t="s">
        <v>324</v>
      </c>
      <c r="E198" s="797"/>
      <c r="F198" s="781"/>
      <c r="G198" s="781"/>
      <c r="H198" s="781"/>
      <c r="I198" s="781"/>
      <c r="J198" s="781"/>
    </row>
    <row r="199" spans="1:10" s="825" customFormat="1" ht="21.75" customHeight="1" thickBot="1" x14ac:dyDescent="0.35">
      <c r="B199" s="826"/>
      <c r="C199" s="409">
        <f>SUM(C198)</f>
        <v>73851.460000000006</v>
      </c>
      <c r="D199" s="826"/>
      <c r="E199" s="826"/>
      <c r="F199" s="826"/>
      <c r="G199" s="826"/>
      <c r="H199" s="826"/>
      <c r="I199" s="826"/>
      <c r="J199" s="826"/>
    </row>
    <row r="200" spans="1:10" s="825" customFormat="1" ht="21.75" customHeight="1" thickTop="1" x14ac:dyDescent="0.3">
      <c r="B200" s="826"/>
      <c r="C200" s="826"/>
      <c r="D200" s="826"/>
      <c r="E200" s="826"/>
      <c r="F200" s="826"/>
      <c r="G200" s="826"/>
      <c r="H200" s="826"/>
      <c r="I200" s="826"/>
      <c r="J200" s="826"/>
    </row>
    <row r="201" spans="1:10" ht="20.100000000000001" customHeight="1" x14ac:dyDescent="0.3">
      <c r="B201" s="131"/>
      <c r="C201" s="131"/>
      <c r="D201" s="131"/>
      <c r="E201" s="131"/>
      <c r="F201" s="131"/>
      <c r="G201" s="131"/>
      <c r="H201" s="131"/>
      <c r="I201" s="131"/>
      <c r="J201" s="131"/>
    </row>
    <row r="202" spans="1:10" ht="20.100000000000001" customHeight="1" x14ac:dyDescent="0.3">
      <c r="B202" s="131"/>
      <c r="C202" s="131"/>
      <c r="D202" s="131"/>
      <c r="E202" s="131"/>
      <c r="F202" s="131"/>
      <c r="G202" s="131"/>
      <c r="H202" s="131"/>
      <c r="I202" s="131"/>
      <c r="J202" s="131"/>
    </row>
    <row r="203" spans="1:10" ht="20.100000000000001" customHeight="1" x14ac:dyDescent="0.3">
      <c r="B203" s="131"/>
      <c r="C203" s="131"/>
      <c r="D203" s="131"/>
      <c r="E203" s="131"/>
      <c r="F203" s="131"/>
      <c r="G203" s="131"/>
      <c r="H203" s="131"/>
      <c r="I203" s="131"/>
      <c r="J203" s="131"/>
    </row>
    <row r="204" spans="1:10" ht="20.100000000000001" customHeight="1" x14ac:dyDescent="0.3">
      <c r="B204" s="131"/>
      <c r="C204" s="131"/>
      <c r="D204" s="131"/>
      <c r="E204" s="131"/>
      <c r="F204" s="131"/>
      <c r="G204" s="131"/>
      <c r="H204" s="131"/>
      <c r="I204" s="131"/>
      <c r="J204" s="131"/>
    </row>
    <row r="205" spans="1:10" ht="20.100000000000001" customHeight="1" x14ac:dyDescent="0.3">
      <c r="B205" s="131"/>
      <c r="C205" s="131"/>
      <c r="D205" s="131"/>
      <c r="E205" s="131"/>
      <c r="F205" s="131"/>
      <c r="G205" s="131"/>
      <c r="H205" s="131"/>
      <c r="I205" s="131"/>
      <c r="J205" s="131"/>
    </row>
    <row r="206" spans="1:10" ht="20.100000000000001" customHeight="1" x14ac:dyDescent="0.3">
      <c r="B206" s="131"/>
      <c r="C206" s="131"/>
      <c r="D206" s="131"/>
      <c r="E206" s="131"/>
      <c r="F206" s="131"/>
      <c r="G206" s="131"/>
      <c r="H206" s="131"/>
      <c r="I206" s="131"/>
      <c r="J206" s="131"/>
    </row>
    <row r="207" spans="1:10" ht="20.100000000000001" customHeight="1" x14ac:dyDescent="0.3">
      <c r="B207" s="131"/>
      <c r="C207" s="131"/>
      <c r="D207" s="131"/>
      <c r="E207" s="131"/>
      <c r="F207" s="131"/>
      <c r="G207" s="131"/>
      <c r="H207" s="131"/>
      <c r="I207" s="131"/>
      <c r="J207" s="131"/>
    </row>
    <row r="208" spans="1:10" ht="20.100000000000001" customHeight="1" x14ac:dyDescent="0.3">
      <c r="B208" s="131"/>
      <c r="C208" s="131"/>
      <c r="D208" s="131"/>
      <c r="E208" s="131"/>
      <c r="F208" s="131"/>
      <c r="G208" s="131"/>
      <c r="H208" s="131"/>
      <c r="I208" s="131"/>
      <c r="J208" s="131"/>
    </row>
    <row r="209" spans="2:10" ht="20.100000000000001" customHeight="1" x14ac:dyDescent="0.3">
      <c r="B209" s="131"/>
      <c r="C209" s="131"/>
      <c r="D209" s="131"/>
      <c r="E209" s="131"/>
      <c r="F209" s="131"/>
      <c r="G209" s="131"/>
      <c r="H209" s="131"/>
      <c r="I209" s="131"/>
      <c r="J209" s="131"/>
    </row>
    <row r="210" spans="2:10" ht="20.100000000000001" customHeight="1" x14ac:dyDescent="0.3">
      <c r="B210" s="131"/>
      <c r="C210" s="131"/>
      <c r="D210" s="131"/>
      <c r="E210" s="131"/>
      <c r="F210" s="131"/>
      <c r="G210" s="131"/>
      <c r="H210" s="131"/>
      <c r="I210" s="131"/>
      <c r="J210" s="131"/>
    </row>
    <row r="211" spans="2:10" ht="20.100000000000001" customHeight="1" x14ac:dyDescent="0.3">
      <c r="B211" s="131"/>
      <c r="C211" s="131"/>
      <c r="D211" s="131"/>
      <c r="E211" s="131"/>
      <c r="F211" s="131"/>
      <c r="G211" s="131"/>
      <c r="H211" s="131"/>
      <c r="I211" s="131"/>
      <c r="J211" s="131"/>
    </row>
    <row r="212" spans="2:10" ht="20.100000000000001" customHeight="1" x14ac:dyDescent="0.3">
      <c r="B212" s="131"/>
      <c r="C212" s="131"/>
      <c r="D212" s="131"/>
      <c r="E212" s="131"/>
      <c r="F212" s="131"/>
      <c r="G212" s="131"/>
      <c r="H212" s="131"/>
      <c r="I212" s="131"/>
      <c r="J212" s="131"/>
    </row>
    <row r="213" spans="2:10" ht="20.100000000000001" customHeight="1" x14ac:dyDescent="0.3">
      <c r="B213" s="131"/>
      <c r="C213" s="131"/>
      <c r="D213" s="131"/>
      <c r="E213" s="131"/>
      <c r="F213" s="131"/>
      <c r="G213" s="131"/>
      <c r="H213" s="131"/>
      <c r="I213" s="131"/>
      <c r="J213" s="131"/>
    </row>
    <row r="214" spans="2:10" ht="20.100000000000001" customHeight="1" x14ac:dyDescent="0.3">
      <c r="B214" s="131"/>
      <c r="C214" s="131"/>
      <c r="D214" s="131"/>
      <c r="E214" s="131"/>
      <c r="F214" s="131"/>
      <c r="G214" s="131"/>
      <c r="H214" s="131"/>
      <c r="I214" s="131"/>
      <c r="J214" s="131"/>
    </row>
    <row r="215" spans="2:10" ht="20.100000000000001" customHeight="1" x14ac:dyDescent="0.3">
      <c r="B215" s="131"/>
      <c r="C215" s="131"/>
      <c r="D215" s="131"/>
      <c r="E215" s="131"/>
      <c r="F215" s="131"/>
      <c r="G215" s="131"/>
      <c r="H215" s="131"/>
      <c r="I215" s="131"/>
      <c r="J215" s="131"/>
    </row>
    <row r="216" spans="2:10" ht="20.100000000000001" customHeight="1" x14ac:dyDescent="0.3">
      <c r="B216" s="131"/>
      <c r="C216" s="131"/>
      <c r="D216" s="131"/>
      <c r="E216" s="131"/>
      <c r="F216" s="131"/>
      <c r="G216" s="131"/>
      <c r="H216" s="131"/>
      <c r="I216" s="131"/>
      <c r="J216" s="131"/>
    </row>
    <row r="217" spans="2:10" ht="20.100000000000001" customHeight="1" x14ac:dyDescent="0.3">
      <c r="B217" s="131"/>
      <c r="C217" s="131"/>
      <c r="D217" s="131"/>
      <c r="E217" s="131"/>
      <c r="F217" s="131"/>
      <c r="G217" s="131"/>
      <c r="H217" s="131"/>
      <c r="I217" s="131"/>
      <c r="J217" s="131"/>
    </row>
    <row r="218" spans="2:10" ht="20.100000000000001" customHeight="1" x14ac:dyDescent="0.3">
      <c r="B218" s="131"/>
      <c r="C218" s="131"/>
      <c r="D218" s="131"/>
      <c r="E218" s="131"/>
      <c r="F218" s="131"/>
      <c r="G218" s="131"/>
      <c r="H218" s="131"/>
      <c r="I218" s="131"/>
      <c r="J218" s="131"/>
    </row>
    <row r="219" spans="2:10" ht="20.100000000000001" customHeight="1" x14ac:dyDescent="0.3">
      <c r="B219" s="131"/>
      <c r="C219" s="131"/>
      <c r="D219" s="131"/>
      <c r="E219" s="131"/>
      <c r="F219" s="131"/>
      <c r="G219" s="131"/>
      <c r="H219" s="131"/>
      <c r="I219" s="131"/>
      <c r="J219" s="131"/>
    </row>
    <row r="220" spans="2:10" ht="20.100000000000001" customHeight="1" x14ac:dyDescent="0.3">
      <c r="B220" s="131"/>
      <c r="C220" s="131"/>
      <c r="D220" s="131"/>
      <c r="E220" s="131"/>
      <c r="F220" s="131"/>
      <c r="G220" s="131"/>
      <c r="H220" s="131"/>
      <c r="I220" s="131"/>
      <c r="J220" s="131"/>
    </row>
    <row r="221" spans="2:10" ht="20.100000000000001" customHeight="1" x14ac:dyDescent="0.3">
      <c r="B221" s="131"/>
      <c r="C221" s="131"/>
      <c r="D221" s="131"/>
      <c r="E221" s="131"/>
      <c r="F221" s="131"/>
      <c r="G221" s="131"/>
      <c r="H221" s="131"/>
      <c r="I221" s="131"/>
      <c r="J221" s="131"/>
    </row>
    <row r="222" spans="2:10" ht="20.100000000000001" customHeight="1" x14ac:dyDescent="0.3">
      <c r="B222" s="131"/>
      <c r="C222" s="131"/>
      <c r="D222" s="131"/>
      <c r="E222" s="131"/>
      <c r="F222" s="131"/>
      <c r="G222" s="131"/>
      <c r="H222" s="131"/>
      <c r="I222" s="131"/>
      <c r="J222" s="131"/>
    </row>
    <row r="223" spans="2:10" ht="20.100000000000001" customHeight="1" x14ac:dyDescent="0.3">
      <c r="B223" s="131"/>
      <c r="C223" s="131"/>
      <c r="D223" s="131"/>
      <c r="E223" s="131"/>
      <c r="F223" s="131"/>
      <c r="G223" s="131"/>
      <c r="H223" s="131"/>
      <c r="I223" s="131"/>
      <c r="J223" s="131"/>
    </row>
    <row r="224" spans="2:10" ht="20.100000000000001" customHeight="1" x14ac:dyDescent="0.3">
      <c r="B224" s="131"/>
      <c r="C224" s="131"/>
      <c r="D224" s="131"/>
      <c r="E224" s="131"/>
      <c r="F224" s="131"/>
      <c r="G224" s="131"/>
      <c r="H224" s="131"/>
      <c r="I224" s="131"/>
      <c r="J224" s="131"/>
    </row>
    <row r="225" spans="2:10" ht="20.100000000000001" customHeight="1" x14ac:dyDescent="0.3">
      <c r="B225" s="131"/>
      <c r="C225" s="131"/>
      <c r="D225" s="131"/>
      <c r="E225" s="131"/>
      <c r="F225" s="131"/>
      <c r="G225" s="131"/>
      <c r="H225" s="131"/>
      <c r="I225" s="131"/>
      <c r="J225" s="131"/>
    </row>
    <row r="226" spans="2:10" ht="20.100000000000001" customHeight="1" x14ac:dyDescent="0.3">
      <c r="B226" s="131"/>
      <c r="C226" s="131"/>
      <c r="D226" s="131"/>
      <c r="E226" s="131"/>
      <c r="F226" s="131"/>
      <c r="G226" s="131"/>
      <c r="H226" s="131"/>
      <c r="I226" s="131"/>
      <c r="J226" s="131"/>
    </row>
    <row r="227" spans="2:10" ht="20.100000000000001" customHeight="1" x14ac:dyDescent="0.3">
      <c r="B227" s="131"/>
      <c r="C227" s="131"/>
      <c r="D227" s="131"/>
      <c r="E227" s="131"/>
      <c r="F227" s="131"/>
      <c r="G227" s="131"/>
      <c r="H227" s="131"/>
      <c r="I227" s="131"/>
      <c r="J227" s="131"/>
    </row>
    <row r="228" spans="2:10" ht="20.100000000000001" customHeight="1" x14ac:dyDescent="0.3">
      <c r="B228" s="131"/>
      <c r="C228" s="131"/>
      <c r="D228" s="131"/>
      <c r="E228" s="131"/>
      <c r="F228" s="131"/>
      <c r="G228" s="131"/>
      <c r="H228" s="131"/>
      <c r="I228" s="131"/>
      <c r="J228" s="131"/>
    </row>
    <row r="229" spans="2:10" ht="20.100000000000001" customHeight="1" x14ac:dyDescent="0.3">
      <c r="B229" s="131"/>
      <c r="C229" s="131"/>
      <c r="D229" s="131"/>
      <c r="E229" s="131"/>
      <c r="F229" s="131"/>
      <c r="G229" s="131"/>
      <c r="H229" s="131"/>
      <c r="I229" s="131"/>
      <c r="J229" s="131"/>
    </row>
    <row r="230" spans="2:10" ht="20.100000000000001" customHeight="1" x14ac:dyDescent="0.3">
      <c r="B230" s="131"/>
      <c r="C230" s="131"/>
      <c r="D230" s="131"/>
      <c r="E230" s="131"/>
      <c r="F230" s="131"/>
      <c r="G230" s="131"/>
      <c r="H230" s="131"/>
      <c r="I230" s="131"/>
      <c r="J230" s="131"/>
    </row>
    <row r="231" spans="2:10" ht="20.100000000000001" customHeight="1" x14ac:dyDescent="0.3">
      <c r="B231" s="131"/>
      <c r="C231" s="131"/>
      <c r="D231" s="131"/>
      <c r="E231" s="131"/>
      <c r="F231" s="131"/>
      <c r="G231" s="131"/>
      <c r="H231" s="131"/>
      <c r="I231" s="131"/>
      <c r="J231" s="131"/>
    </row>
    <row r="232" spans="2:10" ht="20.100000000000001" customHeight="1" x14ac:dyDescent="0.3">
      <c r="B232" s="131"/>
      <c r="C232" s="131"/>
      <c r="D232" s="131"/>
      <c r="E232" s="131"/>
      <c r="F232" s="131"/>
      <c r="G232" s="131"/>
      <c r="H232" s="131"/>
      <c r="I232" s="131"/>
      <c r="J232" s="131"/>
    </row>
    <row r="233" spans="2:10" ht="20.100000000000001" customHeight="1" x14ac:dyDescent="0.3">
      <c r="B233" s="131"/>
      <c r="C233" s="131"/>
      <c r="D233" s="131"/>
      <c r="E233" s="131"/>
      <c r="F233" s="131"/>
      <c r="G233" s="131"/>
      <c r="H233" s="131"/>
      <c r="I233" s="131"/>
      <c r="J233" s="131"/>
    </row>
    <row r="234" spans="2:10" ht="20.100000000000001" customHeight="1" x14ac:dyDescent="0.3">
      <c r="B234" s="131"/>
      <c r="C234" s="131"/>
      <c r="D234" s="131"/>
      <c r="E234" s="131"/>
      <c r="F234" s="131"/>
      <c r="G234" s="131"/>
      <c r="H234" s="131"/>
      <c r="I234" s="131"/>
      <c r="J234" s="131"/>
    </row>
    <row r="235" spans="2:10" ht="20.100000000000001" customHeight="1" x14ac:dyDescent="0.3">
      <c r="B235" s="131"/>
      <c r="C235" s="131"/>
      <c r="D235" s="131"/>
      <c r="E235" s="131"/>
      <c r="F235" s="131"/>
      <c r="G235" s="131"/>
      <c r="H235" s="131"/>
      <c r="I235" s="131"/>
      <c r="J235" s="131"/>
    </row>
    <row r="236" spans="2:10" ht="20.100000000000001" customHeight="1" x14ac:dyDescent="0.3">
      <c r="B236" s="131"/>
      <c r="C236" s="131"/>
      <c r="D236" s="131"/>
      <c r="E236" s="131"/>
      <c r="F236" s="131"/>
      <c r="G236" s="131"/>
      <c r="H236" s="131"/>
      <c r="I236" s="131"/>
      <c r="J236" s="131"/>
    </row>
    <row r="237" spans="2:10" ht="20.100000000000001" customHeight="1" x14ac:dyDescent="0.3">
      <c r="B237" s="131"/>
      <c r="C237" s="131"/>
      <c r="D237" s="131"/>
      <c r="E237" s="131"/>
      <c r="F237" s="131"/>
      <c r="G237" s="131"/>
      <c r="H237" s="131"/>
      <c r="I237" s="131"/>
      <c r="J237" s="131"/>
    </row>
    <row r="238" spans="2:10" ht="20.100000000000001" customHeight="1" x14ac:dyDescent="0.3">
      <c r="B238" s="131"/>
      <c r="C238" s="131"/>
      <c r="D238" s="131"/>
      <c r="E238" s="131"/>
      <c r="F238" s="131"/>
      <c r="G238" s="131"/>
      <c r="H238" s="131"/>
      <c r="I238" s="131"/>
      <c r="J238" s="131"/>
    </row>
    <row r="239" spans="2:10" ht="20.100000000000001" customHeight="1" x14ac:dyDescent="0.3">
      <c r="B239" s="131"/>
      <c r="C239" s="131"/>
      <c r="D239" s="131"/>
      <c r="E239" s="131"/>
      <c r="F239" s="131"/>
      <c r="G239" s="131"/>
      <c r="H239" s="131"/>
      <c r="I239" s="131"/>
      <c r="J239" s="131"/>
    </row>
    <row r="240" spans="2:10" ht="20.100000000000001" customHeight="1" x14ac:dyDescent="0.3">
      <c r="B240" s="131"/>
      <c r="C240" s="131"/>
      <c r="D240" s="131"/>
      <c r="E240" s="131"/>
      <c r="F240" s="131"/>
      <c r="G240" s="131"/>
      <c r="H240" s="131"/>
      <c r="I240" s="131"/>
      <c r="J240" s="131"/>
    </row>
    <row r="241" spans="2:10" ht="20.100000000000001" customHeight="1" x14ac:dyDescent="0.3">
      <c r="B241" s="131"/>
      <c r="C241" s="131"/>
      <c r="D241" s="131"/>
      <c r="E241" s="131"/>
      <c r="F241" s="131"/>
      <c r="G241" s="131"/>
      <c r="H241" s="131"/>
      <c r="I241" s="131"/>
      <c r="J241" s="131"/>
    </row>
    <row r="242" spans="2:10" ht="20.100000000000001" customHeight="1" x14ac:dyDescent="0.3">
      <c r="B242" s="131"/>
      <c r="C242" s="131"/>
      <c r="D242" s="131"/>
      <c r="E242" s="131"/>
      <c r="F242" s="131"/>
      <c r="G242" s="131"/>
      <c r="H242" s="131"/>
      <c r="I242" s="131"/>
      <c r="J242" s="131"/>
    </row>
    <row r="243" spans="2:10" ht="20.100000000000001" customHeight="1" x14ac:dyDescent="0.3">
      <c r="B243" s="131"/>
      <c r="C243" s="131"/>
      <c r="D243" s="131"/>
      <c r="E243" s="131"/>
      <c r="F243" s="131"/>
      <c r="G243" s="131"/>
      <c r="H243" s="131"/>
      <c r="I243" s="131"/>
      <c r="J243" s="131"/>
    </row>
    <row r="244" spans="2:10" ht="20.100000000000001" customHeight="1" x14ac:dyDescent="0.3">
      <c r="B244" s="131"/>
      <c r="C244" s="131"/>
      <c r="D244" s="131"/>
      <c r="E244" s="131"/>
      <c r="F244" s="131"/>
      <c r="G244" s="131"/>
      <c r="H244" s="131"/>
      <c r="I244" s="131"/>
      <c r="J244" s="131"/>
    </row>
    <row r="245" spans="2:10" ht="20.100000000000001" customHeight="1" x14ac:dyDescent="0.3">
      <c r="B245" s="131"/>
      <c r="C245" s="131"/>
      <c r="D245" s="131"/>
      <c r="E245" s="131"/>
      <c r="F245" s="131"/>
      <c r="G245" s="131"/>
      <c r="H245" s="131"/>
      <c r="I245" s="131"/>
      <c r="J245" s="131"/>
    </row>
    <row r="246" spans="2:10" ht="20.100000000000001" customHeight="1" x14ac:dyDescent="0.3">
      <c r="B246" s="131"/>
      <c r="C246" s="131"/>
      <c r="D246" s="131"/>
      <c r="E246" s="131"/>
      <c r="F246" s="131"/>
      <c r="G246" s="131"/>
      <c r="H246" s="131"/>
      <c r="I246" s="131"/>
      <c r="J246" s="131"/>
    </row>
    <row r="247" spans="2:10" ht="20.100000000000001" customHeight="1" x14ac:dyDescent="0.3">
      <c r="B247" s="131"/>
      <c r="C247" s="131"/>
      <c r="D247" s="131"/>
      <c r="E247" s="131"/>
      <c r="F247" s="131"/>
      <c r="G247" s="131"/>
      <c r="H247" s="131"/>
      <c r="I247" s="131"/>
      <c r="J247" s="131"/>
    </row>
    <row r="248" spans="2:10" ht="20.100000000000001" customHeight="1" x14ac:dyDescent="0.3">
      <c r="B248" s="131"/>
      <c r="C248" s="131"/>
      <c r="D248" s="131"/>
      <c r="E248" s="131"/>
      <c r="F248" s="131"/>
      <c r="G248" s="131"/>
      <c r="H248" s="131"/>
      <c r="I248" s="131"/>
      <c r="J248" s="131"/>
    </row>
    <row r="249" spans="2:10" ht="20.100000000000001" customHeight="1" x14ac:dyDescent="0.3">
      <c r="B249" s="131"/>
      <c r="C249" s="131"/>
      <c r="D249" s="131"/>
      <c r="E249" s="131"/>
      <c r="F249" s="131"/>
      <c r="G249" s="131"/>
      <c r="H249" s="131"/>
      <c r="I249" s="131"/>
      <c r="J249" s="131"/>
    </row>
    <row r="250" spans="2:10" ht="20.100000000000001" customHeight="1" x14ac:dyDescent="0.3">
      <c r="B250" s="131"/>
      <c r="C250" s="131"/>
      <c r="D250" s="131"/>
      <c r="E250" s="131"/>
      <c r="F250" s="131"/>
      <c r="G250" s="131"/>
      <c r="H250" s="131"/>
      <c r="I250" s="131"/>
      <c r="J250" s="131"/>
    </row>
    <row r="251" spans="2:10" ht="20.100000000000001" customHeight="1" x14ac:dyDescent="0.3">
      <c r="B251" s="131"/>
      <c r="C251" s="131"/>
      <c r="D251" s="131"/>
      <c r="E251" s="131"/>
      <c r="F251" s="131"/>
      <c r="G251" s="131"/>
      <c r="H251" s="131"/>
      <c r="I251" s="131"/>
      <c r="J251" s="131"/>
    </row>
    <row r="252" spans="2:10" ht="20.100000000000001" customHeight="1" x14ac:dyDescent="0.3">
      <c r="B252" s="131"/>
      <c r="C252" s="131"/>
      <c r="D252" s="131"/>
      <c r="E252" s="131"/>
      <c r="F252" s="131"/>
      <c r="G252" s="131"/>
      <c r="H252" s="131"/>
      <c r="I252" s="131"/>
      <c r="J252" s="131"/>
    </row>
    <row r="253" spans="2:10" ht="20.100000000000001" customHeight="1" x14ac:dyDescent="0.3">
      <c r="B253" s="131"/>
      <c r="C253" s="131"/>
      <c r="D253" s="131"/>
      <c r="E253" s="131"/>
      <c r="F253" s="131"/>
      <c r="G253" s="131"/>
      <c r="H253" s="131"/>
      <c r="I253" s="131"/>
      <c r="J253" s="131"/>
    </row>
    <row r="254" spans="2:10" ht="20.100000000000001" customHeight="1" x14ac:dyDescent="0.3">
      <c r="B254" s="131"/>
      <c r="C254" s="131"/>
      <c r="D254" s="131"/>
      <c r="E254" s="131"/>
      <c r="F254" s="131"/>
      <c r="G254" s="131"/>
      <c r="H254" s="131"/>
      <c r="I254" s="131"/>
      <c r="J254" s="131"/>
    </row>
    <row r="255" spans="2:10" ht="20.100000000000001" customHeight="1" x14ac:dyDescent="0.3">
      <c r="B255" s="131"/>
      <c r="C255" s="131"/>
      <c r="D255" s="131"/>
      <c r="E255" s="131"/>
      <c r="F255" s="131"/>
      <c r="G255" s="131"/>
      <c r="H255" s="131"/>
      <c r="I255" s="131"/>
      <c r="J255" s="131"/>
    </row>
    <row r="256" spans="2:10" ht="20.100000000000001" customHeight="1" x14ac:dyDescent="0.3">
      <c r="B256" s="131"/>
      <c r="C256" s="131"/>
      <c r="D256" s="131"/>
      <c r="E256" s="131"/>
      <c r="F256" s="131"/>
      <c r="G256" s="131"/>
      <c r="H256" s="131"/>
      <c r="I256" s="131"/>
      <c r="J256" s="131"/>
    </row>
    <row r="257" spans="2:10" ht="20.100000000000001" customHeight="1" x14ac:dyDescent="0.3">
      <c r="B257" s="131"/>
      <c r="C257" s="131"/>
      <c r="D257" s="131"/>
      <c r="E257" s="131"/>
      <c r="F257" s="131"/>
      <c r="G257" s="131"/>
      <c r="H257" s="131"/>
      <c r="I257" s="131"/>
      <c r="J257" s="131"/>
    </row>
    <row r="258" spans="2:10" ht="20.100000000000001" customHeight="1" x14ac:dyDescent="0.3">
      <c r="B258" s="131"/>
      <c r="C258" s="131"/>
      <c r="D258" s="131"/>
      <c r="E258" s="131"/>
      <c r="F258" s="131"/>
      <c r="G258" s="131"/>
      <c r="H258" s="131"/>
      <c r="I258" s="131"/>
      <c r="J258" s="131"/>
    </row>
    <row r="259" spans="2:10" ht="20.100000000000001" customHeight="1" x14ac:dyDescent="0.3">
      <c r="B259" s="131"/>
      <c r="C259" s="131"/>
      <c r="D259" s="131"/>
      <c r="E259" s="131"/>
      <c r="F259" s="131"/>
      <c r="G259" s="131"/>
      <c r="H259" s="131"/>
      <c r="I259" s="131"/>
      <c r="J259" s="131"/>
    </row>
    <row r="260" spans="2:10" ht="20.100000000000001" customHeight="1" x14ac:dyDescent="0.3">
      <c r="B260" s="131"/>
      <c r="C260" s="131"/>
      <c r="D260" s="131"/>
      <c r="E260" s="131"/>
      <c r="F260" s="131"/>
      <c r="G260" s="131"/>
      <c r="H260" s="131"/>
      <c r="I260" s="131"/>
      <c r="J260" s="131"/>
    </row>
    <row r="261" spans="2:10" ht="20.100000000000001" customHeight="1" x14ac:dyDescent="0.3">
      <c r="B261" s="131"/>
      <c r="C261" s="131"/>
      <c r="D261" s="131"/>
      <c r="E261" s="131"/>
      <c r="F261" s="131"/>
      <c r="G261" s="131"/>
      <c r="H261" s="131"/>
      <c r="I261" s="131"/>
      <c r="J261" s="131"/>
    </row>
    <row r="262" spans="2:10" ht="20.100000000000001" customHeight="1" x14ac:dyDescent="0.3">
      <c r="B262" s="131"/>
      <c r="C262" s="131"/>
      <c r="D262" s="131"/>
      <c r="E262" s="131"/>
      <c r="F262" s="131"/>
      <c r="G262" s="131"/>
      <c r="H262" s="131"/>
      <c r="I262" s="131"/>
      <c r="J262" s="131"/>
    </row>
    <row r="263" spans="2:10" ht="20.100000000000001" customHeight="1" x14ac:dyDescent="0.3">
      <c r="B263" s="131"/>
      <c r="C263" s="131"/>
      <c r="D263" s="131"/>
      <c r="E263" s="131"/>
      <c r="F263" s="131"/>
      <c r="G263" s="131"/>
      <c r="H263" s="131"/>
      <c r="I263" s="131"/>
      <c r="J263" s="131"/>
    </row>
    <row r="264" spans="2:10" ht="20.100000000000001" customHeight="1" x14ac:dyDescent="0.3">
      <c r="B264" s="131"/>
      <c r="C264" s="131"/>
      <c r="D264" s="131"/>
      <c r="E264" s="131"/>
      <c r="F264" s="131"/>
      <c r="G264" s="131"/>
      <c r="H264" s="131"/>
      <c r="I264" s="131"/>
      <c r="J264" s="131"/>
    </row>
    <row r="265" spans="2:10" ht="20.100000000000001" customHeight="1" x14ac:dyDescent="0.3">
      <c r="B265" s="131"/>
      <c r="C265" s="131"/>
      <c r="D265" s="131"/>
      <c r="E265" s="131"/>
      <c r="F265" s="131"/>
      <c r="G265" s="131"/>
      <c r="H265" s="131"/>
      <c r="I265" s="131"/>
      <c r="J265" s="131"/>
    </row>
    <row r="266" spans="2:10" ht="20.100000000000001" customHeight="1" x14ac:dyDescent="0.3">
      <c r="B266" s="131"/>
      <c r="C266" s="131"/>
      <c r="D266" s="131"/>
      <c r="E266" s="131"/>
      <c r="F266" s="131"/>
      <c r="G266" s="131"/>
      <c r="H266" s="131"/>
      <c r="I266" s="131"/>
      <c r="J266" s="131"/>
    </row>
    <row r="267" spans="2:10" ht="20.100000000000001" customHeight="1" x14ac:dyDescent="0.3">
      <c r="B267" s="131"/>
      <c r="C267" s="131"/>
      <c r="D267" s="131"/>
      <c r="E267" s="131"/>
      <c r="F267" s="131"/>
      <c r="G267" s="131"/>
      <c r="H267" s="131"/>
      <c r="I267" s="131"/>
      <c r="J267" s="131"/>
    </row>
    <row r="268" spans="2:10" ht="20.100000000000001" customHeight="1" x14ac:dyDescent="0.3">
      <c r="B268" s="131"/>
      <c r="C268" s="131"/>
      <c r="D268" s="131"/>
      <c r="E268" s="131"/>
      <c r="F268" s="131"/>
      <c r="G268" s="131"/>
      <c r="H268" s="131"/>
      <c r="I268" s="131"/>
      <c r="J268" s="131"/>
    </row>
    <row r="269" spans="2:10" ht="20.100000000000001" customHeight="1" x14ac:dyDescent="0.3">
      <c r="B269" s="131"/>
      <c r="C269" s="131"/>
      <c r="D269" s="131"/>
      <c r="E269" s="131"/>
      <c r="F269" s="131"/>
      <c r="G269" s="131"/>
      <c r="H269" s="131"/>
      <c r="I269" s="131"/>
      <c r="J269" s="131"/>
    </row>
    <row r="270" spans="2:10" ht="20.100000000000001" customHeight="1" x14ac:dyDescent="0.3">
      <c r="B270" s="131"/>
      <c r="C270" s="131"/>
      <c r="D270" s="131"/>
      <c r="E270" s="131"/>
      <c r="F270" s="131"/>
      <c r="G270" s="131"/>
      <c r="H270" s="131"/>
      <c r="I270" s="131"/>
      <c r="J270" s="131"/>
    </row>
    <row r="271" spans="2:10" ht="20.100000000000001" customHeight="1" x14ac:dyDescent="0.3">
      <c r="B271" s="131"/>
      <c r="C271" s="131"/>
      <c r="D271" s="131"/>
      <c r="E271" s="131"/>
      <c r="F271" s="131"/>
      <c r="G271" s="131"/>
      <c r="H271" s="131"/>
      <c r="I271" s="131"/>
      <c r="J271" s="131"/>
    </row>
    <row r="272" spans="2:10" ht="20.100000000000001" customHeight="1" x14ac:dyDescent="0.3">
      <c r="B272" s="131"/>
      <c r="C272" s="131"/>
      <c r="D272" s="131"/>
      <c r="E272" s="131"/>
      <c r="F272" s="131"/>
      <c r="G272" s="131"/>
      <c r="H272" s="131"/>
      <c r="I272" s="131"/>
      <c r="J272" s="131"/>
    </row>
    <row r="273" spans="2:10" ht="20.100000000000001" customHeight="1" x14ac:dyDescent="0.3">
      <c r="B273" s="131"/>
      <c r="C273" s="131"/>
      <c r="D273" s="131"/>
      <c r="E273" s="131"/>
      <c r="F273" s="131"/>
      <c r="G273" s="131"/>
      <c r="H273" s="131"/>
      <c r="I273" s="131"/>
      <c r="J273" s="131"/>
    </row>
    <row r="274" spans="2:10" ht="20.100000000000001" customHeight="1" x14ac:dyDescent="0.3">
      <c r="B274" s="131"/>
      <c r="C274" s="131"/>
      <c r="D274" s="131"/>
      <c r="E274" s="131"/>
      <c r="F274" s="131"/>
      <c r="G274" s="131"/>
      <c r="H274" s="131"/>
      <c r="I274" s="131"/>
      <c r="J274" s="131"/>
    </row>
    <row r="275" spans="2:10" ht="20.100000000000001" customHeight="1" x14ac:dyDescent="0.3">
      <c r="B275" s="131"/>
      <c r="C275" s="131"/>
      <c r="D275" s="131"/>
      <c r="E275" s="131"/>
      <c r="F275" s="131"/>
      <c r="G275" s="131"/>
      <c r="H275" s="131"/>
      <c r="I275" s="131"/>
      <c r="J275" s="131"/>
    </row>
  </sheetData>
  <mergeCells count="12">
    <mergeCell ref="A185:J186"/>
    <mergeCell ref="A82:J83"/>
    <mergeCell ref="A1:J2"/>
    <mergeCell ref="A17:J18"/>
    <mergeCell ref="A33:J34"/>
    <mergeCell ref="A49:J50"/>
    <mergeCell ref="A65:J66"/>
    <mergeCell ref="A166:J167"/>
    <mergeCell ref="A150:J151"/>
    <mergeCell ref="A133:J134"/>
    <mergeCell ref="A116:J117"/>
    <mergeCell ref="A99:J100"/>
  </mergeCells>
  <printOptions horizontalCentered="1"/>
  <pageMargins left="0.3" right="0.3" top="0.7" bottom="0.7" header="0.3" footer="0.3"/>
  <pageSetup scale="61" fitToHeight="0" orientation="landscape" r:id="rId1"/>
  <headerFooter>
    <oddHeader>&amp;F</oddHeader>
    <oddFooter>&amp;A&amp;RPage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37"/>
  <sheetViews>
    <sheetView topLeftCell="A220" zoomScaleNormal="100" workbookViewId="0">
      <selection activeCell="I224" sqref="I224"/>
    </sheetView>
  </sheetViews>
  <sheetFormatPr defaultRowHeight="20.100000000000001" customHeight="1" x14ac:dyDescent="0.3"/>
  <cols>
    <col min="1" max="1" width="20" style="801" customWidth="1"/>
    <col min="2" max="2" width="26.28515625" style="801" customWidth="1"/>
    <col min="3" max="10" width="20.7109375" style="801" customWidth="1"/>
    <col min="11" max="16384" width="9.140625" style="801"/>
  </cols>
  <sheetData>
    <row r="1" spans="1:10" s="330" customFormat="1" ht="20.100000000000001" customHeight="1" x14ac:dyDescent="0.25">
      <c r="A1" s="899" t="s">
        <v>180</v>
      </c>
      <c r="B1" s="899"/>
      <c r="C1" s="899"/>
      <c r="D1" s="899"/>
      <c r="E1" s="899"/>
      <c r="F1" s="899"/>
      <c r="G1" s="899"/>
      <c r="H1" s="899"/>
      <c r="I1" s="899"/>
      <c r="J1" s="899"/>
    </row>
    <row r="2" spans="1:10" s="781" customFormat="1" ht="20.100000000000001" customHeight="1" thickBot="1" x14ac:dyDescent="0.3">
      <c r="A2" s="900"/>
      <c r="B2" s="900"/>
      <c r="C2" s="900"/>
      <c r="D2" s="900"/>
      <c r="E2" s="900"/>
      <c r="F2" s="900"/>
      <c r="G2" s="900"/>
      <c r="H2" s="900"/>
      <c r="I2" s="900"/>
      <c r="J2" s="900"/>
    </row>
    <row r="3" spans="1:10" s="781" customFormat="1" ht="50.25" thickBot="1" x14ac:dyDescent="0.3">
      <c r="A3" s="783" t="s">
        <v>181</v>
      </c>
      <c r="B3" s="784" t="s">
        <v>14</v>
      </c>
      <c r="C3" s="785" t="s">
        <v>182</v>
      </c>
      <c r="D3" s="785" t="s">
        <v>17</v>
      </c>
      <c r="E3" s="785" t="s">
        <v>18</v>
      </c>
      <c r="F3" s="784" t="s">
        <v>183</v>
      </c>
      <c r="G3" s="752" t="s">
        <v>20</v>
      </c>
      <c r="H3" s="752" t="s">
        <v>174</v>
      </c>
      <c r="I3" s="784" t="s">
        <v>61</v>
      </c>
      <c r="J3" s="784" t="s">
        <v>46</v>
      </c>
    </row>
    <row r="4" spans="1:10" s="781" customFormat="1" ht="20.100000000000001" customHeight="1" x14ac:dyDescent="0.25">
      <c r="A4" s="786" t="s">
        <v>47</v>
      </c>
      <c r="B4" s="787">
        <f>SUM('[1]ปี 63'!I215)</f>
        <v>1580915.0599999586</v>
      </c>
      <c r="C4" s="787">
        <f>4799872.16+2183051.1</f>
        <v>6982923.2599999998</v>
      </c>
      <c r="D4" s="788">
        <v>3373955.19</v>
      </c>
      <c r="E4" s="788">
        <f>854225.44+6066.55</f>
        <v>860291.99</v>
      </c>
      <c r="F4" s="787">
        <f>B4+C4-D4-E4</f>
        <v>4329591.1399999596</v>
      </c>
      <c r="G4" s="789">
        <v>2078353.41</v>
      </c>
      <c r="H4" s="789">
        <f>G4/F4*100</f>
        <v>48.00345674210751</v>
      </c>
      <c r="I4" s="788">
        <f>F4-G4</f>
        <v>2251237.7299999595</v>
      </c>
      <c r="J4" s="788">
        <f>I4/F4*100</f>
        <v>51.99654325789249</v>
      </c>
    </row>
    <row r="5" spans="1:10" s="781" customFormat="1" ht="20.100000000000001" customHeight="1" thickBot="1" x14ac:dyDescent="0.3">
      <c r="A5" s="763" t="s">
        <v>36</v>
      </c>
      <c r="B5" s="764">
        <f t="shared" ref="B5:G5" si="0">SUM(B4:B4)</f>
        <v>1580915.0599999586</v>
      </c>
      <c r="C5" s="764">
        <f t="shared" si="0"/>
        <v>6982923.2599999998</v>
      </c>
      <c r="D5" s="765">
        <f t="shared" si="0"/>
        <v>3373955.19</v>
      </c>
      <c r="E5" s="765">
        <f t="shared" si="0"/>
        <v>860291.99</v>
      </c>
      <c r="F5" s="764">
        <f t="shared" si="0"/>
        <v>4329591.1399999596</v>
      </c>
      <c r="G5" s="766">
        <f t="shared" si="0"/>
        <v>2078353.41</v>
      </c>
      <c r="H5" s="766">
        <f>(G5/F5)*100</f>
        <v>48.00345674210751</v>
      </c>
      <c r="I5" s="765">
        <f>SUM(I4:I4)</f>
        <v>2251237.7299999595</v>
      </c>
      <c r="J5" s="765">
        <f>I5/F5*100</f>
        <v>51.99654325789249</v>
      </c>
    </row>
    <row r="6" spans="1:10" s="781" customFormat="1" ht="20.100000000000001" customHeight="1" thickTop="1" x14ac:dyDescent="0.25">
      <c r="A6" s="793"/>
      <c r="B6" s="794"/>
      <c r="C6" s="794"/>
      <c r="D6" s="362"/>
      <c r="E6" s="362"/>
      <c r="F6" s="794"/>
      <c r="G6" s="365"/>
      <c r="H6" s="365"/>
      <c r="I6" s="362"/>
      <c r="J6" s="362"/>
    </row>
    <row r="7" spans="1:10" s="781" customFormat="1" ht="20.100000000000001" customHeight="1" x14ac:dyDescent="0.25">
      <c r="A7" s="767" t="s">
        <v>37</v>
      </c>
      <c r="B7" s="33"/>
      <c r="C7" s="780"/>
      <c r="D7" s="780"/>
      <c r="E7" s="780"/>
      <c r="F7" s="780"/>
      <c r="G7" s="797"/>
      <c r="H7" s="797"/>
      <c r="I7" s="782"/>
    </row>
    <row r="8" spans="1:10" s="781" customFormat="1" ht="20.100000000000001" customHeight="1" x14ac:dyDescent="0.25">
      <c r="A8" s="31" t="s">
        <v>176</v>
      </c>
      <c r="B8" s="781" t="s">
        <v>184</v>
      </c>
      <c r="C8" s="797">
        <v>2051.9899999999998</v>
      </c>
      <c r="D8" s="780" t="s">
        <v>136</v>
      </c>
      <c r="E8" s="797" t="s">
        <v>185</v>
      </c>
      <c r="F8" s="780"/>
      <c r="G8" s="797"/>
      <c r="H8" s="797"/>
      <c r="I8" s="782"/>
    </row>
    <row r="9" spans="1:10" s="781" customFormat="1" ht="20.100000000000001" customHeight="1" x14ac:dyDescent="0.25">
      <c r="A9" s="31"/>
      <c r="B9" s="781" t="s">
        <v>186</v>
      </c>
      <c r="C9" s="797">
        <v>3604.15</v>
      </c>
      <c r="D9" s="780" t="s">
        <v>136</v>
      </c>
      <c r="E9" s="797" t="s">
        <v>187</v>
      </c>
      <c r="F9" s="780"/>
      <c r="G9" s="797"/>
      <c r="H9" s="797"/>
      <c r="I9" s="782"/>
    </row>
    <row r="10" spans="1:10" s="781" customFormat="1" ht="20.100000000000001" customHeight="1" x14ac:dyDescent="0.25">
      <c r="A10" s="768"/>
      <c r="B10" s="781" t="s">
        <v>188</v>
      </c>
      <c r="C10" s="797">
        <v>1064.9000000000001</v>
      </c>
      <c r="D10" s="780" t="s">
        <v>136</v>
      </c>
      <c r="E10" s="780" t="s">
        <v>189</v>
      </c>
      <c r="F10" s="780"/>
      <c r="G10" s="797"/>
      <c r="H10" s="797"/>
      <c r="I10" s="782"/>
    </row>
    <row r="11" spans="1:10" s="781" customFormat="1" ht="20.100000000000001" customHeight="1" x14ac:dyDescent="0.25">
      <c r="A11" s="768"/>
      <c r="B11" s="781" t="s">
        <v>190</v>
      </c>
      <c r="C11" s="797">
        <v>2055.0700000000002</v>
      </c>
      <c r="D11" s="780" t="s">
        <v>136</v>
      </c>
      <c r="E11" s="780" t="s">
        <v>187</v>
      </c>
      <c r="F11" s="780"/>
      <c r="G11" s="797"/>
      <c r="H11" s="797"/>
      <c r="I11" s="782"/>
    </row>
    <row r="12" spans="1:10" s="781" customFormat="1" ht="20.100000000000001" customHeight="1" x14ac:dyDescent="0.25">
      <c r="A12" s="768"/>
      <c r="B12" s="781" t="s">
        <v>191</v>
      </c>
      <c r="C12" s="797">
        <v>7050.58</v>
      </c>
      <c r="D12" s="780" t="s">
        <v>136</v>
      </c>
      <c r="E12" s="780" t="s">
        <v>187</v>
      </c>
      <c r="F12" s="780"/>
      <c r="G12" s="797"/>
      <c r="H12" s="797"/>
      <c r="I12" s="782"/>
    </row>
    <row r="13" spans="1:10" s="781" customFormat="1" ht="20.100000000000001" customHeight="1" x14ac:dyDescent="0.25">
      <c r="A13" s="768"/>
      <c r="B13" s="781" t="s">
        <v>192</v>
      </c>
      <c r="C13" s="797">
        <v>4695.5</v>
      </c>
      <c r="D13" s="780" t="s">
        <v>136</v>
      </c>
      <c r="E13" s="780" t="s">
        <v>193</v>
      </c>
      <c r="F13" s="780"/>
      <c r="G13" s="797"/>
      <c r="H13" s="797"/>
      <c r="I13" s="782"/>
    </row>
    <row r="14" spans="1:10" s="781" customFormat="1" ht="20.100000000000001" customHeight="1" x14ac:dyDescent="0.25">
      <c r="A14" s="768"/>
      <c r="B14" s="781" t="s">
        <v>194</v>
      </c>
      <c r="C14" s="797">
        <v>4575.13</v>
      </c>
      <c r="D14" s="780" t="s">
        <v>136</v>
      </c>
      <c r="E14" s="780" t="s">
        <v>177</v>
      </c>
      <c r="F14" s="780"/>
      <c r="G14" s="797"/>
      <c r="H14" s="797"/>
      <c r="I14" s="782"/>
    </row>
    <row r="15" spans="1:10" s="781" customFormat="1" ht="20.100000000000001" customHeight="1" x14ac:dyDescent="0.25">
      <c r="A15" s="768"/>
      <c r="B15" s="781" t="s">
        <v>195</v>
      </c>
      <c r="C15" s="797">
        <v>46075.260000000009</v>
      </c>
      <c r="D15" s="780" t="s">
        <v>136</v>
      </c>
      <c r="E15" s="780" t="s">
        <v>196</v>
      </c>
      <c r="F15" s="780"/>
      <c r="G15" s="797"/>
      <c r="H15" s="797"/>
      <c r="I15" s="782"/>
    </row>
    <row r="16" spans="1:10" s="781" customFormat="1" ht="20.100000000000001" customHeight="1" x14ac:dyDescent="0.25">
      <c r="A16" s="768"/>
      <c r="B16" s="781" t="s">
        <v>197</v>
      </c>
      <c r="C16" s="797">
        <v>2180065.1500000008</v>
      </c>
      <c r="D16" s="780" t="s">
        <v>136</v>
      </c>
      <c r="E16" s="780" t="s">
        <v>198</v>
      </c>
      <c r="F16" s="780"/>
      <c r="G16" s="797"/>
      <c r="H16" s="797"/>
      <c r="I16" s="782"/>
    </row>
    <row r="17" spans="1:10" s="781" customFormat="1" ht="20.100000000000001" customHeight="1" thickBot="1" x14ac:dyDescent="0.3">
      <c r="C17" s="795">
        <f>SUM(C8:C16)</f>
        <v>2251237.7300000009</v>
      </c>
      <c r="D17" s="780" t="s">
        <v>136</v>
      </c>
      <c r="E17" s="780"/>
      <c r="F17" s="780"/>
      <c r="G17" s="797"/>
      <c r="H17" s="754"/>
    </row>
    <row r="18" spans="1:10" s="226" customFormat="1" ht="15.75" thickTop="1" x14ac:dyDescent="0.25"/>
    <row r="19" spans="1:10" s="226" customFormat="1" ht="20.100000000000001" customHeight="1" x14ac:dyDescent="0.25"/>
    <row r="20" spans="1:10" s="330" customFormat="1" ht="19.5" customHeight="1" x14ac:dyDescent="0.25">
      <c r="A20" s="899" t="s">
        <v>294</v>
      </c>
      <c r="B20" s="899"/>
      <c r="C20" s="899"/>
      <c r="D20" s="899"/>
      <c r="E20" s="899"/>
      <c r="F20" s="899"/>
      <c r="G20" s="899"/>
      <c r="H20" s="899"/>
      <c r="I20" s="899"/>
      <c r="J20" s="899"/>
    </row>
    <row r="21" spans="1:10" s="781" customFormat="1" ht="20.100000000000001" customHeight="1" thickBot="1" x14ac:dyDescent="0.3">
      <c r="A21" s="900"/>
      <c r="B21" s="900"/>
      <c r="C21" s="900"/>
      <c r="D21" s="900"/>
      <c r="E21" s="900"/>
      <c r="F21" s="900"/>
      <c r="G21" s="900"/>
      <c r="H21" s="900"/>
      <c r="I21" s="900"/>
      <c r="J21" s="900"/>
    </row>
    <row r="22" spans="1:10" s="781" customFormat="1" ht="50.25" thickBot="1" x14ac:dyDescent="0.3">
      <c r="A22" s="783" t="s">
        <v>295</v>
      </c>
      <c r="B22" s="784" t="s">
        <v>14</v>
      </c>
      <c r="C22" s="785" t="s">
        <v>58</v>
      </c>
      <c r="D22" s="785" t="s">
        <v>17</v>
      </c>
      <c r="E22" s="785" t="s">
        <v>18</v>
      </c>
      <c r="F22" s="784" t="s">
        <v>183</v>
      </c>
      <c r="G22" s="752" t="s">
        <v>20</v>
      </c>
      <c r="H22" s="752" t="s">
        <v>174</v>
      </c>
      <c r="I22" s="784" t="s">
        <v>61</v>
      </c>
      <c r="J22" s="784" t="s">
        <v>46</v>
      </c>
    </row>
    <row r="23" spans="1:10" s="781" customFormat="1" ht="20.100000000000001" customHeight="1" x14ac:dyDescent="0.25">
      <c r="A23" s="786" t="s">
        <v>47</v>
      </c>
      <c r="B23" s="787">
        <f>SUM(I4)</f>
        <v>2251237.7299999595</v>
      </c>
      <c r="C23" s="787">
        <f>4039613.65+936195.06</f>
        <v>4975808.71</v>
      </c>
      <c r="D23" s="788">
        <v>788884.56</v>
      </c>
      <c r="E23" s="788">
        <f>153199.71-246073.65</f>
        <v>-92873.94</v>
      </c>
      <c r="F23" s="787">
        <f>B23+C23-D23-E23</f>
        <v>6531035.8199999603</v>
      </c>
      <c r="G23" s="789">
        <v>5430902.0300000003</v>
      </c>
      <c r="H23" s="789">
        <f>G23/F23*100</f>
        <v>83.155293887211187</v>
      </c>
      <c r="I23" s="788">
        <f>F23-G23</f>
        <v>1100133.78999996</v>
      </c>
      <c r="J23" s="788">
        <f>I23/F23*100</f>
        <v>16.84470611278881</v>
      </c>
    </row>
    <row r="24" spans="1:10" s="781" customFormat="1" ht="20.100000000000001" customHeight="1" thickBot="1" x14ac:dyDescent="0.3">
      <c r="A24" s="763" t="s">
        <v>36</v>
      </c>
      <c r="B24" s="764">
        <f t="shared" ref="B24:G24" si="1">SUM(B23:B23)</f>
        <v>2251237.7299999595</v>
      </c>
      <c r="C24" s="764">
        <f t="shared" si="1"/>
        <v>4975808.71</v>
      </c>
      <c r="D24" s="765">
        <f t="shared" si="1"/>
        <v>788884.56</v>
      </c>
      <c r="E24" s="765">
        <f t="shared" si="1"/>
        <v>-92873.94</v>
      </c>
      <c r="F24" s="764">
        <f t="shared" si="1"/>
        <v>6531035.8199999603</v>
      </c>
      <c r="G24" s="766">
        <f t="shared" si="1"/>
        <v>5430902.0300000003</v>
      </c>
      <c r="H24" s="766">
        <f>(G24/F24)*100</f>
        <v>83.155293887211187</v>
      </c>
      <c r="I24" s="765">
        <f>SUM(I23:I23)</f>
        <v>1100133.78999996</v>
      </c>
      <c r="J24" s="765">
        <f>I24/F24*100</f>
        <v>16.84470611278881</v>
      </c>
    </row>
    <row r="25" spans="1:10" s="781" customFormat="1" ht="20.100000000000001" customHeight="1" thickTop="1" x14ac:dyDescent="0.25">
      <c r="A25" s="793"/>
      <c r="B25" s="34"/>
      <c r="C25" s="794"/>
      <c r="D25" s="362"/>
      <c r="E25" s="362"/>
      <c r="F25" s="794"/>
      <c r="G25" s="365"/>
      <c r="H25" s="365"/>
      <c r="I25" s="362"/>
      <c r="J25" s="362"/>
    </row>
    <row r="26" spans="1:10" s="781" customFormat="1" ht="20.100000000000001" customHeight="1" x14ac:dyDescent="0.25">
      <c r="A26" s="767" t="s">
        <v>37</v>
      </c>
      <c r="B26" s="797"/>
      <c r="C26" s="780"/>
      <c r="D26" s="780"/>
      <c r="E26" s="780"/>
      <c r="F26" s="780"/>
      <c r="G26" s="797"/>
      <c r="H26" s="797"/>
      <c r="I26" s="782"/>
    </row>
    <row r="27" spans="1:10" s="781" customFormat="1" ht="20.100000000000001" customHeight="1" x14ac:dyDescent="0.25">
      <c r="A27" s="31" t="s">
        <v>176</v>
      </c>
      <c r="B27" s="781" t="s">
        <v>184</v>
      </c>
      <c r="C27" s="366">
        <v>2051.9899999999998</v>
      </c>
      <c r="D27" s="780" t="s">
        <v>136</v>
      </c>
      <c r="E27" s="797" t="s">
        <v>185</v>
      </c>
      <c r="F27" s="780"/>
      <c r="G27" s="797"/>
      <c r="H27" s="797"/>
      <c r="I27" s="782"/>
    </row>
    <row r="28" spans="1:10" s="781" customFormat="1" ht="20.100000000000001" customHeight="1" x14ac:dyDescent="0.25">
      <c r="A28" s="31"/>
      <c r="B28" s="781" t="s">
        <v>186</v>
      </c>
      <c r="C28" s="366">
        <v>3604.15</v>
      </c>
      <c r="D28" s="780" t="s">
        <v>136</v>
      </c>
      <c r="E28" s="797" t="s">
        <v>187</v>
      </c>
      <c r="F28" s="780"/>
      <c r="G28" s="797"/>
      <c r="H28" s="797"/>
      <c r="I28" s="782"/>
    </row>
    <row r="29" spans="1:10" s="781" customFormat="1" ht="20.100000000000001" customHeight="1" x14ac:dyDescent="0.25">
      <c r="A29" s="768"/>
      <c r="B29" s="781" t="s">
        <v>188</v>
      </c>
      <c r="C29" s="366">
        <v>1064.9000000000001</v>
      </c>
      <c r="D29" s="780" t="s">
        <v>136</v>
      </c>
      <c r="E29" s="780" t="s">
        <v>189</v>
      </c>
      <c r="F29" s="780"/>
      <c r="G29" s="797"/>
      <c r="H29" s="797"/>
      <c r="I29" s="782"/>
    </row>
    <row r="30" spans="1:10" s="781" customFormat="1" ht="20.100000000000001" customHeight="1" x14ac:dyDescent="0.25">
      <c r="A30" s="768"/>
      <c r="B30" s="781" t="s">
        <v>190</v>
      </c>
      <c r="C30" s="366">
        <v>2055.0700000000002</v>
      </c>
      <c r="D30" s="780" t="s">
        <v>136</v>
      </c>
      <c r="E30" s="780" t="s">
        <v>187</v>
      </c>
      <c r="F30" s="780"/>
      <c r="G30" s="797"/>
      <c r="H30" s="797"/>
      <c r="I30" s="782"/>
    </row>
    <row r="31" spans="1:10" s="781" customFormat="1" ht="20.100000000000001" customHeight="1" x14ac:dyDescent="0.25">
      <c r="A31" s="768"/>
      <c r="B31" s="781" t="s">
        <v>191</v>
      </c>
      <c r="C31" s="366">
        <v>7050.58</v>
      </c>
      <c r="D31" s="780" t="s">
        <v>136</v>
      </c>
      <c r="E31" s="780" t="s">
        <v>187</v>
      </c>
      <c r="F31" s="780"/>
      <c r="G31" s="797"/>
      <c r="H31" s="797"/>
      <c r="I31" s="782"/>
    </row>
    <row r="32" spans="1:10" s="781" customFormat="1" ht="20.100000000000001" customHeight="1" x14ac:dyDescent="0.25">
      <c r="A32" s="768"/>
      <c r="B32" s="781" t="s">
        <v>192</v>
      </c>
      <c r="C32" s="366">
        <v>4695.5</v>
      </c>
      <c r="D32" s="780" t="s">
        <v>136</v>
      </c>
      <c r="E32" s="780" t="s">
        <v>193</v>
      </c>
      <c r="F32" s="780"/>
      <c r="G32" s="797"/>
      <c r="H32" s="797"/>
      <c r="I32" s="782"/>
    </row>
    <row r="33" spans="1:10" s="781" customFormat="1" ht="20.100000000000001" customHeight="1" x14ac:dyDescent="0.25">
      <c r="A33" s="768"/>
      <c r="B33" s="781" t="s">
        <v>194</v>
      </c>
      <c r="C33" s="797">
        <v>4575.13</v>
      </c>
      <c r="D33" s="780" t="s">
        <v>136</v>
      </c>
      <c r="E33" s="780" t="s">
        <v>296</v>
      </c>
      <c r="F33" s="780"/>
      <c r="G33" s="797"/>
      <c r="H33" s="797"/>
      <c r="I33" s="782"/>
    </row>
    <row r="34" spans="1:10" s="781" customFormat="1" ht="20.100000000000001" customHeight="1" x14ac:dyDescent="0.25">
      <c r="A34" s="768"/>
      <c r="B34" s="781" t="s">
        <v>197</v>
      </c>
      <c r="C34" s="797">
        <v>49849.149999999994</v>
      </c>
      <c r="D34" s="780" t="s">
        <v>136</v>
      </c>
      <c r="E34" s="780" t="s">
        <v>297</v>
      </c>
      <c r="F34" s="780"/>
      <c r="G34" s="797"/>
      <c r="H34" s="797"/>
      <c r="I34" s="782"/>
    </row>
    <row r="35" spans="1:10" s="781" customFormat="1" ht="20.100000000000001" customHeight="1" x14ac:dyDescent="0.25">
      <c r="A35" s="768"/>
      <c r="B35" s="781" t="s">
        <v>197</v>
      </c>
      <c r="C35" s="797">
        <v>88992.260000000009</v>
      </c>
      <c r="D35" s="780" t="s">
        <v>136</v>
      </c>
      <c r="E35" s="780" t="s">
        <v>298</v>
      </c>
      <c r="F35" s="780"/>
      <c r="G35" s="797"/>
      <c r="H35" s="797"/>
      <c r="I35" s="782"/>
    </row>
    <row r="36" spans="1:10" s="781" customFormat="1" ht="20.100000000000001" customHeight="1" x14ac:dyDescent="0.25">
      <c r="A36" s="768"/>
      <c r="B36" s="781" t="s">
        <v>108</v>
      </c>
      <c r="C36" s="797">
        <v>830151.81999999983</v>
      </c>
      <c r="D36" s="780" t="s">
        <v>136</v>
      </c>
      <c r="E36" s="780" t="s">
        <v>297</v>
      </c>
      <c r="F36" s="780"/>
      <c r="G36" s="797"/>
      <c r="H36" s="797"/>
      <c r="I36" s="782"/>
    </row>
    <row r="37" spans="1:10" s="781" customFormat="1" ht="20.100000000000001" customHeight="1" x14ac:dyDescent="0.25">
      <c r="A37" s="768"/>
      <c r="B37" s="781" t="s">
        <v>108</v>
      </c>
      <c r="C37" s="797">
        <v>106043.23999999998</v>
      </c>
      <c r="D37" s="780" t="s">
        <v>136</v>
      </c>
      <c r="E37" s="780" t="s">
        <v>298</v>
      </c>
      <c r="F37" s="780"/>
      <c r="G37" s="797"/>
      <c r="H37" s="797"/>
      <c r="I37" s="782"/>
    </row>
    <row r="38" spans="1:10" s="781" customFormat="1" ht="20.100000000000001" customHeight="1" thickBot="1" x14ac:dyDescent="0.3">
      <c r="C38" s="795">
        <f>SUM(C27:C37)</f>
        <v>1100133.7899999998</v>
      </c>
      <c r="D38" s="780" t="s">
        <v>136</v>
      </c>
      <c r="E38" s="780"/>
      <c r="F38" s="780"/>
      <c r="G38" s="797"/>
      <c r="H38" s="754"/>
    </row>
    <row r="39" spans="1:10" s="226" customFormat="1" ht="20.100000000000001" customHeight="1" thickTop="1" x14ac:dyDescent="0.25"/>
    <row r="41" spans="1:10" s="330" customFormat="1" ht="19.5" customHeight="1" x14ac:dyDescent="0.25">
      <c r="A41" s="899" t="s">
        <v>448</v>
      </c>
      <c r="B41" s="899"/>
      <c r="C41" s="899"/>
      <c r="D41" s="899"/>
      <c r="E41" s="899"/>
      <c r="F41" s="899"/>
      <c r="G41" s="899"/>
      <c r="H41" s="899"/>
      <c r="I41" s="899"/>
      <c r="J41" s="899"/>
    </row>
    <row r="42" spans="1:10" s="781" customFormat="1" ht="20.100000000000001" customHeight="1" thickBot="1" x14ac:dyDescent="0.3">
      <c r="A42" s="900"/>
      <c r="B42" s="900"/>
      <c r="C42" s="900"/>
      <c r="D42" s="900"/>
      <c r="E42" s="900"/>
      <c r="F42" s="900"/>
      <c r="G42" s="900"/>
      <c r="H42" s="900"/>
      <c r="I42" s="900"/>
      <c r="J42" s="900"/>
    </row>
    <row r="43" spans="1:10" s="781" customFormat="1" ht="50.25" thickBot="1" x14ac:dyDescent="0.3">
      <c r="A43" s="783" t="s">
        <v>513</v>
      </c>
      <c r="B43" s="784" t="s">
        <v>14</v>
      </c>
      <c r="C43" s="785" t="s">
        <v>253</v>
      </c>
      <c r="D43" s="785" t="s">
        <v>17</v>
      </c>
      <c r="E43" s="785" t="s">
        <v>18</v>
      </c>
      <c r="F43" s="784" t="s">
        <v>183</v>
      </c>
      <c r="G43" s="752" t="s">
        <v>20</v>
      </c>
      <c r="H43" s="752" t="s">
        <v>174</v>
      </c>
      <c r="I43" s="784" t="s">
        <v>61</v>
      </c>
      <c r="J43" s="784" t="s">
        <v>46</v>
      </c>
    </row>
    <row r="44" spans="1:10" s="781" customFormat="1" ht="20.100000000000001" customHeight="1" x14ac:dyDescent="0.25">
      <c r="A44" s="786" t="s">
        <v>47</v>
      </c>
      <c r="B44" s="787">
        <f>SUM(I23)</f>
        <v>1100133.78999996</v>
      </c>
      <c r="C44" s="787">
        <f>4902269.15+323672.22</f>
        <v>5225941.37</v>
      </c>
      <c r="D44" s="788">
        <v>559783.6</v>
      </c>
      <c r="E44" s="788">
        <f>212869.56+3604.15+2051.99</f>
        <v>218525.69999999998</v>
      </c>
      <c r="F44" s="787">
        <f>B44+C44-D44-E44</f>
        <v>5547765.8599999603</v>
      </c>
      <c r="G44" s="789">
        <v>5009616.96</v>
      </c>
      <c r="H44" s="789">
        <f>G44/F44*100</f>
        <v>90.299718596992776</v>
      </c>
      <c r="I44" s="788">
        <f>F44-G44</f>
        <v>538148.89999996033</v>
      </c>
      <c r="J44" s="788">
        <f>I44/F44*100</f>
        <v>9.7002814030072315</v>
      </c>
    </row>
    <row r="45" spans="1:10" s="781" customFormat="1" ht="20.100000000000001" customHeight="1" thickBot="1" x14ac:dyDescent="0.3">
      <c r="A45" s="763" t="s">
        <v>36</v>
      </c>
      <c r="B45" s="764">
        <f t="shared" ref="B45:G45" si="2">SUM(B44:B44)</f>
        <v>1100133.78999996</v>
      </c>
      <c r="C45" s="764">
        <f t="shared" si="2"/>
        <v>5225941.37</v>
      </c>
      <c r="D45" s="765">
        <f t="shared" si="2"/>
        <v>559783.6</v>
      </c>
      <c r="E45" s="765">
        <f t="shared" si="2"/>
        <v>218525.69999999998</v>
      </c>
      <c r="F45" s="764">
        <f t="shared" si="2"/>
        <v>5547765.8599999603</v>
      </c>
      <c r="G45" s="766">
        <f t="shared" si="2"/>
        <v>5009616.96</v>
      </c>
      <c r="H45" s="766">
        <f>(G45/F45)*100</f>
        <v>90.299718596992776</v>
      </c>
      <c r="I45" s="765">
        <f>SUM(I44:I44)</f>
        <v>538148.89999996033</v>
      </c>
      <c r="J45" s="765">
        <f>I45/F45*100</f>
        <v>9.7002814030072315</v>
      </c>
    </row>
    <row r="46" spans="1:10" s="781" customFormat="1" ht="20.100000000000001" customHeight="1" thickTop="1" x14ac:dyDescent="0.25">
      <c r="A46" s="793"/>
      <c r="B46" s="34"/>
      <c r="C46" s="794"/>
      <c r="D46" s="362"/>
      <c r="E46" s="362"/>
      <c r="F46" s="794"/>
      <c r="G46" s="365"/>
      <c r="H46" s="365"/>
      <c r="I46" s="362"/>
      <c r="J46" s="362"/>
    </row>
    <row r="47" spans="1:10" s="781" customFormat="1" ht="20.100000000000001" customHeight="1" x14ac:dyDescent="0.25">
      <c r="A47" s="767" t="s">
        <v>37</v>
      </c>
      <c r="B47" s="797"/>
      <c r="C47" s="780"/>
      <c r="D47" s="780"/>
      <c r="E47" s="780"/>
      <c r="F47" s="780"/>
      <c r="G47" s="797"/>
      <c r="H47" s="797"/>
      <c r="I47" s="782"/>
    </row>
    <row r="48" spans="1:10" s="781" customFormat="1" ht="20.100000000000001" customHeight="1" x14ac:dyDescent="0.25">
      <c r="A48" s="31" t="s">
        <v>176</v>
      </c>
      <c r="B48" s="781" t="s">
        <v>188</v>
      </c>
      <c r="C48" s="800">
        <v>1064.9000000000001</v>
      </c>
      <c r="D48" s="780" t="s">
        <v>136</v>
      </c>
      <c r="E48" s="780" t="s">
        <v>189</v>
      </c>
      <c r="F48" s="780"/>
      <c r="G48" s="797"/>
      <c r="H48" s="797"/>
      <c r="I48" s="782"/>
    </row>
    <row r="49" spans="1:10" s="781" customFormat="1" ht="20.100000000000001" customHeight="1" x14ac:dyDescent="0.25">
      <c r="A49" s="31"/>
      <c r="B49" s="781" t="s">
        <v>190</v>
      </c>
      <c r="C49" s="800">
        <v>2055.0700000000002</v>
      </c>
      <c r="D49" s="780" t="s">
        <v>136</v>
      </c>
      <c r="E49" s="780" t="s">
        <v>187</v>
      </c>
      <c r="F49" s="780"/>
      <c r="G49" s="797"/>
      <c r="H49" s="797"/>
      <c r="I49" s="782"/>
    </row>
    <row r="50" spans="1:10" s="781" customFormat="1" ht="20.100000000000001" customHeight="1" x14ac:dyDescent="0.25">
      <c r="A50" s="768"/>
      <c r="B50" s="781" t="s">
        <v>191</v>
      </c>
      <c r="C50" s="800">
        <v>7050.58</v>
      </c>
      <c r="D50" s="780" t="s">
        <v>136</v>
      </c>
      <c r="E50" s="780" t="s">
        <v>187</v>
      </c>
      <c r="F50" s="780"/>
      <c r="G50" s="797"/>
      <c r="H50" s="797"/>
      <c r="I50" s="782"/>
    </row>
    <row r="51" spans="1:10" s="781" customFormat="1" ht="20.100000000000001" customHeight="1" x14ac:dyDescent="0.25">
      <c r="A51" s="768"/>
      <c r="B51" s="781" t="s">
        <v>192</v>
      </c>
      <c r="C51" s="800">
        <v>4695.5</v>
      </c>
      <c r="D51" s="780" t="s">
        <v>136</v>
      </c>
      <c r="E51" s="780" t="s">
        <v>193</v>
      </c>
      <c r="F51" s="780"/>
      <c r="G51" s="797"/>
      <c r="H51" s="797"/>
      <c r="I51" s="782"/>
    </row>
    <row r="52" spans="1:10" s="781" customFormat="1" ht="20.100000000000001" customHeight="1" x14ac:dyDescent="0.25">
      <c r="A52" s="768"/>
      <c r="B52" s="781" t="s">
        <v>194</v>
      </c>
      <c r="C52" s="797">
        <v>4575.13</v>
      </c>
      <c r="D52" s="780" t="s">
        <v>136</v>
      </c>
      <c r="E52" s="780" t="s">
        <v>296</v>
      </c>
      <c r="F52" s="780"/>
      <c r="G52" s="797"/>
      <c r="H52" s="797"/>
      <c r="I52" s="782"/>
    </row>
    <row r="53" spans="1:10" s="781" customFormat="1" ht="20.100000000000001" customHeight="1" x14ac:dyDescent="0.25">
      <c r="A53" s="768"/>
      <c r="B53" s="781" t="s">
        <v>197</v>
      </c>
      <c r="C53" s="797">
        <v>88992.260000000009</v>
      </c>
      <c r="D53" s="780" t="s">
        <v>136</v>
      </c>
      <c r="E53" s="780" t="s">
        <v>449</v>
      </c>
      <c r="F53" s="780"/>
      <c r="G53" s="797"/>
      <c r="H53" s="797"/>
      <c r="I53" s="782"/>
    </row>
    <row r="54" spans="1:10" s="781" customFormat="1" ht="20.100000000000001" customHeight="1" x14ac:dyDescent="0.25">
      <c r="A54" s="768"/>
      <c r="B54" s="781" t="s">
        <v>108</v>
      </c>
      <c r="C54" s="797">
        <v>101929.67</v>
      </c>
      <c r="D54" s="780" t="s">
        <v>136</v>
      </c>
      <c r="E54" s="780" t="s">
        <v>449</v>
      </c>
      <c r="F54" s="780"/>
      <c r="G54" s="797"/>
      <c r="H54" s="797"/>
      <c r="I54" s="782"/>
    </row>
    <row r="55" spans="1:10" s="781" customFormat="1" ht="20.100000000000001" customHeight="1" x14ac:dyDescent="0.25">
      <c r="A55" s="768"/>
      <c r="B55" s="781" t="s">
        <v>108</v>
      </c>
      <c r="C55" s="797">
        <v>4113.57</v>
      </c>
      <c r="D55" s="780" t="s">
        <v>136</v>
      </c>
      <c r="E55" s="780" t="s">
        <v>177</v>
      </c>
      <c r="F55" s="780"/>
      <c r="G55" s="797"/>
      <c r="H55" s="797"/>
      <c r="I55" s="782"/>
    </row>
    <row r="56" spans="1:10" s="781" customFormat="1" ht="20.100000000000001" customHeight="1" x14ac:dyDescent="0.25">
      <c r="A56" s="768"/>
      <c r="B56" s="781" t="s">
        <v>273</v>
      </c>
      <c r="C56" s="797">
        <v>173845.41000000003</v>
      </c>
      <c r="D56" s="780" t="s">
        <v>136</v>
      </c>
      <c r="E56" s="780" t="s">
        <v>449</v>
      </c>
      <c r="F56" s="780"/>
      <c r="G56" s="797"/>
      <c r="H56" s="797"/>
      <c r="I56" s="782"/>
    </row>
    <row r="57" spans="1:10" s="781" customFormat="1" ht="20.100000000000001" customHeight="1" x14ac:dyDescent="0.25">
      <c r="A57" s="768"/>
      <c r="B57" s="781" t="s">
        <v>273</v>
      </c>
      <c r="C57" s="797">
        <v>149826.81000000003</v>
      </c>
      <c r="D57" s="780" t="s">
        <v>136</v>
      </c>
      <c r="E57" s="780" t="s">
        <v>177</v>
      </c>
      <c r="F57" s="780"/>
      <c r="G57" s="797"/>
      <c r="H57" s="797"/>
      <c r="I57" s="782"/>
    </row>
    <row r="58" spans="1:10" s="781" customFormat="1" ht="20.100000000000001" customHeight="1" thickBot="1" x14ac:dyDescent="0.3">
      <c r="A58" s="768"/>
      <c r="C58" s="795">
        <f>SUM(C48:C57)</f>
        <v>538148.9</v>
      </c>
      <c r="D58" s="780" t="s">
        <v>136</v>
      </c>
      <c r="E58" s="780"/>
      <c r="F58" s="780"/>
      <c r="G58" s="797"/>
      <c r="H58" s="754"/>
      <c r="I58" s="782"/>
    </row>
    <row r="59" spans="1:10" s="781" customFormat="1" ht="20.100000000000001" customHeight="1" thickTop="1" x14ac:dyDescent="0.25">
      <c r="A59" s="768"/>
      <c r="B59" s="226"/>
      <c r="C59" s="226"/>
      <c r="D59" s="226"/>
      <c r="E59" s="226"/>
      <c r="F59" s="226"/>
      <c r="G59" s="226"/>
      <c r="H59" s="226"/>
      <c r="I59" s="782"/>
    </row>
    <row r="60" spans="1:10" s="781" customFormat="1" ht="20.100000000000001" customHeight="1" x14ac:dyDescent="0.3">
      <c r="B60" s="801"/>
      <c r="C60" s="801"/>
      <c r="D60" s="801"/>
      <c r="E60" s="801"/>
      <c r="F60" s="801"/>
      <c r="G60" s="801"/>
      <c r="H60" s="801"/>
    </row>
    <row r="61" spans="1:10" s="330" customFormat="1" ht="19.5" customHeight="1" x14ac:dyDescent="0.25">
      <c r="A61" s="899" t="s">
        <v>508</v>
      </c>
      <c r="B61" s="899"/>
      <c r="C61" s="899"/>
      <c r="D61" s="899"/>
      <c r="E61" s="899"/>
      <c r="F61" s="899"/>
      <c r="G61" s="899"/>
      <c r="H61" s="899"/>
      <c r="I61" s="899"/>
      <c r="J61" s="899"/>
    </row>
    <row r="62" spans="1:10" s="781" customFormat="1" ht="20.100000000000001" customHeight="1" thickBot="1" x14ac:dyDescent="0.3">
      <c r="A62" s="900"/>
      <c r="B62" s="900"/>
      <c r="C62" s="900"/>
      <c r="D62" s="900"/>
      <c r="E62" s="900"/>
      <c r="F62" s="900"/>
      <c r="G62" s="900"/>
      <c r="H62" s="900"/>
      <c r="I62" s="900"/>
      <c r="J62" s="900"/>
    </row>
    <row r="63" spans="1:10" s="781" customFormat="1" ht="50.25" thickBot="1" x14ac:dyDescent="0.3">
      <c r="A63" s="783" t="s">
        <v>509</v>
      </c>
      <c r="B63" s="784" t="s">
        <v>14</v>
      </c>
      <c r="C63" s="785" t="s">
        <v>335</v>
      </c>
      <c r="D63" s="785" t="s">
        <v>17</v>
      </c>
      <c r="E63" s="785" t="s">
        <v>18</v>
      </c>
      <c r="F63" s="784" t="s">
        <v>183</v>
      </c>
      <c r="G63" s="752" t="s">
        <v>20</v>
      </c>
      <c r="H63" s="752" t="s">
        <v>174</v>
      </c>
      <c r="I63" s="784" t="s">
        <v>61</v>
      </c>
      <c r="J63" s="784" t="s">
        <v>46</v>
      </c>
    </row>
    <row r="64" spans="1:10" s="781" customFormat="1" ht="20.100000000000001" customHeight="1" x14ac:dyDescent="0.25">
      <c r="A64" s="786" t="s">
        <v>47</v>
      </c>
      <c r="B64" s="787">
        <f>SUM(I44)</f>
        <v>538148.89999996033</v>
      </c>
      <c r="C64" s="787">
        <f>1817497.57+202954.56</f>
        <v>2020452.1300000001</v>
      </c>
      <c r="D64" s="788">
        <v>413283.35</v>
      </c>
      <c r="E64" s="788">
        <v>84763.43</v>
      </c>
      <c r="F64" s="787">
        <f>B64+C64-D64-E64</f>
        <v>2060554.2499999602</v>
      </c>
      <c r="G64" s="789">
        <f>1687042.76-2824.63</f>
        <v>1684218.1300000001</v>
      </c>
      <c r="H64" s="789">
        <f>G64/F64*100</f>
        <v>81.736170256135338</v>
      </c>
      <c r="I64" s="788">
        <f>F64-G64</f>
        <v>376336.11999996006</v>
      </c>
      <c r="J64" s="788">
        <f>I64/F64*100</f>
        <v>18.263829743864658</v>
      </c>
    </row>
    <row r="65" spans="1:10" s="781" customFormat="1" ht="20.100000000000001" customHeight="1" thickBot="1" x14ac:dyDescent="0.3">
      <c r="A65" s="763" t="s">
        <v>36</v>
      </c>
      <c r="B65" s="764">
        <f t="shared" ref="B65:G65" si="3">SUM(B64:B64)</f>
        <v>538148.89999996033</v>
      </c>
      <c r="C65" s="764">
        <f t="shared" si="3"/>
        <v>2020452.1300000001</v>
      </c>
      <c r="D65" s="765">
        <f t="shared" si="3"/>
        <v>413283.35</v>
      </c>
      <c r="E65" s="765">
        <f t="shared" si="3"/>
        <v>84763.43</v>
      </c>
      <c r="F65" s="764">
        <f t="shared" si="3"/>
        <v>2060554.2499999602</v>
      </c>
      <c r="G65" s="766">
        <f t="shared" si="3"/>
        <v>1684218.1300000001</v>
      </c>
      <c r="H65" s="766">
        <f>(G65/F65)*100</f>
        <v>81.736170256135338</v>
      </c>
      <c r="I65" s="765">
        <f>SUM(I64:I64)</f>
        <v>376336.11999996006</v>
      </c>
      <c r="J65" s="765">
        <f>I65/F65*100</f>
        <v>18.263829743864658</v>
      </c>
    </row>
    <row r="66" spans="1:10" s="781" customFormat="1" ht="20.100000000000001" customHeight="1" thickTop="1" x14ac:dyDescent="0.25">
      <c r="A66" s="793"/>
      <c r="B66" s="34"/>
      <c r="C66" s="794"/>
      <c r="D66" s="362"/>
      <c r="E66" s="362"/>
      <c r="F66" s="794"/>
      <c r="G66" s="365"/>
      <c r="H66" s="365"/>
      <c r="I66" s="362"/>
      <c r="J66" s="362"/>
    </row>
    <row r="67" spans="1:10" s="781" customFormat="1" ht="20.100000000000001" customHeight="1" x14ac:dyDescent="0.25">
      <c r="A67" s="767" t="s">
        <v>37</v>
      </c>
      <c r="B67" s="797"/>
      <c r="C67" s="780"/>
      <c r="D67" s="780"/>
      <c r="E67" s="780"/>
      <c r="F67" s="780"/>
      <c r="G67" s="797"/>
      <c r="H67" s="797"/>
      <c r="I67" s="782"/>
    </row>
    <row r="68" spans="1:10" s="781" customFormat="1" ht="20.100000000000001" customHeight="1" x14ac:dyDescent="0.25">
      <c r="A68" s="31" t="s">
        <v>176</v>
      </c>
      <c r="B68" s="781" t="s">
        <v>188</v>
      </c>
      <c r="C68" s="800">
        <v>1064.9000000000001</v>
      </c>
      <c r="D68" s="780" t="s">
        <v>136</v>
      </c>
      <c r="E68" s="780" t="s">
        <v>189</v>
      </c>
      <c r="F68" s="780"/>
      <c r="G68" s="797"/>
      <c r="H68" s="797"/>
      <c r="I68" s="782"/>
    </row>
    <row r="69" spans="1:10" s="781" customFormat="1" ht="20.100000000000001" customHeight="1" x14ac:dyDescent="0.25">
      <c r="A69" s="31"/>
      <c r="B69" s="781" t="s">
        <v>190</v>
      </c>
      <c r="C69" s="800">
        <v>2055.0700000000002</v>
      </c>
      <c r="D69" s="780" t="s">
        <v>136</v>
      </c>
      <c r="E69" s="780" t="s">
        <v>187</v>
      </c>
      <c r="F69" s="780"/>
      <c r="G69" s="797"/>
      <c r="H69" s="797"/>
      <c r="I69" s="782"/>
    </row>
    <row r="70" spans="1:10" s="781" customFormat="1" ht="20.100000000000001" customHeight="1" x14ac:dyDescent="0.25">
      <c r="A70" s="768"/>
      <c r="B70" s="781" t="s">
        <v>191</v>
      </c>
      <c r="C70" s="800">
        <v>7050.58</v>
      </c>
      <c r="D70" s="780" t="s">
        <v>136</v>
      </c>
      <c r="E70" s="780" t="s">
        <v>187</v>
      </c>
      <c r="F70" s="780"/>
      <c r="G70" s="797"/>
      <c r="H70" s="797"/>
      <c r="I70" s="782"/>
    </row>
    <row r="71" spans="1:10" s="781" customFormat="1" ht="20.100000000000001" customHeight="1" x14ac:dyDescent="0.25">
      <c r="A71" s="768"/>
      <c r="B71" s="781" t="s">
        <v>192</v>
      </c>
      <c r="C71" s="800">
        <v>4695.5</v>
      </c>
      <c r="D71" s="780" t="s">
        <v>136</v>
      </c>
      <c r="E71" s="780" t="s">
        <v>193</v>
      </c>
      <c r="F71" s="780"/>
      <c r="G71" s="797"/>
      <c r="H71" s="797"/>
      <c r="I71" s="782"/>
    </row>
    <row r="72" spans="1:10" s="781" customFormat="1" ht="20.100000000000001" customHeight="1" x14ac:dyDescent="0.25">
      <c r="A72" s="768"/>
      <c r="B72" s="781" t="s">
        <v>194</v>
      </c>
      <c r="C72" s="797">
        <v>4575.13</v>
      </c>
      <c r="D72" s="780" t="s">
        <v>136</v>
      </c>
      <c r="E72" s="780" t="s">
        <v>510</v>
      </c>
      <c r="F72" s="780"/>
      <c r="G72" s="797"/>
      <c r="H72" s="797"/>
      <c r="I72" s="782"/>
    </row>
    <row r="73" spans="1:10" s="781" customFormat="1" ht="20.100000000000001" customHeight="1" x14ac:dyDescent="0.25">
      <c r="A73" s="768"/>
      <c r="B73" s="781" t="s">
        <v>108</v>
      </c>
      <c r="C73" s="797">
        <v>4113.57</v>
      </c>
      <c r="D73" s="780" t="s">
        <v>136</v>
      </c>
      <c r="E73" s="780" t="s">
        <v>177</v>
      </c>
      <c r="F73" s="780"/>
      <c r="G73" s="797"/>
      <c r="H73" s="797"/>
      <c r="I73" s="782"/>
    </row>
    <row r="74" spans="1:10" s="781" customFormat="1" ht="20.100000000000001" customHeight="1" x14ac:dyDescent="0.25">
      <c r="A74" s="768"/>
      <c r="B74" s="781" t="s">
        <v>273</v>
      </c>
      <c r="C74" s="797">
        <v>2635.02</v>
      </c>
      <c r="D74" s="780" t="s">
        <v>136</v>
      </c>
      <c r="E74" s="780" t="s">
        <v>511</v>
      </c>
      <c r="F74" s="780"/>
      <c r="G74" s="797"/>
      <c r="H74" s="797"/>
      <c r="I74" s="782"/>
    </row>
    <row r="75" spans="1:10" s="781" customFormat="1" ht="20.100000000000001" customHeight="1" x14ac:dyDescent="0.25">
      <c r="A75" s="768"/>
      <c r="B75" s="781" t="s">
        <v>273</v>
      </c>
      <c r="C75" s="797">
        <v>141429.45000000001</v>
      </c>
      <c r="D75" s="780" t="s">
        <v>136</v>
      </c>
      <c r="E75" s="780" t="s">
        <v>512</v>
      </c>
      <c r="F75" s="780"/>
      <c r="G75" s="797"/>
      <c r="H75" s="797"/>
      <c r="I75" s="782"/>
    </row>
    <row r="76" spans="1:10" s="781" customFormat="1" ht="20.100000000000001" customHeight="1" x14ac:dyDescent="0.25">
      <c r="A76" s="768"/>
      <c r="B76" s="781" t="s">
        <v>273</v>
      </c>
      <c r="C76" s="797">
        <v>5762.34</v>
      </c>
      <c r="D76" s="780" t="s">
        <v>136</v>
      </c>
      <c r="E76" s="780" t="s">
        <v>177</v>
      </c>
      <c r="F76" s="780"/>
      <c r="G76" s="797"/>
      <c r="H76" s="797"/>
      <c r="I76" s="782"/>
    </row>
    <row r="77" spans="1:10" s="781" customFormat="1" ht="20.100000000000001" customHeight="1" x14ac:dyDescent="0.25">
      <c r="A77" s="768"/>
      <c r="B77" s="781" t="s">
        <v>433</v>
      </c>
      <c r="C77" s="797">
        <v>196612.18</v>
      </c>
      <c r="D77" s="780" t="s">
        <v>136</v>
      </c>
      <c r="E77" s="780" t="s">
        <v>512</v>
      </c>
      <c r="F77" s="780"/>
      <c r="G77" s="797"/>
      <c r="H77" s="797"/>
      <c r="I77" s="782"/>
    </row>
    <row r="78" spans="1:10" s="781" customFormat="1" ht="20.100000000000001" customHeight="1" x14ac:dyDescent="0.25">
      <c r="A78" s="768"/>
      <c r="B78" s="781" t="s">
        <v>433</v>
      </c>
      <c r="C78" s="797">
        <v>6342.3799999999992</v>
      </c>
      <c r="D78" s="780" t="s">
        <v>136</v>
      </c>
      <c r="E78" s="780" t="s">
        <v>177</v>
      </c>
      <c r="F78" s="780"/>
      <c r="G78" s="797"/>
      <c r="H78" s="797"/>
      <c r="I78" s="782"/>
    </row>
    <row r="79" spans="1:10" s="781" customFormat="1" ht="20.100000000000001" customHeight="1" thickBot="1" x14ac:dyDescent="0.3">
      <c r="A79" s="768"/>
      <c r="C79" s="795">
        <f>SUM(C68:C78)</f>
        <v>376336.12</v>
      </c>
      <c r="D79" s="780" t="s">
        <v>136</v>
      </c>
      <c r="E79" s="780"/>
      <c r="F79" s="780"/>
      <c r="G79" s="797"/>
      <c r="H79" s="754"/>
      <c r="I79" s="782"/>
    </row>
    <row r="80" spans="1:10" s="781" customFormat="1" ht="20.100000000000001" customHeight="1" thickTop="1" x14ac:dyDescent="0.25">
      <c r="A80" s="768"/>
      <c r="B80" s="226"/>
      <c r="C80" s="226"/>
      <c r="D80" s="226"/>
      <c r="E80" s="226"/>
      <c r="F80" s="226"/>
      <c r="G80" s="226"/>
      <c r="H80" s="226"/>
      <c r="I80" s="782"/>
    </row>
    <row r="82" spans="1:10" s="330" customFormat="1" ht="19.5" customHeight="1" x14ac:dyDescent="0.25">
      <c r="A82" s="899" t="s">
        <v>628</v>
      </c>
      <c r="B82" s="899"/>
      <c r="C82" s="899"/>
      <c r="D82" s="899"/>
      <c r="E82" s="899"/>
      <c r="F82" s="899"/>
      <c r="G82" s="899"/>
      <c r="H82" s="899"/>
      <c r="I82" s="899"/>
      <c r="J82" s="899"/>
    </row>
    <row r="83" spans="1:10" s="781" customFormat="1" ht="20.100000000000001" customHeight="1" thickBot="1" x14ac:dyDescent="0.3">
      <c r="A83" s="900"/>
      <c r="B83" s="900"/>
      <c r="C83" s="900"/>
      <c r="D83" s="900"/>
      <c r="E83" s="900"/>
      <c r="F83" s="900"/>
      <c r="G83" s="900"/>
      <c r="H83" s="900"/>
      <c r="I83" s="900"/>
      <c r="J83" s="900"/>
    </row>
    <row r="84" spans="1:10" s="781" customFormat="1" ht="50.25" thickBot="1" x14ac:dyDescent="0.3">
      <c r="A84" s="783" t="s">
        <v>629</v>
      </c>
      <c r="B84" s="784" t="s">
        <v>14</v>
      </c>
      <c r="C84" s="785" t="s">
        <v>405</v>
      </c>
      <c r="D84" s="785" t="s">
        <v>17</v>
      </c>
      <c r="E84" s="785" t="s">
        <v>18</v>
      </c>
      <c r="F84" s="784" t="s">
        <v>183</v>
      </c>
      <c r="G84" s="752" t="s">
        <v>20</v>
      </c>
      <c r="H84" s="752" t="s">
        <v>174</v>
      </c>
      <c r="I84" s="784" t="s">
        <v>61</v>
      </c>
      <c r="J84" s="784" t="s">
        <v>46</v>
      </c>
    </row>
    <row r="85" spans="1:10" s="781" customFormat="1" ht="20.100000000000001" customHeight="1" x14ac:dyDescent="0.25">
      <c r="A85" s="786" t="s">
        <v>47</v>
      </c>
      <c r="B85" s="787">
        <f>SUM(I64)</f>
        <v>376336.11999996006</v>
      </c>
      <c r="C85" s="787">
        <f>3474445.37+235540.51</f>
        <v>3709985.88</v>
      </c>
      <c r="D85" s="788">
        <v>642608.96</v>
      </c>
      <c r="E85" s="788">
        <v>293508.51</v>
      </c>
      <c r="F85" s="787">
        <f>B85+C85-D85-E85</f>
        <v>3150204.5299999602</v>
      </c>
      <c r="G85" s="789">
        <v>2879004.5500000003</v>
      </c>
      <c r="H85" s="789">
        <f>G85/F85*100</f>
        <v>91.391035806809555</v>
      </c>
      <c r="I85" s="788">
        <f>F85-G85</f>
        <v>271199.97999995993</v>
      </c>
      <c r="J85" s="788">
        <f>I85/F85*100</f>
        <v>8.6089641931904453</v>
      </c>
    </row>
    <row r="86" spans="1:10" s="781" customFormat="1" ht="20.100000000000001" customHeight="1" thickBot="1" x14ac:dyDescent="0.3">
      <c r="A86" s="763" t="s">
        <v>36</v>
      </c>
      <c r="B86" s="764">
        <f t="shared" ref="B86:G86" si="4">SUM(B85:B85)</f>
        <v>376336.11999996006</v>
      </c>
      <c r="C86" s="764">
        <f t="shared" si="4"/>
        <v>3709985.88</v>
      </c>
      <c r="D86" s="765">
        <f t="shared" si="4"/>
        <v>642608.96</v>
      </c>
      <c r="E86" s="765">
        <f t="shared" si="4"/>
        <v>293508.51</v>
      </c>
      <c r="F86" s="764">
        <f t="shared" si="4"/>
        <v>3150204.5299999602</v>
      </c>
      <c r="G86" s="766">
        <f t="shared" si="4"/>
        <v>2879004.5500000003</v>
      </c>
      <c r="H86" s="766">
        <f>(G86/F86)*100</f>
        <v>91.391035806809555</v>
      </c>
      <c r="I86" s="765">
        <f>SUM(I85:I85)</f>
        <v>271199.97999995993</v>
      </c>
      <c r="J86" s="765">
        <f>I86/F86*100</f>
        <v>8.6089641931904453</v>
      </c>
    </row>
    <row r="87" spans="1:10" s="781" customFormat="1" ht="20.100000000000001" customHeight="1" thickTop="1" x14ac:dyDescent="0.25">
      <c r="A87" s="793"/>
      <c r="B87" s="34"/>
      <c r="C87" s="794"/>
      <c r="D87" s="362"/>
      <c r="E87" s="362"/>
      <c r="F87" s="794"/>
      <c r="G87" s="365"/>
      <c r="H87" s="365"/>
      <c r="I87" s="362"/>
      <c r="J87" s="362"/>
    </row>
    <row r="88" spans="1:10" s="781" customFormat="1" ht="20.100000000000001" customHeight="1" x14ac:dyDescent="0.25">
      <c r="A88" s="767" t="s">
        <v>37</v>
      </c>
      <c r="B88" s="797"/>
      <c r="C88" s="780"/>
      <c r="D88" s="780"/>
      <c r="E88" s="780"/>
      <c r="F88" s="780"/>
      <c r="G88" s="797"/>
      <c r="H88" s="797"/>
      <c r="I88" s="782"/>
    </row>
    <row r="89" spans="1:10" s="781" customFormat="1" ht="20.100000000000001" customHeight="1" x14ac:dyDescent="0.25">
      <c r="A89" s="31" t="s">
        <v>176</v>
      </c>
      <c r="B89" s="781" t="s">
        <v>188</v>
      </c>
      <c r="C89" s="800">
        <v>1064.9000000000001</v>
      </c>
      <c r="D89" s="780" t="s">
        <v>136</v>
      </c>
      <c r="E89" s="780" t="s">
        <v>189</v>
      </c>
      <c r="F89" s="780"/>
      <c r="G89" s="797"/>
      <c r="H89" s="797"/>
      <c r="I89" s="782"/>
    </row>
    <row r="90" spans="1:10" s="781" customFormat="1" ht="20.100000000000001" customHeight="1" x14ac:dyDescent="0.25">
      <c r="A90" s="31"/>
      <c r="B90" s="781" t="s">
        <v>190</v>
      </c>
      <c r="C90" s="800">
        <v>2055.0700000000002</v>
      </c>
      <c r="D90" s="780" t="s">
        <v>136</v>
      </c>
      <c r="E90" s="780" t="s">
        <v>187</v>
      </c>
      <c r="F90" s="780"/>
      <c r="G90" s="797"/>
      <c r="H90" s="797"/>
      <c r="I90" s="782"/>
    </row>
    <row r="91" spans="1:10" s="781" customFormat="1" ht="20.100000000000001" customHeight="1" x14ac:dyDescent="0.25">
      <c r="A91" s="768"/>
      <c r="B91" s="781" t="s">
        <v>191</v>
      </c>
      <c r="C91" s="800">
        <v>7050.58</v>
      </c>
      <c r="D91" s="780" t="s">
        <v>136</v>
      </c>
      <c r="E91" s="780" t="s">
        <v>187</v>
      </c>
      <c r="F91" s="780"/>
      <c r="G91" s="797"/>
      <c r="H91" s="797"/>
      <c r="I91" s="782"/>
    </row>
    <row r="92" spans="1:10" s="781" customFormat="1" ht="20.100000000000001" customHeight="1" x14ac:dyDescent="0.25">
      <c r="A92" s="768"/>
      <c r="B92" s="781" t="s">
        <v>192</v>
      </c>
      <c r="C92" s="800">
        <v>4695.5</v>
      </c>
      <c r="D92" s="780" t="s">
        <v>136</v>
      </c>
      <c r="E92" s="780" t="s">
        <v>193</v>
      </c>
      <c r="F92" s="780"/>
      <c r="G92" s="797"/>
      <c r="H92" s="797"/>
      <c r="I92" s="782"/>
    </row>
    <row r="93" spans="1:10" s="781" customFormat="1" ht="20.100000000000001" customHeight="1" x14ac:dyDescent="0.25">
      <c r="A93" s="768"/>
      <c r="B93" s="781" t="s">
        <v>194</v>
      </c>
      <c r="C93" s="797">
        <v>4575.13</v>
      </c>
      <c r="D93" s="780" t="s">
        <v>136</v>
      </c>
      <c r="E93" s="780" t="s">
        <v>630</v>
      </c>
      <c r="F93" s="780"/>
      <c r="G93" s="797"/>
      <c r="H93" s="797"/>
      <c r="I93" s="782"/>
    </row>
    <row r="94" spans="1:10" s="781" customFormat="1" ht="20.100000000000001" customHeight="1" x14ac:dyDescent="0.25">
      <c r="A94" s="768"/>
      <c r="B94" s="781" t="s">
        <v>108</v>
      </c>
      <c r="C94" s="797">
        <v>742.6</v>
      </c>
      <c r="D94" s="780" t="s">
        <v>136</v>
      </c>
      <c r="E94" s="780" t="s">
        <v>177</v>
      </c>
      <c r="F94" s="780"/>
      <c r="G94" s="797"/>
      <c r="H94" s="797"/>
      <c r="I94" s="782"/>
    </row>
    <row r="95" spans="1:10" s="781" customFormat="1" ht="20.100000000000001" customHeight="1" x14ac:dyDescent="0.25">
      <c r="A95" s="768"/>
      <c r="B95" s="781" t="s">
        <v>108</v>
      </c>
      <c r="C95" s="797">
        <v>3370.97</v>
      </c>
      <c r="D95" s="780" t="s">
        <v>136</v>
      </c>
      <c r="E95" s="780" t="s">
        <v>631</v>
      </c>
      <c r="F95" s="780"/>
      <c r="G95" s="797"/>
      <c r="H95" s="797"/>
      <c r="I95" s="782"/>
    </row>
    <row r="96" spans="1:10" s="781" customFormat="1" ht="20.100000000000001" customHeight="1" x14ac:dyDescent="0.25">
      <c r="A96" s="768"/>
      <c r="B96" s="781" t="s">
        <v>273</v>
      </c>
      <c r="C96" s="797">
        <v>5762.34</v>
      </c>
      <c r="D96" s="780" t="s">
        <v>136</v>
      </c>
      <c r="E96" s="780" t="s">
        <v>631</v>
      </c>
      <c r="F96" s="780"/>
      <c r="G96" s="797"/>
      <c r="H96" s="797"/>
      <c r="I96" s="782"/>
    </row>
    <row r="97" spans="1:10" s="781" customFormat="1" ht="20.100000000000001" customHeight="1" x14ac:dyDescent="0.25">
      <c r="A97" s="768"/>
      <c r="B97" s="781" t="s">
        <v>433</v>
      </c>
      <c r="C97" s="797">
        <v>6342.3799999999992</v>
      </c>
      <c r="D97" s="780" t="s">
        <v>136</v>
      </c>
      <c r="E97" s="780" t="s">
        <v>177</v>
      </c>
      <c r="F97" s="780"/>
      <c r="G97" s="797"/>
      <c r="H97" s="797"/>
      <c r="I97" s="782"/>
    </row>
    <row r="98" spans="1:10" s="781" customFormat="1" ht="20.100000000000001" customHeight="1" x14ac:dyDescent="0.25">
      <c r="A98" s="768"/>
      <c r="B98" s="781" t="s">
        <v>632</v>
      </c>
      <c r="C98" s="797">
        <v>141078.75</v>
      </c>
      <c r="D98" s="780" t="s">
        <v>136</v>
      </c>
      <c r="E98" s="780" t="s">
        <v>631</v>
      </c>
      <c r="F98" s="780"/>
      <c r="G98" s="797"/>
      <c r="H98" s="797"/>
      <c r="I98" s="782"/>
    </row>
    <row r="99" spans="1:10" s="781" customFormat="1" ht="20.100000000000001" customHeight="1" x14ac:dyDescent="0.25">
      <c r="A99" s="768"/>
      <c r="B99" s="781" t="s">
        <v>632</v>
      </c>
      <c r="C99" s="797">
        <v>94461.759999999995</v>
      </c>
      <c r="D99" s="780" t="s">
        <v>136</v>
      </c>
      <c r="E99" s="780" t="s">
        <v>177</v>
      </c>
      <c r="F99" s="780"/>
      <c r="G99" s="797"/>
      <c r="H99" s="797"/>
      <c r="I99" s="782"/>
    </row>
    <row r="100" spans="1:10" s="781" customFormat="1" ht="20.100000000000001" customHeight="1" thickBot="1" x14ac:dyDescent="0.3">
      <c r="A100" s="768"/>
      <c r="C100" s="795">
        <f>SUM(C89:C99)</f>
        <v>271199.98</v>
      </c>
      <c r="D100" s="780" t="s">
        <v>136</v>
      </c>
      <c r="E100" s="780"/>
      <c r="F100" s="780"/>
      <c r="G100" s="797"/>
      <c r="H100" s="754"/>
      <c r="I100" s="782"/>
    </row>
    <row r="101" spans="1:10" s="781" customFormat="1" ht="20.100000000000001" customHeight="1" thickTop="1" x14ac:dyDescent="0.25">
      <c r="A101" s="768"/>
      <c r="B101" s="226"/>
      <c r="C101" s="226"/>
      <c r="D101" s="226"/>
      <c r="E101" s="226"/>
      <c r="F101" s="226"/>
      <c r="G101" s="226"/>
      <c r="H101" s="226"/>
      <c r="I101" s="782"/>
    </row>
    <row r="103" spans="1:10" s="330" customFormat="1" ht="19.5" customHeight="1" x14ac:dyDescent="0.25">
      <c r="A103" s="899" t="s">
        <v>736</v>
      </c>
      <c r="B103" s="899"/>
      <c r="C103" s="899"/>
      <c r="D103" s="899"/>
      <c r="E103" s="899"/>
      <c r="F103" s="899"/>
      <c r="G103" s="899"/>
      <c r="H103" s="899"/>
      <c r="I103" s="899"/>
      <c r="J103" s="899"/>
    </row>
    <row r="104" spans="1:10" s="781" customFormat="1" ht="20.100000000000001" customHeight="1" thickBot="1" x14ac:dyDescent="0.3">
      <c r="A104" s="900"/>
      <c r="B104" s="900"/>
      <c r="C104" s="900"/>
      <c r="D104" s="900"/>
      <c r="E104" s="900"/>
      <c r="F104" s="900"/>
      <c r="G104" s="900"/>
      <c r="H104" s="900"/>
      <c r="I104" s="900"/>
      <c r="J104" s="900"/>
    </row>
    <row r="105" spans="1:10" s="781" customFormat="1" ht="50.25" thickBot="1" x14ac:dyDescent="0.3">
      <c r="A105" s="783" t="s">
        <v>737</v>
      </c>
      <c r="B105" s="784" t="s">
        <v>14</v>
      </c>
      <c r="C105" s="785" t="s">
        <v>532</v>
      </c>
      <c r="D105" s="785" t="s">
        <v>17</v>
      </c>
      <c r="E105" s="785" t="s">
        <v>18</v>
      </c>
      <c r="F105" s="784" t="s">
        <v>183</v>
      </c>
      <c r="G105" s="752" t="s">
        <v>20</v>
      </c>
      <c r="H105" s="752" t="s">
        <v>174</v>
      </c>
      <c r="I105" s="784" t="s">
        <v>61</v>
      </c>
      <c r="J105" s="784" t="s">
        <v>46</v>
      </c>
    </row>
    <row r="106" spans="1:10" s="781" customFormat="1" ht="20.100000000000001" customHeight="1" x14ac:dyDescent="0.25">
      <c r="A106" s="786" t="s">
        <v>47</v>
      </c>
      <c r="B106" s="787">
        <f>SUM(I85)</f>
        <v>271199.97999995993</v>
      </c>
      <c r="C106" s="787">
        <f>5293371.85999999+436012.53</f>
        <v>5729384.3899999904</v>
      </c>
      <c r="D106" s="788">
        <v>606528.91</v>
      </c>
      <c r="E106" s="788">
        <v>300559.34999999998</v>
      </c>
      <c r="F106" s="787">
        <f>B106+C106-D106-E106</f>
        <v>5093496.109999951</v>
      </c>
      <c r="G106" s="789">
        <v>4536495.66</v>
      </c>
      <c r="H106" s="789">
        <f>G106/F106*100</f>
        <v>89.064476776444295</v>
      </c>
      <c r="I106" s="788">
        <f>F106-G106</f>
        <v>557000.44999995083</v>
      </c>
      <c r="J106" s="788">
        <f>I106/F106*100</f>
        <v>10.9355232235557</v>
      </c>
    </row>
    <row r="107" spans="1:10" s="781" customFormat="1" ht="20.100000000000001" customHeight="1" thickBot="1" x14ac:dyDescent="0.3">
      <c r="A107" s="763" t="s">
        <v>36</v>
      </c>
      <c r="B107" s="764">
        <f t="shared" ref="B107:G107" si="5">SUM(B106:B106)</f>
        <v>271199.97999995993</v>
      </c>
      <c r="C107" s="764">
        <f t="shared" si="5"/>
        <v>5729384.3899999904</v>
      </c>
      <c r="D107" s="765">
        <f t="shared" si="5"/>
        <v>606528.91</v>
      </c>
      <c r="E107" s="765">
        <f t="shared" si="5"/>
        <v>300559.34999999998</v>
      </c>
      <c r="F107" s="764">
        <f t="shared" si="5"/>
        <v>5093496.109999951</v>
      </c>
      <c r="G107" s="766">
        <f t="shared" si="5"/>
        <v>4536495.66</v>
      </c>
      <c r="H107" s="766">
        <f>(G107/F107)*100</f>
        <v>89.064476776444295</v>
      </c>
      <c r="I107" s="765">
        <f>SUM(I106:I106)</f>
        <v>557000.44999995083</v>
      </c>
      <c r="J107" s="765">
        <f>I107/F107*100</f>
        <v>10.9355232235557</v>
      </c>
    </row>
    <row r="108" spans="1:10" s="781" customFormat="1" ht="20.100000000000001" customHeight="1" thickTop="1" x14ac:dyDescent="0.25">
      <c r="A108" s="793"/>
      <c r="B108" s="34"/>
      <c r="C108" s="794"/>
      <c r="D108" s="362"/>
      <c r="E108" s="362"/>
      <c r="F108" s="794"/>
      <c r="G108" s="365"/>
      <c r="H108" s="365"/>
      <c r="I108" s="362"/>
      <c r="J108" s="362"/>
    </row>
    <row r="109" spans="1:10" s="781" customFormat="1" ht="20.100000000000001" customHeight="1" x14ac:dyDescent="0.25">
      <c r="A109" s="767" t="s">
        <v>37</v>
      </c>
      <c r="B109" s="797"/>
      <c r="C109" s="780"/>
      <c r="D109" s="780"/>
      <c r="E109" s="780"/>
      <c r="F109" s="780"/>
      <c r="G109" s="797"/>
      <c r="H109" s="797"/>
      <c r="I109" s="782"/>
    </row>
    <row r="110" spans="1:10" s="781" customFormat="1" ht="20.100000000000001" customHeight="1" x14ac:dyDescent="0.25">
      <c r="A110" s="31" t="s">
        <v>176</v>
      </c>
      <c r="B110" s="781" t="s">
        <v>188</v>
      </c>
      <c r="C110" s="800">
        <v>1064.9000000000001</v>
      </c>
      <c r="D110" s="780" t="s">
        <v>136</v>
      </c>
      <c r="E110" s="780" t="s">
        <v>189</v>
      </c>
      <c r="F110" s="780"/>
      <c r="G110" s="797"/>
      <c r="H110" s="797"/>
      <c r="I110" s="782"/>
    </row>
    <row r="111" spans="1:10" s="781" customFormat="1" ht="20.100000000000001" customHeight="1" x14ac:dyDescent="0.25">
      <c r="A111" s="31"/>
      <c r="B111" s="781" t="s">
        <v>190</v>
      </c>
      <c r="C111" s="800">
        <v>2055.0700000000002</v>
      </c>
      <c r="D111" s="780" t="s">
        <v>136</v>
      </c>
      <c r="E111" s="780" t="s">
        <v>187</v>
      </c>
      <c r="F111" s="780"/>
      <c r="G111" s="797"/>
      <c r="H111" s="797"/>
      <c r="I111" s="782"/>
    </row>
    <row r="112" spans="1:10" s="781" customFormat="1" ht="20.100000000000001" customHeight="1" x14ac:dyDescent="0.25">
      <c r="A112" s="768"/>
      <c r="B112" s="781" t="s">
        <v>191</v>
      </c>
      <c r="C112" s="800">
        <v>7050.58</v>
      </c>
      <c r="D112" s="780" t="s">
        <v>136</v>
      </c>
      <c r="E112" s="780" t="s">
        <v>187</v>
      </c>
      <c r="F112" s="780"/>
      <c r="G112" s="797"/>
      <c r="H112" s="797"/>
      <c r="I112" s="782"/>
    </row>
    <row r="113" spans="1:10" s="781" customFormat="1" ht="20.100000000000001" customHeight="1" x14ac:dyDescent="0.25">
      <c r="A113" s="768"/>
      <c r="B113" s="781" t="s">
        <v>192</v>
      </c>
      <c r="C113" s="800">
        <v>4695.5</v>
      </c>
      <c r="D113" s="780" t="s">
        <v>136</v>
      </c>
      <c r="E113" s="780" t="s">
        <v>193</v>
      </c>
      <c r="F113" s="780"/>
      <c r="G113" s="797"/>
      <c r="H113" s="797"/>
      <c r="I113" s="782"/>
    </row>
    <row r="114" spans="1:10" s="781" customFormat="1" ht="20.100000000000001" customHeight="1" x14ac:dyDescent="0.25">
      <c r="A114" s="768"/>
      <c r="B114" s="781" t="s">
        <v>194</v>
      </c>
      <c r="C114" s="797">
        <v>4575.13</v>
      </c>
      <c r="D114" s="780" t="s">
        <v>136</v>
      </c>
      <c r="E114" s="780" t="s">
        <v>630</v>
      </c>
      <c r="F114" s="780"/>
      <c r="G114" s="797"/>
      <c r="H114" s="797"/>
      <c r="I114" s="782"/>
    </row>
    <row r="115" spans="1:10" s="781" customFormat="1" ht="20.100000000000001" customHeight="1" x14ac:dyDescent="0.25">
      <c r="A115" s="768"/>
      <c r="B115" s="781" t="s">
        <v>108</v>
      </c>
      <c r="C115" s="797">
        <v>742.6</v>
      </c>
      <c r="D115" s="780" t="s">
        <v>136</v>
      </c>
      <c r="E115" s="780" t="s">
        <v>177</v>
      </c>
      <c r="F115" s="780"/>
      <c r="G115" s="797"/>
      <c r="H115" s="797"/>
      <c r="I115" s="782"/>
    </row>
    <row r="116" spans="1:10" s="781" customFormat="1" ht="20.100000000000001" customHeight="1" x14ac:dyDescent="0.25">
      <c r="A116" s="768"/>
      <c r="B116" s="781" t="s">
        <v>738</v>
      </c>
      <c r="C116" s="797">
        <v>18883.309999999998</v>
      </c>
      <c r="D116" s="780" t="s">
        <v>136</v>
      </c>
      <c r="E116" s="780" t="s">
        <v>177</v>
      </c>
      <c r="F116" s="780"/>
      <c r="G116" s="797"/>
      <c r="H116" s="797"/>
      <c r="I116" s="782"/>
    </row>
    <row r="117" spans="1:10" s="781" customFormat="1" ht="20.100000000000001" customHeight="1" x14ac:dyDescent="0.25">
      <c r="A117" s="768"/>
      <c r="B117" s="781" t="s">
        <v>739</v>
      </c>
      <c r="C117" s="797">
        <v>106778.24000000001</v>
      </c>
      <c r="D117" s="780" t="s">
        <v>136</v>
      </c>
      <c r="E117" s="780" t="s">
        <v>740</v>
      </c>
      <c r="F117" s="780"/>
      <c r="G117" s="797"/>
      <c r="H117" s="797"/>
      <c r="I117" s="782"/>
    </row>
    <row r="118" spans="1:10" s="781" customFormat="1" ht="20.100000000000001" customHeight="1" x14ac:dyDescent="0.25">
      <c r="A118" s="768"/>
      <c r="B118" s="781" t="s">
        <v>686</v>
      </c>
      <c r="C118" s="797">
        <v>411155.12000000029</v>
      </c>
      <c r="D118" s="780" t="s">
        <v>136</v>
      </c>
      <c r="E118" s="780" t="s">
        <v>741</v>
      </c>
      <c r="F118" s="780"/>
      <c r="G118" s="797"/>
      <c r="H118" s="797"/>
      <c r="I118" s="782"/>
    </row>
    <row r="119" spans="1:10" s="781" customFormat="1" ht="20.100000000000001" customHeight="1" thickBot="1" x14ac:dyDescent="0.3">
      <c r="A119" s="768"/>
      <c r="C119" s="795">
        <f>SUM(C110:C118)</f>
        <v>557000.4500000003</v>
      </c>
      <c r="D119" s="780" t="s">
        <v>136</v>
      </c>
      <c r="E119" s="780"/>
      <c r="F119" s="780"/>
      <c r="G119" s="797"/>
      <c r="H119" s="754"/>
      <c r="I119" s="782"/>
    </row>
    <row r="120" spans="1:10" s="781" customFormat="1" ht="20.100000000000001" customHeight="1" thickTop="1" x14ac:dyDescent="0.25">
      <c r="A120" s="768"/>
      <c r="B120" s="226"/>
      <c r="C120" s="226"/>
      <c r="D120" s="226"/>
      <c r="E120" s="226"/>
      <c r="F120" s="226"/>
      <c r="G120" s="226"/>
      <c r="H120" s="226"/>
      <c r="I120" s="782"/>
    </row>
    <row r="122" spans="1:10" s="330" customFormat="1" ht="19.5" customHeight="1" x14ac:dyDescent="0.25">
      <c r="A122" s="899" t="s">
        <v>826</v>
      </c>
      <c r="B122" s="899"/>
      <c r="C122" s="899"/>
      <c r="D122" s="899"/>
      <c r="E122" s="899"/>
      <c r="F122" s="899"/>
      <c r="G122" s="899"/>
      <c r="H122" s="899"/>
      <c r="I122" s="899"/>
      <c r="J122" s="899"/>
    </row>
    <row r="123" spans="1:10" s="781" customFormat="1" ht="20.100000000000001" customHeight="1" thickBot="1" x14ac:dyDescent="0.3">
      <c r="A123" s="900"/>
      <c r="B123" s="900"/>
      <c r="C123" s="900"/>
      <c r="D123" s="900"/>
      <c r="E123" s="900"/>
      <c r="F123" s="900"/>
      <c r="G123" s="900"/>
      <c r="H123" s="900"/>
      <c r="I123" s="900"/>
      <c r="J123" s="900"/>
    </row>
    <row r="124" spans="1:10" s="781" customFormat="1" ht="50.25" thickBot="1" x14ac:dyDescent="0.3">
      <c r="A124" s="783" t="s">
        <v>827</v>
      </c>
      <c r="B124" s="784" t="s">
        <v>14</v>
      </c>
      <c r="C124" s="785" t="s">
        <v>690</v>
      </c>
      <c r="D124" s="785" t="s">
        <v>17</v>
      </c>
      <c r="E124" s="785" t="s">
        <v>18</v>
      </c>
      <c r="F124" s="784" t="s">
        <v>183</v>
      </c>
      <c r="G124" s="752" t="s">
        <v>20</v>
      </c>
      <c r="H124" s="752" t="s">
        <v>174</v>
      </c>
      <c r="I124" s="784" t="s">
        <v>61</v>
      </c>
      <c r="J124" s="784" t="s">
        <v>46</v>
      </c>
    </row>
    <row r="125" spans="1:10" s="781" customFormat="1" ht="20.100000000000001" customHeight="1" x14ac:dyDescent="0.25">
      <c r="A125" s="786" t="s">
        <v>47</v>
      </c>
      <c r="B125" s="787">
        <f>SUM(I106)</f>
        <v>557000.44999995083</v>
      </c>
      <c r="C125" s="787">
        <f>2511112.7+251560.37</f>
        <v>2762673.0700000003</v>
      </c>
      <c r="D125" s="788">
        <f>424256.21</f>
        <v>424256.21</v>
      </c>
      <c r="E125" s="788">
        <v>598495.49</v>
      </c>
      <c r="F125" s="787">
        <f>B125+C125-D125-E125</f>
        <v>2296921.8199999509</v>
      </c>
      <c r="G125" s="789">
        <v>1949280.89</v>
      </c>
      <c r="H125" s="789">
        <f>G125/F125*100</f>
        <v>84.864921088173631</v>
      </c>
      <c r="I125" s="788">
        <f>F125-G125</f>
        <v>347640.92999995104</v>
      </c>
      <c r="J125" s="788">
        <f>I125/F125*100</f>
        <v>15.135078911826373</v>
      </c>
    </row>
    <row r="126" spans="1:10" s="781" customFormat="1" ht="20.100000000000001" customHeight="1" thickBot="1" x14ac:dyDescent="0.3">
      <c r="A126" s="763" t="s">
        <v>36</v>
      </c>
      <c r="B126" s="764">
        <f t="shared" ref="B126:G126" si="6">SUM(B125:B125)</f>
        <v>557000.44999995083</v>
      </c>
      <c r="C126" s="764">
        <f t="shared" si="6"/>
        <v>2762673.0700000003</v>
      </c>
      <c r="D126" s="765">
        <f t="shared" si="6"/>
        <v>424256.21</v>
      </c>
      <c r="E126" s="765">
        <f t="shared" si="6"/>
        <v>598495.49</v>
      </c>
      <c r="F126" s="764">
        <f t="shared" si="6"/>
        <v>2296921.8199999509</v>
      </c>
      <c r="G126" s="766">
        <f t="shared" si="6"/>
        <v>1949280.89</v>
      </c>
      <c r="H126" s="766">
        <f>(G126/F126)*100</f>
        <v>84.864921088173631</v>
      </c>
      <c r="I126" s="765">
        <f>SUM(I125:I125)</f>
        <v>347640.92999995104</v>
      </c>
      <c r="J126" s="765">
        <f>I126/F126*100</f>
        <v>15.135078911826373</v>
      </c>
    </row>
    <row r="127" spans="1:10" s="781" customFormat="1" ht="20.100000000000001" customHeight="1" thickTop="1" x14ac:dyDescent="0.25">
      <c r="A127" s="793"/>
      <c r="B127" s="34"/>
      <c r="C127" s="794"/>
      <c r="D127" s="362"/>
      <c r="E127" s="362"/>
      <c r="F127" s="794"/>
      <c r="G127" s="365"/>
      <c r="H127" s="365"/>
      <c r="I127" s="362"/>
      <c r="J127" s="362"/>
    </row>
    <row r="128" spans="1:10" s="781" customFormat="1" ht="20.100000000000001" customHeight="1" x14ac:dyDescent="0.25">
      <c r="A128" s="767" t="s">
        <v>37</v>
      </c>
      <c r="B128" s="797"/>
      <c r="C128" s="780"/>
      <c r="D128" s="780"/>
      <c r="E128" s="780"/>
      <c r="F128" s="780"/>
      <c r="G128" s="797"/>
      <c r="H128" s="797"/>
      <c r="I128" s="782"/>
    </row>
    <row r="129" spans="1:10" s="781" customFormat="1" ht="20.100000000000001" customHeight="1" x14ac:dyDescent="0.25">
      <c r="A129" s="31" t="s">
        <v>176</v>
      </c>
      <c r="B129" s="781" t="s">
        <v>188</v>
      </c>
      <c r="C129" s="800">
        <v>1064.9000000000001</v>
      </c>
      <c r="D129" s="780" t="s">
        <v>136</v>
      </c>
      <c r="E129" s="780" t="s">
        <v>189</v>
      </c>
      <c r="F129" s="780"/>
      <c r="G129" s="797"/>
      <c r="H129" s="797"/>
      <c r="I129" s="782"/>
    </row>
    <row r="130" spans="1:10" s="781" customFormat="1" ht="20.100000000000001" customHeight="1" x14ac:dyDescent="0.25">
      <c r="A130" s="31"/>
      <c r="B130" s="781" t="s">
        <v>190</v>
      </c>
      <c r="C130" s="800">
        <v>2055.0700000000002</v>
      </c>
      <c r="D130" s="780" t="s">
        <v>136</v>
      </c>
      <c r="E130" s="780" t="s">
        <v>187</v>
      </c>
      <c r="F130" s="780"/>
      <c r="G130" s="797"/>
      <c r="H130" s="797"/>
      <c r="I130" s="782"/>
    </row>
    <row r="131" spans="1:10" s="781" customFormat="1" ht="20.100000000000001" customHeight="1" x14ac:dyDescent="0.25">
      <c r="A131" s="768"/>
      <c r="B131" s="781" t="s">
        <v>191</v>
      </c>
      <c r="C131" s="800">
        <v>7050.58</v>
      </c>
      <c r="D131" s="780" t="s">
        <v>136</v>
      </c>
      <c r="E131" s="780" t="s">
        <v>187</v>
      </c>
      <c r="F131" s="780"/>
      <c r="G131" s="797"/>
      <c r="H131" s="797"/>
      <c r="I131" s="782"/>
    </row>
    <row r="132" spans="1:10" s="781" customFormat="1" ht="20.100000000000001" customHeight="1" x14ac:dyDescent="0.25">
      <c r="A132" s="768"/>
      <c r="B132" s="781" t="s">
        <v>192</v>
      </c>
      <c r="C132" s="800">
        <v>4695.5</v>
      </c>
      <c r="D132" s="780" t="s">
        <v>136</v>
      </c>
      <c r="E132" s="780" t="s">
        <v>193</v>
      </c>
      <c r="F132" s="780"/>
      <c r="G132" s="797"/>
      <c r="H132" s="797"/>
      <c r="I132" s="782"/>
    </row>
    <row r="133" spans="1:10" s="781" customFormat="1" ht="20.100000000000001" customHeight="1" x14ac:dyDescent="0.25">
      <c r="A133" s="768"/>
      <c r="B133" s="781" t="s">
        <v>828</v>
      </c>
      <c r="C133" s="797">
        <v>5317.7300000000005</v>
      </c>
      <c r="D133" s="780" t="s">
        <v>136</v>
      </c>
      <c r="E133" s="780" t="s">
        <v>829</v>
      </c>
      <c r="F133" s="780"/>
      <c r="G133" s="797"/>
      <c r="H133" s="797"/>
      <c r="I133" s="782"/>
    </row>
    <row r="134" spans="1:10" s="781" customFormat="1" ht="20.100000000000001" customHeight="1" x14ac:dyDescent="0.25">
      <c r="A134" s="768"/>
      <c r="B134" s="781" t="s">
        <v>738</v>
      </c>
      <c r="C134" s="797">
        <v>9235.5</v>
      </c>
      <c r="D134" s="780" t="s">
        <v>136</v>
      </c>
      <c r="E134" s="780" t="s">
        <v>830</v>
      </c>
      <c r="F134" s="780"/>
      <c r="G134" s="797"/>
      <c r="H134" s="797"/>
      <c r="I134" s="782"/>
    </row>
    <row r="135" spans="1:10" s="781" customFormat="1" ht="20.100000000000001" customHeight="1" x14ac:dyDescent="0.25">
      <c r="A135" s="768"/>
      <c r="B135" s="781" t="s">
        <v>831</v>
      </c>
      <c r="C135" s="797">
        <v>32689.34</v>
      </c>
      <c r="D135" s="780" t="s">
        <v>136</v>
      </c>
      <c r="E135" s="780" t="s">
        <v>829</v>
      </c>
      <c r="F135" s="780"/>
      <c r="G135" s="797"/>
      <c r="H135" s="797"/>
      <c r="I135" s="782"/>
    </row>
    <row r="136" spans="1:10" s="781" customFormat="1" ht="20.100000000000001" customHeight="1" x14ac:dyDescent="0.25">
      <c r="A136" s="768"/>
      <c r="B136" s="781" t="s">
        <v>686</v>
      </c>
      <c r="C136" s="797">
        <v>34882.020000000004</v>
      </c>
      <c r="D136" s="780" t="s">
        <v>136</v>
      </c>
      <c r="E136" s="780" t="s">
        <v>832</v>
      </c>
      <c r="F136" s="780"/>
      <c r="G136" s="797"/>
      <c r="H136" s="797"/>
      <c r="I136" s="782"/>
    </row>
    <row r="137" spans="1:10" s="781" customFormat="1" ht="20.100000000000001" customHeight="1" x14ac:dyDescent="0.25">
      <c r="A137" s="768"/>
      <c r="B137" s="781" t="s">
        <v>760</v>
      </c>
      <c r="C137" s="797">
        <v>250650.28999999998</v>
      </c>
      <c r="D137" s="780" t="s">
        <v>136</v>
      </c>
      <c r="E137" s="780" t="s">
        <v>1040</v>
      </c>
      <c r="F137" s="780"/>
      <c r="G137" s="797"/>
      <c r="H137" s="797"/>
      <c r="I137" s="782"/>
    </row>
    <row r="138" spans="1:10" s="781" customFormat="1" ht="20.100000000000001" customHeight="1" thickBot="1" x14ac:dyDescent="0.3">
      <c r="A138" s="768"/>
      <c r="C138" s="795">
        <f>SUM(C129:C137)</f>
        <v>347640.93</v>
      </c>
      <c r="D138" s="780" t="s">
        <v>136</v>
      </c>
      <c r="E138" s="780"/>
      <c r="F138" s="780"/>
      <c r="G138" s="797"/>
      <c r="H138" s="754"/>
      <c r="I138" s="782"/>
    </row>
    <row r="139" spans="1:10" s="781" customFormat="1" ht="20.100000000000001" customHeight="1" thickTop="1" x14ac:dyDescent="0.25">
      <c r="A139" s="768"/>
      <c r="B139" s="226"/>
      <c r="C139" s="226"/>
      <c r="D139" s="226"/>
      <c r="E139" s="226"/>
      <c r="F139" s="226"/>
      <c r="G139" s="226"/>
      <c r="H139" s="226"/>
      <c r="I139" s="782"/>
    </row>
    <row r="140" spans="1:10" ht="18.75" customHeight="1" x14ac:dyDescent="0.3">
      <c r="C140" s="329"/>
    </row>
    <row r="141" spans="1:10" s="330" customFormat="1" ht="19.5" customHeight="1" x14ac:dyDescent="0.25">
      <c r="A141" s="899" t="s">
        <v>1033</v>
      </c>
      <c r="B141" s="899"/>
      <c r="C141" s="899"/>
      <c r="D141" s="899"/>
      <c r="E141" s="899"/>
      <c r="F141" s="899"/>
      <c r="G141" s="899"/>
      <c r="H141" s="899"/>
      <c r="I141" s="899"/>
      <c r="J141" s="899"/>
    </row>
    <row r="142" spans="1:10" s="781" customFormat="1" ht="20.100000000000001" customHeight="1" thickBot="1" x14ac:dyDescent="0.3">
      <c r="A142" s="900"/>
      <c r="B142" s="900"/>
      <c r="C142" s="900"/>
      <c r="D142" s="900"/>
      <c r="E142" s="900"/>
      <c r="F142" s="900"/>
      <c r="G142" s="900"/>
      <c r="H142" s="900"/>
      <c r="I142" s="900"/>
      <c r="J142" s="900"/>
    </row>
    <row r="143" spans="1:10" s="781" customFormat="1" ht="50.25" thickBot="1" x14ac:dyDescent="0.3">
      <c r="A143" s="783" t="s">
        <v>1034</v>
      </c>
      <c r="B143" s="784" t="s">
        <v>14</v>
      </c>
      <c r="C143" s="785" t="s">
        <v>848</v>
      </c>
      <c r="D143" s="785" t="s">
        <v>17</v>
      </c>
      <c r="E143" s="785" t="s">
        <v>18</v>
      </c>
      <c r="F143" s="784" t="s">
        <v>183</v>
      </c>
      <c r="G143" s="752" t="s">
        <v>20</v>
      </c>
      <c r="H143" s="752" t="s">
        <v>174</v>
      </c>
      <c r="I143" s="784" t="s">
        <v>61</v>
      </c>
      <c r="J143" s="784" t="s">
        <v>46</v>
      </c>
    </row>
    <row r="144" spans="1:10" s="781" customFormat="1" ht="20.100000000000001" customHeight="1" x14ac:dyDescent="0.25">
      <c r="A144" s="786" t="s">
        <v>47</v>
      </c>
      <c r="B144" s="787">
        <f>SUM(I125)</f>
        <v>347640.92999995104</v>
      </c>
      <c r="C144" s="787">
        <f>3350827.26+416266</f>
        <v>3767093.26</v>
      </c>
      <c r="D144" s="788">
        <v>527544.21</v>
      </c>
      <c r="E144" s="788">
        <v>263925.81</v>
      </c>
      <c r="F144" s="787">
        <f>B144+C144-D144-E144</f>
        <v>3323264.169999951</v>
      </c>
      <c r="G144" s="789">
        <v>2844889.55</v>
      </c>
      <c r="H144" s="789">
        <f>G144/F144*100</f>
        <v>85.605278559604898</v>
      </c>
      <c r="I144" s="788">
        <f>F144-G144</f>
        <v>478374.61999995122</v>
      </c>
      <c r="J144" s="788">
        <f>I144/F144*100</f>
        <v>14.3947214403951</v>
      </c>
    </row>
    <row r="145" spans="1:10" s="781" customFormat="1" ht="20.100000000000001" customHeight="1" thickBot="1" x14ac:dyDescent="0.3">
      <c r="A145" s="763" t="s">
        <v>36</v>
      </c>
      <c r="B145" s="764">
        <f t="shared" ref="B145:G145" si="7">SUM(B144:B144)</f>
        <v>347640.92999995104</v>
      </c>
      <c r="C145" s="764">
        <f t="shared" si="7"/>
        <v>3767093.26</v>
      </c>
      <c r="D145" s="765">
        <f t="shared" si="7"/>
        <v>527544.21</v>
      </c>
      <c r="E145" s="765">
        <f t="shared" si="7"/>
        <v>263925.81</v>
      </c>
      <c r="F145" s="764">
        <f t="shared" si="7"/>
        <v>3323264.169999951</v>
      </c>
      <c r="G145" s="766">
        <f t="shared" si="7"/>
        <v>2844889.55</v>
      </c>
      <c r="H145" s="766">
        <f>(G145/F145)*100</f>
        <v>85.605278559604898</v>
      </c>
      <c r="I145" s="765">
        <f>SUM(I144:I144)</f>
        <v>478374.61999995122</v>
      </c>
      <c r="J145" s="765">
        <f>I145/F145*100</f>
        <v>14.3947214403951</v>
      </c>
    </row>
    <row r="146" spans="1:10" s="781" customFormat="1" ht="20.100000000000001" customHeight="1" thickTop="1" x14ac:dyDescent="0.25">
      <c r="A146" s="793"/>
      <c r="B146" s="34"/>
      <c r="C146" s="794"/>
      <c r="D146" s="362"/>
      <c r="E146" s="362"/>
      <c r="F146" s="794"/>
      <c r="G146" s="365"/>
      <c r="H146" s="365"/>
      <c r="I146" s="362"/>
      <c r="J146" s="362"/>
    </row>
    <row r="147" spans="1:10" s="781" customFormat="1" ht="20.100000000000001" customHeight="1" x14ac:dyDescent="0.25">
      <c r="A147" s="767" t="s">
        <v>37</v>
      </c>
      <c r="B147" s="797"/>
      <c r="C147" s="780"/>
      <c r="D147" s="780"/>
      <c r="E147" s="780"/>
      <c r="F147" s="780"/>
      <c r="G147" s="797"/>
      <c r="H147" s="797"/>
      <c r="I147" s="782"/>
    </row>
    <row r="148" spans="1:10" s="781" customFormat="1" ht="20.100000000000001" customHeight="1" x14ac:dyDescent="0.25">
      <c r="A148" s="31" t="s">
        <v>176</v>
      </c>
      <c r="B148" s="781" t="s">
        <v>188</v>
      </c>
      <c r="C148" s="800">
        <v>1064.9000000000001</v>
      </c>
      <c r="D148" s="780" t="s">
        <v>136</v>
      </c>
      <c r="E148" s="780" t="s">
        <v>189</v>
      </c>
      <c r="F148" s="780"/>
      <c r="G148" s="797"/>
      <c r="H148" s="797"/>
      <c r="I148" s="782"/>
    </row>
    <row r="149" spans="1:10" s="781" customFormat="1" ht="20.100000000000001" customHeight="1" x14ac:dyDescent="0.25">
      <c r="A149" s="31"/>
      <c r="B149" s="781" t="s">
        <v>190</v>
      </c>
      <c r="C149" s="800">
        <v>2055.0700000000002</v>
      </c>
      <c r="D149" s="780" t="s">
        <v>136</v>
      </c>
      <c r="E149" s="780" t="s">
        <v>187</v>
      </c>
      <c r="F149" s="780"/>
      <c r="G149" s="797"/>
      <c r="H149" s="797"/>
      <c r="I149" s="782"/>
    </row>
    <row r="150" spans="1:10" s="781" customFormat="1" ht="20.100000000000001" customHeight="1" x14ac:dyDescent="0.25">
      <c r="A150" s="768"/>
      <c r="B150" s="781" t="s">
        <v>191</v>
      </c>
      <c r="C150" s="800">
        <v>7050.58</v>
      </c>
      <c r="D150" s="780" t="s">
        <v>136</v>
      </c>
      <c r="E150" s="780" t="s">
        <v>187</v>
      </c>
      <c r="F150" s="780"/>
      <c r="G150" s="797"/>
      <c r="H150" s="797"/>
      <c r="I150" s="782"/>
    </row>
    <row r="151" spans="1:10" s="781" customFormat="1" ht="20.100000000000001" customHeight="1" x14ac:dyDescent="0.25">
      <c r="A151" s="768"/>
      <c r="B151" s="781" t="s">
        <v>192</v>
      </c>
      <c r="C151" s="800">
        <v>4695.5</v>
      </c>
      <c r="D151" s="780" t="s">
        <v>136</v>
      </c>
      <c r="E151" s="780" t="s">
        <v>193</v>
      </c>
      <c r="F151" s="780"/>
      <c r="G151" s="797"/>
      <c r="H151" s="797"/>
      <c r="I151" s="782"/>
    </row>
    <row r="152" spans="1:10" s="781" customFormat="1" ht="20.100000000000001" customHeight="1" x14ac:dyDescent="0.25">
      <c r="A152" s="768"/>
      <c r="B152" s="781" t="s">
        <v>828</v>
      </c>
      <c r="C152" s="797">
        <v>5317.7300000000005</v>
      </c>
      <c r="D152" s="780" t="s">
        <v>136</v>
      </c>
      <c r="E152" s="780" t="s">
        <v>829</v>
      </c>
      <c r="F152" s="780"/>
      <c r="G152" s="797"/>
      <c r="H152" s="797"/>
      <c r="I152" s="782"/>
    </row>
    <row r="153" spans="1:10" s="781" customFormat="1" ht="20.100000000000001" customHeight="1" x14ac:dyDescent="0.25">
      <c r="A153" s="768"/>
      <c r="B153" s="781" t="s">
        <v>1035</v>
      </c>
      <c r="C153" s="797">
        <v>10557.89</v>
      </c>
      <c r="D153" s="780" t="s">
        <v>136</v>
      </c>
      <c r="E153" s="780" t="s">
        <v>829</v>
      </c>
      <c r="F153" s="780"/>
      <c r="G153" s="797"/>
      <c r="H153" s="797"/>
      <c r="I153" s="782"/>
    </row>
    <row r="154" spans="1:10" s="781" customFormat="1" ht="20.100000000000001" customHeight="1" x14ac:dyDescent="0.25">
      <c r="A154" s="768"/>
      <c r="B154" s="781" t="s">
        <v>686</v>
      </c>
      <c r="C154" s="797">
        <v>22131.45</v>
      </c>
      <c r="D154" s="780" t="s">
        <v>136</v>
      </c>
      <c r="E154" s="780" t="s">
        <v>1036</v>
      </c>
      <c r="F154" s="780"/>
      <c r="G154" s="797"/>
      <c r="H154" s="797"/>
      <c r="I154" s="782"/>
    </row>
    <row r="155" spans="1:10" s="781" customFormat="1" ht="20.100000000000001" customHeight="1" x14ac:dyDescent="0.25">
      <c r="A155" s="768"/>
      <c r="B155" s="781" t="s">
        <v>1037</v>
      </c>
      <c r="C155" s="797">
        <v>9235.5</v>
      </c>
      <c r="D155" s="780" t="s">
        <v>136</v>
      </c>
      <c r="E155" s="780" t="s">
        <v>1038</v>
      </c>
      <c r="F155" s="780"/>
      <c r="G155" s="797"/>
      <c r="H155" s="797"/>
      <c r="I155" s="782"/>
    </row>
    <row r="156" spans="1:10" s="781" customFormat="1" ht="20.100000000000001" customHeight="1" x14ac:dyDescent="0.25">
      <c r="A156" s="768"/>
      <c r="B156" s="781" t="s">
        <v>760</v>
      </c>
      <c r="C156" s="797">
        <v>416266.00000000023</v>
      </c>
      <c r="D156" s="780" t="s">
        <v>136</v>
      </c>
      <c r="E156" s="780" t="s">
        <v>1039</v>
      </c>
      <c r="F156" s="780"/>
      <c r="G156" s="797"/>
      <c r="H156" s="797"/>
      <c r="I156" s="782"/>
    </row>
    <row r="157" spans="1:10" s="781" customFormat="1" ht="20.100000000000001" customHeight="1" thickBot="1" x14ac:dyDescent="0.3">
      <c r="A157" s="768"/>
      <c r="C157" s="795">
        <f>SUM(C148:C156)</f>
        <v>478374.62000000023</v>
      </c>
      <c r="D157" s="780" t="s">
        <v>136</v>
      </c>
      <c r="E157" s="780"/>
      <c r="F157" s="780"/>
      <c r="G157" s="797"/>
      <c r="H157" s="754"/>
      <c r="I157" s="782"/>
    </row>
    <row r="158" spans="1:10" s="781" customFormat="1" ht="20.100000000000001" customHeight="1" thickTop="1" x14ac:dyDescent="0.25">
      <c r="A158" s="768"/>
      <c r="B158" s="226"/>
      <c r="C158" s="226"/>
      <c r="D158" s="226"/>
      <c r="E158" s="226"/>
      <c r="F158" s="226"/>
      <c r="G158" s="226"/>
      <c r="H158" s="226"/>
      <c r="I158" s="782"/>
    </row>
    <row r="159" spans="1:10" ht="20.100000000000001" customHeight="1" x14ac:dyDescent="0.3">
      <c r="C159" s="802"/>
      <c r="D159" s="802"/>
      <c r="E159" s="802"/>
      <c r="F159" s="802"/>
    </row>
    <row r="160" spans="1:10" s="330" customFormat="1" ht="19.5" customHeight="1" x14ac:dyDescent="0.25">
      <c r="A160" s="899" t="s">
        <v>1144</v>
      </c>
      <c r="B160" s="899"/>
      <c r="C160" s="899"/>
      <c r="D160" s="899"/>
      <c r="E160" s="899"/>
      <c r="F160" s="899"/>
      <c r="G160" s="899"/>
      <c r="H160" s="899"/>
      <c r="I160" s="899"/>
      <c r="J160" s="899"/>
    </row>
    <row r="161" spans="1:10" s="781" customFormat="1" ht="20.100000000000001" customHeight="1" thickBot="1" x14ac:dyDescent="0.3">
      <c r="A161" s="900"/>
      <c r="B161" s="900"/>
      <c r="C161" s="900"/>
      <c r="D161" s="900"/>
      <c r="E161" s="900"/>
      <c r="F161" s="900"/>
      <c r="G161" s="900"/>
      <c r="H161" s="900"/>
      <c r="I161" s="900"/>
      <c r="J161" s="900"/>
    </row>
    <row r="162" spans="1:10" s="781" customFormat="1" ht="50.25" thickBot="1" x14ac:dyDescent="0.3">
      <c r="A162" s="783" t="s">
        <v>1145</v>
      </c>
      <c r="B162" s="784" t="s">
        <v>14</v>
      </c>
      <c r="C162" s="785" t="s">
        <v>962</v>
      </c>
      <c r="D162" s="785" t="s">
        <v>17</v>
      </c>
      <c r="E162" s="785" t="s">
        <v>18</v>
      </c>
      <c r="F162" s="784" t="s">
        <v>183</v>
      </c>
      <c r="G162" s="752" t="s">
        <v>20</v>
      </c>
      <c r="H162" s="752" t="s">
        <v>174</v>
      </c>
      <c r="I162" s="784" t="s">
        <v>61</v>
      </c>
      <c r="J162" s="784" t="s">
        <v>46</v>
      </c>
    </row>
    <row r="163" spans="1:10" s="781" customFormat="1" ht="20.100000000000001" customHeight="1" x14ac:dyDescent="0.25">
      <c r="A163" s="786" t="s">
        <v>47</v>
      </c>
      <c r="B163" s="787">
        <f>SUM(I144)</f>
        <v>478374.61999995122</v>
      </c>
      <c r="C163" s="787">
        <f>1245350.6+1669523.86+852577.37</f>
        <v>3767451.83</v>
      </c>
      <c r="D163" s="788">
        <v>195120.56</v>
      </c>
      <c r="E163" s="788">
        <v>59645.69</v>
      </c>
      <c r="F163" s="787">
        <f>B163+C163-D163-E163</f>
        <v>3991060.1999999508</v>
      </c>
      <c r="G163" s="789">
        <v>1414760.78</v>
      </c>
      <c r="H163" s="789">
        <f>G163/F163*100</f>
        <v>35.44824455416677</v>
      </c>
      <c r="I163" s="788">
        <f>F163-G163</f>
        <v>2576299.4199999506</v>
      </c>
      <c r="J163" s="788">
        <f>I163/F163*100</f>
        <v>64.551755445833223</v>
      </c>
    </row>
    <row r="164" spans="1:10" s="781" customFormat="1" ht="20.100000000000001" customHeight="1" thickBot="1" x14ac:dyDescent="0.3">
      <c r="A164" s="763" t="s">
        <v>36</v>
      </c>
      <c r="B164" s="764">
        <f t="shared" ref="B164:G164" si="8">SUM(B163:B163)</f>
        <v>478374.61999995122</v>
      </c>
      <c r="C164" s="764">
        <f t="shared" si="8"/>
        <v>3767451.83</v>
      </c>
      <c r="D164" s="765">
        <f t="shared" si="8"/>
        <v>195120.56</v>
      </c>
      <c r="E164" s="765">
        <f t="shared" si="8"/>
        <v>59645.69</v>
      </c>
      <c r="F164" s="764">
        <f t="shared" si="8"/>
        <v>3991060.1999999508</v>
      </c>
      <c r="G164" s="766">
        <f t="shared" si="8"/>
        <v>1414760.78</v>
      </c>
      <c r="H164" s="766">
        <f>(G164/F164)*100</f>
        <v>35.44824455416677</v>
      </c>
      <c r="I164" s="765">
        <f>SUM(I163:I163)</f>
        <v>2576299.4199999506</v>
      </c>
      <c r="J164" s="765">
        <f>I164/F164*100</f>
        <v>64.551755445833223</v>
      </c>
    </row>
    <row r="165" spans="1:10" s="781" customFormat="1" ht="20.100000000000001" customHeight="1" thickTop="1" x14ac:dyDescent="0.25">
      <c r="A165" s="793"/>
      <c r="B165" s="34"/>
      <c r="C165" s="794"/>
      <c r="D165" s="362"/>
      <c r="E165" s="362"/>
      <c r="F165" s="794"/>
      <c r="G165" s="365"/>
      <c r="H165" s="365"/>
      <c r="I165" s="362"/>
      <c r="J165" s="362"/>
    </row>
    <row r="166" spans="1:10" s="781" customFormat="1" ht="20.100000000000001" customHeight="1" x14ac:dyDescent="0.25">
      <c r="A166" s="767" t="s">
        <v>37</v>
      </c>
      <c r="B166" s="797"/>
      <c r="C166" s="780"/>
      <c r="D166" s="780"/>
      <c r="E166" s="780"/>
      <c r="F166" s="780"/>
      <c r="G166" s="797"/>
      <c r="H166" s="797"/>
      <c r="I166" s="782"/>
    </row>
    <row r="167" spans="1:10" s="781" customFormat="1" ht="20.100000000000001" customHeight="1" x14ac:dyDescent="0.25">
      <c r="A167" s="31" t="s">
        <v>176</v>
      </c>
      <c r="B167" s="781" t="s">
        <v>188</v>
      </c>
      <c r="C167" s="800">
        <v>1064.9000000000001</v>
      </c>
      <c r="D167" s="780" t="s">
        <v>136</v>
      </c>
      <c r="E167" s="780" t="s">
        <v>189</v>
      </c>
      <c r="F167" s="780"/>
      <c r="G167" s="797"/>
      <c r="H167" s="797"/>
      <c r="I167" s="782"/>
    </row>
    <row r="168" spans="1:10" s="781" customFormat="1" ht="20.100000000000001" customHeight="1" x14ac:dyDescent="0.25">
      <c r="A168" s="31"/>
      <c r="B168" s="781" t="s">
        <v>190</v>
      </c>
      <c r="C168" s="800">
        <v>2055.0700000000002</v>
      </c>
      <c r="D168" s="780" t="s">
        <v>136</v>
      </c>
      <c r="E168" s="780" t="s">
        <v>187</v>
      </c>
      <c r="F168" s="780"/>
      <c r="G168" s="797"/>
      <c r="H168" s="797"/>
      <c r="I168" s="782"/>
    </row>
    <row r="169" spans="1:10" s="781" customFormat="1" ht="20.100000000000001" customHeight="1" x14ac:dyDescent="0.25">
      <c r="A169" s="768"/>
      <c r="B169" s="781" t="s">
        <v>191</v>
      </c>
      <c r="C169" s="800">
        <v>7050.58</v>
      </c>
      <c r="D169" s="780" t="s">
        <v>136</v>
      </c>
      <c r="E169" s="780" t="s">
        <v>187</v>
      </c>
      <c r="F169" s="780"/>
      <c r="G169" s="797"/>
      <c r="H169" s="797"/>
      <c r="I169" s="782"/>
    </row>
    <row r="170" spans="1:10" s="781" customFormat="1" ht="20.100000000000001" customHeight="1" x14ac:dyDescent="0.25">
      <c r="A170" s="768"/>
      <c r="B170" s="781" t="s">
        <v>192</v>
      </c>
      <c r="C170" s="800">
        <v>4695.5</v>
      </c>
      <c r="D170" s="780" t="s">
        <v>136</v>
      </c>
      <c r="E170" s="780" t="s">
        <v>193</v>
      </c>
      <c r="F170" s="780"/>
      <c r="G170" s="797"/>
      <c r="H170" s="797"/>
      <c r="I170" s="782"/>
    </row>
    <row r="171" spans="1:10" s="781" customFormat="1" ht="20.100000000000001" customHeight="1" x14ac:dyDescent="0.25">
      <c r="A171" s="768"/>
      <c r="B171" s="781" t="s">
        <v>828</v>
      </c>
      <c r="C171" s="797">
        <v>5317.7300000000005</v>
      </c>
      <c r="D171" s="780" t="s">
        <v>136</v>
      </c>
      <c r="E171" s="780" t="s">
        <v>829</v>
      </c>
      <c r="F171" s="780"/>
      <c r="G171" s="797"/>
      <c r="H171" s="797"/>
      <c r="I171" s="782"/>
    </row>
    <row r="172" spans="1:10" s="781" customFormat="1" ht="20.100000000000001" customHeight="1" x14ac:dyDescent="0.25">
      <c r="A172" s="768"/>
      <c r="B172" s="781" t="s">
        <v>1035</v>
      </c>
      <c r="C172" s="797">
        <v>10557.89</v>
      </c>
      <c r="D172" s="780" t="s">
        <v>136</v>
      </c>
      <c r="E172" s="780" t="s">
        <v>829</v>
      </c>
      <c r="F172" s="780"/>
      <c r="G172" s="797"/>
      <c r="H172" s="797"/>
      <c r="I172" s="782"/>
    </row>
    <row r="173" spans="1:10" s="781" customFormat="1" ht="20.100000000000001" customHeight="1" x14ac:dyDescent="0.25">
      <c r="A173" s="768"/>
      <c r="B173" s="781" t="s">
        <v>925</v>
      </c>
      <c r="C173" s="797">
        <v>14221.02</v>
      </c>
      <c r="D173" s="780" t="s">
        <v>136</v>
      </c>
      <c r="E173" s="780" t="s">
        <v>829</v>
      </c>
      <c r="F173" s="780"/>
      <c r="G173" s="797"/>
      <c r="H173" s="797"/>
      <c r="I173" s="782"/>
    </row>
    <row r="174" spans="1:10" s="781" customFormat="1" ht="20.100000000000001" customHeight="1" x14ac:dyDescent="0.25">
      <c r="A174" s="768"/>
      <c r="B174" s="781" t="s">
        <v>1028</v>
      </c>
      <c r="C174" s="797">
        <v>6599.8600000000006</v>
      </c>
      <c r="D174" s="780" t="s">
        <v>136</v>
      </c>
      <c r="E174" s="780" t="s">
        <v>829</v>
      </c>
      <c r="F174" s="780"/>
      <c r="G174" s="797"/>
      <c r="H174" s="797"/>
      <c r="I174" s="782"/>
    </row>
    <row r="175" spans="1:10" s="781" customFormat="1" ht="20.100000000000001" customHeight="1" x14ac:dyDescent="0.25">
      <c r="A175" s="768"/>
      <c r="B175" s="781" t="s">
        <v>1037</v>
      </c>
      <c r="C175" s="797">
        <v>9235.5</v>
      </c>
      <c r="D175" s="780" t="s">
        <v>136</v>
      </c>
      <c r="E175" s="780" t="s">
        <v>1146</v>
      </c>
      <c r="F175" s="780"/>
      <c r="G175" s="797"/>
      <c r="H175" s="797"/>
      <c r="I175" s="782"/>
    </row>
    <row r="176" spans="1:10" s="798" customFormat="1" ht="20.100000000000001" customHeight="1" x14ac:dyDescent="0.25">
      <c r="A176" s="876"/>
      <c r="B176" s="798" t="s">
        <v>1028</v>
      </c>
      <c r="C176" s="800">
        <v>1669523.86</v>
      </c>
      <c r="D176" s="800" t="s">
        <v>136</v>
      </c>
      <c r="E176" s="800" t="s">
        <v>1147</v>
      </c>
      <c r="F176" s="800"/>
      <c r="G176" s="800"/>
      <c r="H176" s="800"/>
      <c r="I176" s="877"/>
    </row>
    <row r="177" spans="1:10" s="781" customFormat="1" ht="20.100000000000001" customHeight="1" x14ac:dyDescent="0.25">
      <c r="A177" s="768"/>
      <c r="B177" s="781" t="s">
        <v>1028</v>
      </c>
      <c r="C177" s="797">
        <v>845977.51000000024</v>
      </c>
      <c r="D177" s="780" t="s">
        <v>136</v>
      </c>
      <c r="E177" s="780" t="s">
        <v>1146</v>
      </c>
      <c r="F177" s="780"/>
      <c r="G177" s="797"/>
      <c r="H177" s="797"/>
      <c r="I177" s="782"/>
    </row>
    <row r="178" spans="1:10" s="781" customFormat="1" ht="20.100000000000001" customHeight="1" thickBot="1" x14ac:dyDescent="0.3">
      <c r="A178" s="768"/>
      <c r="C178" s="795">
        <f>SUM(C167:C177)</f>
        <v>2576299.4200000004</v>
      </c>
      <c r="D178" s="780" t="s">
        <v>136</v>
      </c>
      <c r="E178" s="780"/>
      <c r="F178" s="780"/>
      <c r="G178" s="797"/>
      <c r="H178" s="754"/>
      <c r="I178" s="782"/>
    </row>
    <row r="179" spans="1:10" s="781" customFormat="1" ht="20.100000000000001" customHeight="1" thickTop="1" x14ac:dyDescent="0.25">
      <c r="A179" s="768"/>
      <c r="B179" s="226"/>
      <c r="C179" s="226"/>
      <c r="D179" s="226"/>
      <c r="E179" s="226"/>
      <c r="F179" s="226"/>
      <c r="G179" s="226"/>
      <c r="H179" s="226"/>
      <c r="I179" s="782"/>
    </row>
    <row r="180" spans="1:10" s="802" customFormat="1" ht="20.100000000000001" customHeight="1" x14ac:dyDescent="0.3"/>
    <row r="181" spans="1:10" s="330" customFormat="1" ht="19.5" customHeight="1" x14ac:dyDescent="0.25">
      <c r="A181" s="899" t="s">
        <v>1197</v>
      </c>
      <c r="B181" s="899"/>
      <c r="C181" s="899"/>
      <c r="D181" s="899"/>
      <c r="E181" s="899"/>
      <c r="F181" s="899"/>
      <c r="G181" s="899"/>
      <c r="H181" s="899"/>
      <c r="I181" s="899"/>
      <c r="J181" s="899"/>
    </row>
    <row r="182" spans="1:10" s="781" customFormat="1" ht="20.100000000000001" customHeight="1" thickBot="1" x14ac:dyDescent="0.3">
      <c r="A182" s="900"/>
      <c r="B182" s="900"/>
      <c r="C182" s="900"/>
      <c r="D182" s="900"/>
      <c r="E182" s="900"/>
      <c r="F182" s="900"/>
      <c r="G182" s="900"/>
      <c r="H182" s="900"/>
      <c r="I182" s="900"/>
      <c r="J182" s="900"/>
    </row>
    <row r="183" spans="1:10" s="781" customFormat="1" ht="50.25" thickBot="1" x14ac:dyDescent="0.3">
      <c r="A183" s="783" t="s">
        <v>1198</v>
      </c>
      <c r="B183" s="784" t="s">
        <v>14</v>
      </c>
      <c r="C183" s="785" t="s">
        <v>965</v>
      </c>
      <c r="D183" s="785" t="s">
        <v>17</v>
      </c>
      <c r="E183" s="785" t="s">
        <v>18</v>
      </c>
      <c r="F183" s="784" t="s">
        <v>183</v>
      </c>
      <c r="G183" s="752" t="s">
        <v>20</v>
      </c>
      <c r="H183" s="752" t="s">
        <v>174</v>
      </c>
      <c r="I183" s="784" t="s">
        <v>61</v>
      </c>
      <c r="J183" s="784" t="s">
        <v>46</v>
      </c>
    </row>
    <row r="184" spans="1:10" s="781" customFormat="1" ht="20.100000000000001" customHeight="1" x14ac:dyDescent="0.25">
      <c r="A184" s="786" t="s">
        <v>47</v>
      </c>
      <c r="B184" s="787">
        <f>SUM(I163)</f>
        <v>2576299.4199999506</v>
      </c>
      <c r="C184" s="787">
        <f>908466.029999999+13055.67</f>
        <v>921521.69999999902</v>
      </c>
      <c r="D184" s="788">
        <v>456638.07</v>
      </c>
      <c r="E184" s="788">
        <v>618352.01</v>
      </c>
      <c r="F184" s="787">
        <f>B184+C184-D184-E184</f>
        <v>2422831.0399999497</v>
      </c>
      <c r="G184" s="789">
        <v>2358212.8199999998</v>
      </c>
      <c r="H184" s="789">
        <f>G184/F184*100</f>
        <v>97.332945676643163</v>
      </c>
      <c r="I184" s="788">
        <f>F184-G184</f>
        <v>64618.219999949913</v>
      </c>
      <c r="J184" s="788">
        <f>I184/F184*100</f>
        <v>2.66705432335683</v>
      </c>
    </row>
    <row r="185" spans="1:10" s="781" customFormat="1" ht="20.100000000000001" customHeight="1" thickBot="1" x14ac:dyDescent="0.3">
      <c r="A185" s="763" t="s">
        <v>36</v>
      </c>
      <c r="B185" s="764">
        <f t="shared" ref="B185:G185" si="9">SUM(B184:B184)</f>
        <v>2576299.4199999506</v>
      </c>
      <c r="C185" s="764">
        <f t="shared" si="9"/>
        <v>921521.69999999902</v>
      </c>
      <c r="D185" s="765">
        <f t="shared" si="9"/>
        <v>456638.07</v>
      </c>
      <c r="E185" s="765">
        <f t="shared" si="9"/>
        <v>618352.01</v>
      </c>
      <c r="F185" s="764">
        <f t="shared" si="9"/>
        <v>2422831.0399999497</v>
      </c>
      <c r="G185" s="766">
        <f t="shared" si="9"/>
        <v>2358212.8199999998</v>
      </c>
      <c r="H185" s="766">
        <f>(G185/F185)*100</f>
        <v>97.332945676643163</v>
      </c>
      <c r="I185" s="765">
        <f>SUM(I184:I184)</f>
        <v>64618.219999949913</v>
      </c>
      <c r="J185" s="765">
        <f>I185/F185*100</f>
        <v>2.66705432335683</v>
      </c>
    </row>
    <row r="186" spans="1:10" s="781" customFormat="1" ht="20.100000000000001" customHeight="1" thickTop="1" x14ac:dyDescent="0.25">
      <c r="A186" s="793"/>
      <c r="B186" s="34"/>
      <c r="C186" s="794"/>
      <c r="D186" s="362"/>
      <c r="E186" s="362"/>
      <c r="F186" s="794"/>
      <c r="G186" s="365"/>
      <c r="H186" s="365"/>
      <c r="I186" s="362"/>
      <c r="J186" s="362"/>
    </row>
    <row r="187" spans="1:10" s="781" customFormat="1" ht="20.100000000000001" customHeight="1" x14ac:dyDescent="0.25">
      <c r="A187" s="767" t="s">
        <v>37</v>
      </c>
      <c r="B187" s="797"/>
      <c r="C187" s="780"/>
      <c r="D187" s="780"/>
      <c r="E187" s="780"/>
      <c r="F187" s="780"/>
      <c r="G187" s="797"/>
      <c r="H187" s="797"/>
      <c r="I187" s="782"/>
    </row>
    <row r="188" spans="1:10" s="781" customFormat="1" ht="20.100000000000001" customHeight="1" x14ac:dyDescent="0.25">
      <c r="A188" s="31" t="s">
        <v>176</v>
      </c>
      <c r="B188" s="781" t="s">
        <v>188</v>
      </c>
      <c r="C188" s="800">
        <v>1064.9000000000001</v>
      </c>
      <c r="D188" s="780" t="s">
        <v>136</v>
      </c>
      <c r="E188" s="780" t="s">
        <v>189</v>
      </c>
      <c r="F188" s="780"/>
      <c r="G188" s="797"/>
      <c r="H188" s="797"/>
      <c r="I188" s="782"/>
    </row>
    <row r="189" spans="1:10" s="781" customFormat="1" ht="20.100000000000001" customHeight="1" x14ac:dyDescent="0.25">
      <c r="A189" s="31"/>
      <c r="B189" s="781" t="s">
        <v>190</v>
      </c>
      <c r="C189" s="800">
        <v>2055.0700000000002</v>
      </c>
      <c r="D189" s="780" t="s">
        <v>136</v>
      </c>
      <c r="E189" s="780" t="s">
        <v>187</v>
      </c>
      <c r="F189" s="780"/>
      <c r="G189" s="797"/>
      <c r="H189" s="797"/>
      <c r="I189" s="782"/>
    </row>
    <row r="190" spans="1:10" s="781" customFormat="1" ht="20.100000000000001" customHeight="1" x14ac:dyDescent="0.25">
      <c r="A190" s="768"/>
      <c r="B190" s="781" t="s">
        <v>191</v>
      </c>
      <c r="C190" s="800">
        <v>7050.58</v>
      </c>
      <c r="D190" s="780" t="s">
        <v>136</v>
      </c>
      <c r="E190" s="780" t="s">
        <v>187</v>
      </c>
      <c r="F190" s="780"/>
      <c r="G190" s="797"/>
      <c r="H190" s="797"/>
      <c r="I190" s="782"/>
    </row>
    <row r="191" spans="1:10" s="781" customFormat="1" ht="20.100000000000001" customHeight="1" x14ac:dyDescent="0.25">
      <c r="A191" s="768"/>
      <c r="B191" s="781" t="s">
        <v>192</v>
      </c>
      <c r="C191" s="800">
        <v>4695.5</v>
      </c>
      <c r="D191" s="780" t="s">
        <v>136</v>
      </c>
      <c r="E191" s="780" t="s">
        <v>193</v>
      </c>
      <c r="F191" s="780"/>
      <c r="G191" s="797"/>
      <c r="H191" s="797"/>
      <c r="I191" s="782"/>
    </row>
    <row r="192" spans="1:10" s="781" customFormat="1" ht="20.100000000000001" customHeight="1" x14ac:dyDescent="0.25">
      <c r="A192" s="768"/>
      <c r="B192" s="781" t="s">
        <v>828</v>
      </c>
      <c r="C192" s="797">
        <v>5317.7300000000005</v>
      </c>
      <c r="D192" s="780" t="s">
        <v>136</v>
      </c>
      <c r="E192" s="780" t="s">
        <v>829</v>
      </c>
      <c r="F192" s="780"/>
      <c r="G192" s="797"/>
      <c r="H192" s="797"/>
      <c r="I192" s="782"/>
    </row>
    <row r="193" spans="1:12" s="781" customFormat="1" ht="20.100000000000001" customHeight="1" x14ac:dyDescent="0.25">
      <c r="A193" s="768"/>
      <c r="B193" s="781" t="s">
        <v>1035</v>
      </c>
      <c r="C193" s="797">
        <v>10557.89</v>
      </c>
      <c r="D193" s="780" t="s">
        <v>136</v>
      </c>
      <c r="E193" s="780" t="s">
        <v>829</v>
      </c>
      <c r="F193" s="780"/>
      <c r="G193" s="797"/>
      <c r="H193" s="797"/>
      <c r="I193" s="782"/>
    </row>
    <row r="194" spans="1:12" s="781" customFormat="1" ht="20.100000000000001" customHeight="1" x14ac:dyDescent="0.25">
      <c r="A194" s="768"/>
      <c r="B194" s="781" t="s">
        <v>925</v>
      </c>
      <c r="C194" s="797">
        <v>14221.02</v>
      </c>
      <c r="D194" s="780" t="s">
        <v>136</v>
      </c>
      <c r="E194" s="780" t="s">
        <v>829</v>
      </c>
      <c r="F194" s="780"/>
      <c r="G194" s="797"/>
      <c r="H194" s="797"/>
      <c r="I194" s="782"/>
    </row>
    <row r="195" spans="1:12" s="781" customFormat="1" ht="20.100000000000001" customHeight="1" x14ac:dyDescent="0.25">
      <c r="A195" s="768"/>
      <c r="B195" s="781" t="s">
        <v>1028</v>
      </c>
      <c r="C195" s="797">
        <v>6599.8600000000006</v>
      </c>
      <c r="D195" s="780" t="s">
        <v>136</v>
      </c>
      <c r="E195" s="780" t="s">
        <v>829</v>
      </c>
      <c r="F195" s="780"/>
      <c r="G195" s="797"/>
      <c r="H195" s="797"/>
      <c r="I195" s="782"/>
    </row>
    <row r="196" spans="1:12" s="781" customFormat="1" ht="20.100000000000001" customHeight="1" x14ac:dyDescent="0.25">
      <c r="A196" s="768"/>
      <c r="B196" s="781" t="s">
        <v>1156</v>
      </c>
      <c r="C196" s="797">
        <v>13055.67</v>
      </c>
      <c r="D196" s="780" t="s">
        <v>136</v>
      </c>
      <c r="E196" s="780" t="s">
        <v>1199</v>
      </c>
      <c r="F196" s="780"/>
      <c r="G196" s="797"/>
      <c r="H196" s="797"/>
      <c r="I196" s="782"/>
    </row>
    <row r="197" spans="1:12" s="781" customFormat="1" ht="20.100000000000001" customHeight="1" thickBot="1" x14ac:dyDescent="0.3">
      <c r="A197" s="768"/>
      <c r="C197" s="795">
        <f>SUM(C188:C196)</f>
        <v>64618.22</v>
      </c>
      <c r="D197" s="780" t="s">
        <v>136</v>
      </c>
      <c r="E197" s="780"/>
      <c r="F197" s="780"/>
      <c r="G197" s="797"/>
      <c r="H197" s="754"/>
      <c r="I197" s="782"/>
    </row>
    <row r="198" spans="1:12" s="781" customFormat="1" ht="20.100000000000001" customHeight="1" thickTop="1" x14ac:dyDescent="0.25">
      <c r="A198" s="768"/>
      <c r="B198" s="226"/>
      <c r="C198" s="226"/>
      <c r="D198" s="226"/>
      <c r="E198" s="226"/>
      <c r="F198" s="226"/>
      <c r="G198" s="226"/>
      <c r="H198" s="226"/>
      <c r="I198" s="782"/>
    </row>
    <row r="200" spans="1:12" s="330" customFormat="1" ht="19.5" customHeight="1" x14ac:dyDescent="0.25">
      <c r="A200" s="899" t="s">
        <v>1330</v>
      </c>
      <c r="B200" s="899"/>
      <c r="C200" s="899"/>
      <c r="D200" s="899"/>
      <c r="E200" s="899"/>
      <c r="F200" s="899"/>
      <c r="G200" s="899"/>
      <c r="H200" s="899"/>
      <c r="I200" s="899"/>
      <c r="J200" s="899"/>
    </row>
    <row r="201" spans="1:12" s="781" customFormat="1" ht="20.100000000000001" customHeight="1" thickBot="1" x14ac:dyDescent="0.3">
      <c r="A201" s="900"/>
      <c r="B201" s="900"/>
      <c r="C201" s="900"/>
      <c r="D201" s="900"/>
      <c r="E201" s="900"/>
      <c r="F201" s="900"/>
      <c r="G201" s="900"/>
      <c r="H201" s="900"/>
      <c r="I201" s="900"/>
      <c r="J201" s="900"/>
      <c r="K201" s="41"/>
      <c r="L201" s="780"/>
    </row>
    <row r="202" spans="1:12" s="781" customFormat="1" ht="50.25" thickBot="1" x14ac:dyDescent="0.3">
      <c r="A202" s="783" t="s">
        <v>1331</v>
      </c>
      <c r="B202" s="784" t="s">
        <v>14</v>
      </c>
      <c r="C202" s="785" t="s">
        <v>1057</v>
      </c>
      <c r="D202" s="785" t="s">
        <v>17</v>
      </c>
      <c r="E202" s="785" t="s">
        <v>18</v>
      </c>
      <c r="F202" s="784" t="s">
        <v>183</v>
      </c>
      <c r="G202" s="752" t="s">
        <v>20</v>
      </c>
      <c r="H202" s="752" t="s">
        <v>174</v>
      </c>
      <c r="I202" s="784" t="s">
        <v>61</v>
      </c>
      <c r="J202" s="784" t="s">
        <v>46</v>
      </c>
    </row>
    <row r="203" spans="1:12" s="781" customFormat="1" ht="20.100000000000001" customHeight="1" x14ac:dyDescent="0.25">
      <c r="A203" s="786" t="s">
        <v>47</v>
      </c>
      <c r="B203" s="787">
        <f>SUM(I184)</f>
        <v>64618.219999949913</v>
      </c>
      <c r="C203" s="787">
        <v>264304.78000000003</v>
      </c>
      <c r="D203" s="788">
        <v>0</v>
      </c>
      <c r="E203" s="788">
        <v>0</v>
      </c>
      <c r="F203" s="787">
        <f>B203+C203-D203-E203</f>
        <v>328922.99999994994</v>
      </c>
      <c r="G203" s="789">
        <v>0</v>
      </c>
      <c r="H203" s="789">
        <f>G203/F203*100</f>
        <v>0</v>
      </c>
      <c r="I203" s="788">
        <f>F203-G203</f>
        <v>328922.99999994994</v>
      </c>
      <c r="J203" s="788">
        <f>I203/F203*100</f>
        <v>100</v>
      </c>
      <c r="K203" s="780"/>
      <c r="L203" s="780"/>
    </row>
    <row r="204" spans="1:12" s="781" customFormat="1" ht="20.100000000000001" customHeight="1" thickBot="1" x14ac:dyDescent="0.3">
      <c r="A204" s="763" t="s">
        <v>36</v>
      </c>
      <c r="B204" s="764">
        <f t="shared" ref="B204:G204" si="10">SUM(B203:B203)</f>
        <v>64618.219999949913</v>
      </c>
      <c r="C204" s="764">
        <f t="shared" si="10"/>
        <v>264304.78000000003</v>
      </c>
      <c r="D204" s="765">
        <f t="shared" si="10"/>
        <v>0</v>
      </c>
      <c r="E204" s="765">
        <f t="shared" si="10"/>
        <v>0</v>
      </c>
      <c r="F204" s="764">
        <f t="shared" si="10"/>
        <v>328922.99999994994</v>
      </c>
      <c r="G204" s="766">
        <f t="shared" si="10"/>
        <v>0</v>
      </c>
      <c r="H204" s="766">
        <f>(G204/F204)*100</f>
        <v>0</v>
      </c>
      <c r="I204" s="765">
        <f>SUM(I203:I203)</f>
        <v>328922.99999994994</v>
      </c>
      <c r="J204" s="765">
        <f>I204/F204*100</f>
        <v>100</v>
      </c>
    </row>
    <row r="205" spans="1:12" s="781" customFormat="1" ht="20.100000000000001" customHeight="1" thickTop="1" x14ac:dyDescent="0.25">
      <c r="A205" s="793"/>
      <c r="B205" s="34"/>
      <c r="C205" s="794"/>
      <c r="D205" s="362"/>
      <c r="E205" s="362"/>
      <c r="F205" s="794"/>
      <c r="G205" s="365"/>
      <c r="H205" s="365"/>
      <c r="I205" s="362"/>
      <c r="J205" s="362"/>
    </row>
    <row r="206" spans="1:12" s="781" customFormat="1" ht="20.100000000000001" customHeight="1" x14ac:dyDescent="0.25">
      <c r="A206" s="767" t="s">
        <v>37</v>
      </c>
      <c r="B206" s="797"/>
      <c r="C206" s="780"/>
      <c r="D206" s="780"/>
      <c r="E206" s="780"/>
      <c r="F206" s="780"/>
      <c r="G206" s="797"/>
      <c r="H206" s="797"/>
      <c r="I206" s="782"/>
    </row>
    <row r="207" spans="1:12" s="781" customFormat="1" ht="20.100000000000001" customHeight="1" x14ac:dyDescent="0.25">
      <c r="A207" s="31" t="s">
        <v>176</v>
      </c>
      <c r="B207" s="781" t="s">
        <v>188</v>
      </c>
      <c r="C207" s="800">
        <v>1064.9000000000001</v>
      </c>
      <c r="D207" s="780" t="s">
        <v>136</v>
      </c>
      <c r="E207" s="780" t="s">
        <v>189</v>
      </c>
      <c r="F207" s="780"/>
      <c r="G207" s="797"/>
      <c r="H207" s="797"/>
      <c r="I207" s="782"/>
    </row>
    <row r="208" spans="1:12" s="781" customFormat="1" ht="20.100000000000001" customHeight="1" x14ac:dyDescent="0.25">
      <c r="A208" s="31"/>
      <c r="B208" s="781" t="s">
        <v>190</v>
      </c>
      <c r="C208" s="800">
        <v>2055.0700000000002</v>
      </c>
      <c r="D208" s="780" t="s">
        <v>136</v>
      </c>
      <c r="E208" s="780" t="s">
        <v>187</v>
      </c>
      <c r="F208" s="780"/>
      <c r="G208" s="797"/>
      <c r="H208" s="797"/>
      <c r="I208" s="782"/>
    </row>
    <row r="209" spans="1:14" s="781" customFormat="1" ht="20.100000000000001" customHeight="1" x14ac:dyDescent="0.25">
      <c r="A209" s="768"/>
      <c r="B209" s="781" t="s">
        <v>191</v>
      </c>
      <c r="C209" s="800">
        <v>7050.58</v>
      </c>
      <c r="D209" s="780" t="s">
        <v>136</v>
      </c>
      <c r="E209" s="780" t="s">
        <v>187</v>
      </c>
      <c r="F209" s="780"/>
      <c r="G209" s="797"/>
      <c r="H209" s="797"/>
      <c r="I209" s="782"/>
    </row>
    <row r="210" spans="1:14" s="781" customFormat="1" ht="20.100000000000001" customHeight="1" x14ac:dyDescent="0.25">
      <c r="A210" s="768"/>
      <c r="B210" s="781" t="s">
        <v>192</v>
      </c>
      <c r="C210" s="800">
        <v>4695.5</v>
      </c>
      <c r="D210" s="780" t="s">
        <v>136</v>
      </c>
      <c r="E210" s="780" t="s">
        <v>193</v>
      </c>
      <c r="F210" s="780"/>
      <c r="G210" s="797"/>
      <c r="H210" s="797"/>
      <c r="I210" s="782"/>
    </row>
    <row r="211" spans="1:14" s="781" customFormat="1" ht="20.100000000000001" customHeight="1" x14ac:dyDescent="0.25">
      <c r="A211" s="768"/>
      <c r="B211" s="781" t="s">
        <v>828</v>
      </c>
      <c r="C211" s="797">
        <v>5317.7300000000005</v>
      </c>
      <c r="D211" s="780" t="s">
        <v>136</v>
      </c>
      <c r="E211" s="780" t="s">
        <v>829</v>
      </c>
      <c r="F211" s="780"/>
      <c r="G211" s="797"/>
      <c r="H211" s="797"/>
      <c r="I211" s="782"/>
    </row>
    <row r="212" spans="1:14" s="781" customFormat="1" ht="20.100000000000001" customHeight="1" x14ac:dyDescent="0.25">
      <c r="A212" s="768"/>
      <c r="B212" s="781" t="s">
        <v>1035</v>
      </c>
      <c r="C212" s="797">
        <v>10557.89</v>
      </c>
      <c r="D212" s="780" t="s">
        <v>136</v>
      </c>
      <c r="E212" s="780" t="s">
        <v>829</v>
      </c>
      <c r="F212" s="780"/>
      <c r="G212" s="797"/>
      <c r="H212" s="797"/>
      <c r="I212" s="782"/>
    </row>
    <row r="213" spans="1:14" s="781" customFormat="1" ht="20.100000000000001" customHeight="1" x14ac:dyDescent="0.25">
      <c r="A213" s="768"/>
      <c r="B213" s="781" t="s">
        <v>925</v>
      </c>
      <c r="C213" s="797">
        <v>14221.02</v>
      </c>
      <c r="D213" s="780" t="s">
        <v>136</v>
      </c>
      <c r="E213" s="780" t="s">
        <v>829</v>
      </c>
      <c r="F213" s="780"/>
      <c r="G213" s="797"/>
      <c r="H213" s="797"/>
      <c r="I213" s="782"/>
    </row>
    <row r="214" spans="1:14" s="781" customFormat="1" ht="20.100000000000001" customHeight="1" x14ac:dyDescent="0.25">
      <c r="A214" s="768"/>
      <c r="B214" s="781" t="s">
        <v>1028</v>
      </c>
      <c r="C214" s="797">
        <v>6599.8600000000006</v>
      </c>
      <c r="D214" s="780" t="s">
        <v>136</v>
      </c>
      <c r="E214" s="780" t="s">
        <v>829</v>
      </c>
      <c r="F214" s="780"/>
      <c r="G214" s="797"/>
      <c r="H214" s="797"/>
      <c r="I214" s="782"/>
    </row>
    <row r="215" spans="1:14" s="781" customFormat="1" ht="20.100000000000001" customHeight="1" x14ac:dyDescent="0.25">
      <c r="A215" s="768"/>
      <c r="B215" s="781" t="s">
        <v>1156</v>
      </c>
      <c r="C215" s="797">
        <v>13055.67</v>
      </c>
      <c r="D215" s="780" t="s">
        <v>136</v>
      </c>
      <c r="E215" s="780" t="s">
        <v>1199</v>
      </c>
      <c r="F215" s="780"/>
      <c r="G215" s="797"/>
      <c r="H215" s="797"/>
      <c r="I215" s="782"/>
    </row>
    <row r="216" spans="1:14" s="781" customFormat="1" ht="20.100000000000001" customHeight="1" x14ac:dyDescent="0.25">
      <c r="A216" s="768"/>
      <c r="B216" s="781" t="s">
        <v>1219</v>
      </c>
      <c r="C216" s="797">
        <v>264304.78000000003</v>
      </c>
      <c r="D216" s="780" t="s">
        <v>136</v>
      </c>
      <c r="E216" s="780" t="s">
        <v>1332</v>
      </c>
      <c r="F216" s="780"/>
      <c r="G216" s="797"/>
      <c r="H216" s="797"/>
      <c r="I216" s="782"/>
    </row>
    <row r="217" spans="1:14" s="781" customFormat="1" ht="20.100000000000001" customHeight="1" thickBot="1" x14ac:dyDescent="0.3">
      <c r="A217" s="768"/>
      <c r="C217" s="795">
        <f>SUM(C207:C216)</f>
        <v>328923</v>
      </c>
      <c r="D217" s="780" t="s">
        <v>136</v>
      </c>
      <c r="E217" s="780"/>
      <c r="F217" s="780"/>
      <c r="G217" s="797"/>
      <c r="H217" s="754"/>
      <c r="I217" s="782"/>
    </row>
    <row r="218" spans="1:14" s="781" customFormat="1" ht="20.100000000000001" customHeight="1" thickTop="1" x14ac:dyDescent="0.25">
      <c r="A218" s="768"/>
      <c r="B218" s="226"/>
      <c r="C218" s="226"/>
      <c r="D218" s="226"/>
      <c r="E218" s="226"/>
      <c r="F218" s="226"/>
      <c r="G218" s="226"/>
      <c r="H218" s="226"/>
      <c r="I218" s="782"/>
    </row>
    <row r="220" spans="1:14" s="330" customFormat="1" ht="19.5" customHeight="1" x14ac:dyDescent="0.25">
      <c r="A220" s="899" t="s">
        <v>1475</v>
      </c>
      <c r="B220" s="899"/>
      <c r="C220" s="899"/>
      <c r="D220" s="899"/>
      <c r="E220" s="899"/>
      <c r="F220" s="899"/>
      <c r="G220" s="899"/>
      <c r="H220" s="899"/>
      <c r="I220" s="899"/>
      <c r="J220" s="899"/>
    </row>
    <row r="221" spans="1:14" s="781" customFormat="1" ht="20.100000000000001" customHeight="1" thickBot="1" x14ac:dyDescent="0.3">
      <c r="A221" s="900"/>
      <c r="B221" s="900"/>
      <c r="C221" s="900"/>
      <c r="D221" s="900"/>
      <c r="E221" s="900"/>
      <c r="F221" s="900"/>
      <c r="G221" s="900"/>
      <c r="H221" s="900"/>
      <c r="I221" s="900"/>
      <c r="J221" s="900"/>
      <c r="K221" s="803"/>
      <c r="L221" s="780"/>
      <c r="M221" s="41"/>
      <c r="N221" s="780"/>
    </row>
    <row r="222" spans="1:14" s="781" customFormat="1" ht="50.25" thickBot="1" x14ac:dyDescent="0.3">
      <c r="A222" s="783" t="s">
        <v>1476</v>
      </c>
      <c r="B222" s="784" t="s">
        <v>14</v>
      </c>
      <c r="C222" s="785" t="s">
        <v>1232</v>
      </c>
      <c r="D222" s="785" t="s">
        <v>17</v>
      </c>
      <c r="E222" s="785" t="s">
        <v>18</v>
      </c>
      <c r="F222" s="784" t="s">
        <v>183</v>
      </c>
      <c r="G222" s="752" t="s">
        <v>20</v>
      </c>
      <c r="H222" s="752" t="s">
        <v>174</v>
      </c>
      <c r="I222" s="784" t="s">
        <v>61</v>
      </c>
      <c r="J222" s="784" t="s">
        <v>46</v>
      </c>
    </row>
    <row r="223" spans="1:14" s="781" customFormat="1" ht="20.100000000000001" customHeight="1" x14ac:dyDescent="0.25">
      <c r="A223" s="786" t="s">
        <v>47</v>
      </c>
      <c r="B223" s="787">
        <f>SUM(I204)</f>
        <v>328922.99999994994</v>
      </c>
      <c r="C223" s="787">
        <f>3955267.69+309082.22</f>
        <v>4264349.91</v>
      </c>
      <c r="D223" s="788">
        <v>1478899.99</v>
      </c>
      <c r="E223" s="788">
        <v>331593.18</v>
      </c>
      <c r="F223" s="787">
        <f>B223+C223-D223-E223</f>
        <v>2782779.7399999495</v>
      </c>
      <c r="G223" s="789">
        <v>2416121.81</v>
      </c>
      <c r="H223" s="789">
        <f>G223/F223*100</f>
        <v>86.824040554501238</v>
      </c>
      <c r="I223" s="788">
        <f>F223-G223</f>
        <v>366657.92999994941</v>
      </c>
      <c r="J223" s="788">
        <f>I223/F223*100</f>
        <v>13.175959445498769</v>
      </c>
    </row>
    <row r="224" spans="1:14" s="781" customFormat="1" ht="20.100000000000001" customHeight="1" thickBot="1" x14ac:dyDescent="0.3">
      <c r="A224" s="763" t="s">
        <v>36</v>
      </c>
      <c r="B224" s="764">
        <f t="shared" ref="B224:G224" si="11">SUM(B223:B223)</f>
        <v>328922.99999994994</v>
      </c>
      <c r="C224" s="764">
        <f t="shared" si="11"/>
        <v>4264349.91</v>
      </c>
      <c r="D224" s="765">
        <f t="shared" si="11"/>
        <v>1478899.99</v>
      </c>
      <c r="E224" s="765">
        <f t="shared" si="11"/>
        <v>331593.18</v>
      </c>
      <c r="F224" s="764">
        <f t="shared" si="11"/>
        <v>2782779.7399999495</v>
      </c>
      <c r="G224" s="766">
        <f t="shared" si="11"/>
        <v>2416121.81</v>
      </c>
      <c r="H224" s="766">
        <f>(G224/F224)*100</f>
        <v>86.824040554501238</v>
      </c>
      <c r="I224" s="765">
        <f>SUM(I223:I223)</f>
        <v>366657.92999994941</v>
      </c>
      <c r="J224" s="765">
        <f>I224/F224*100</f>
        <v>13.175959445498769</v>
      </c>
    </row>
    <row r="225" spans="1:10" s="781" customFormat="1" ht="20.100000000000001" customHeight="1" thickTop="1" x14ac:dyDescent="0.25">
      <c r="A225" s="793"/>
      <c r="B225" s="34"/>
      <c r="C225" s="794"/>
      <c r="D225" s="362"/>
      <c r="E225" s="362"/>
      <c r="F225" s="794"/>
      <c r="G225" s="365"/>
      <c r="H225" s="365"/>
      <c r="I225" s="362"/>
      <c r="J225" s="362"/>
    </row>
    <row r="226" spans="1:10" s="781" customFormat="1" ht="20.100000000000001" customHeight="1" x14ac:dyDescent="0.25">
      <c r="A226" s="767" t="s">
        <v>37</v>
      </c>
      <c r="B226" s="797"/>
      <c r="C226" s="780"/>
      <c r="D226" s="780"/>
      <c r="E226" s="780"/>
      <c r="F226" s="780"/>
      <c r="G226" s="797"/>
      <c r="H226" s="797"/>
      <c r="I226" s="782"/>
    </row>
    <row r="227" spans="1:10" s="781" customFormat="1" ht="20.100000000000001" customHeight="1" x14ac:dyDescent="0.25">
      <c r="A227" s="31" t="s">
        <v>176</v>
      </c>
      <c r="B227" s="781" t="s">
        <v>188</v>
      </c>
      <c r="C227" s="800">
        <v>1064.9000000000001</v>
      </c>
      <c r="D227" s="780" t="s">
        <v>136</v>
      </c>
      <c r="E227" s="780" t="s">
        <v>189</v>
      </c>
      <c r="F227" s="780"/>
      <c r="G227" s="797"/>
      <c r="H227" s="797"/>
      <c r="I227" s="782"/>
    </row>
    <row r="228" spans="1:10" s="781" customFormat="1" ht="20.100000000000001" customHeight="1" x14ac:dyDescent="0.25">
      <c r="A228" s="31"/>
      <c r="B228" s="781" t="s">
        <v>190</v>
      </c>
      <c r="C228" s="800">
        <v>2055.0700000000002</v>
      </c>
      <c r="D228" s="780" t="s">
        <v>136</v>
      </c>
      <c r="E228" s="780" t="s">
        <v>187</v>
      </c>
      <c r="F228" s="780"/>
      <c r="G228" s="797"/>
      <c r="H228" s="797"/>
      <c r="I228" s="782"/>
    </row>
    <row r="229" spans="1:10" s="781" customFormat="1" ht="20.100000000000001" customHeight="1" x14ac:dyDescent="0.25">
      <c r="A229" s="768"/>
      <c r="B229" s="781" t="s">
        <v>191</v>
      </c>
      <c r="C229" s="800">
        <v>7050.58</v>
      </c>
      <c r="D229" s="780" t="s">
        <v>136</v>
      </c>
      <c r="E229" s="780" t="s">
        <v>187</v>
      </c>
      <c r="F229" s="780"/>
      <c r="G229" s="797"/>
      <c r="H229" s="797"/>
      <c r="I229" s="782"/>
    </row>
    <row r="230" spans="1:10" s="781" customFormat="1" ht="20.100000000000001" customHeight="1" x14ac:dyDescent="0.25">
      <c r="A230" s="768"/>
      <c r="B230" s="781" t="s">
        <v>192</v>
      </c>
      <c r="C230" s="800">
        <v>4695.5</v>
      </c>
      <c r="D230" s="780" t="s">
        <v>136</v>
      </c>
      <c r="E230" s="780" t="s">
        <v>193</v>
      </c>
      <c r="F230" s="780"/>
      <c r="G230" s="797"/>
      <c r="H230" s="797"/>
      <c r="I230" s="782"/>
    </row>
    <row r="231" spans="1:10" s="781" customFormat="1" ht="20.100000000000001" customHeight="1" x14ac:dyDescent="0.25">
      <c r="A231" s="768"/>
      <c r="B231" s="781" t="s">
        <v>828</v>
      </c>
      <c r="C231" s="797">
        <v>5317.7300000000005</v>
      </c>
      <c r="D231" s="780" t="s">
        <v>136</v>
      </c>
      <c r="E231" s="780" t="s">
        <v>829</v>
      </c>
      <c r="F231" s="780"/>
      <c r="G231" s="797"/>
      <c r="H231" s="797"/>
      <c r="I231" s="782"/>
    </row>
    <row r="232" spans="1:10" s="781" customFormat="1" ht="20.100000000000001" customHeight="1" x14ac:dyDescent="0.25">
      <c r="A232" s="768"/>
      <c r="B232" s="781" t="s">
        <v>1477</v>
      </c>
      <c r="C232" s="797">
        <v>29548.259999999995</v>
      </c>
      <c r="D232" s="780" t="s">
        <v>136</v>
      </c>
      <c r="E232" s="780" t="s">
        <v>829</v>
      </c>
      <c r="F232" s="780"/>
      <c r="G232" s="797"/>
      <c r="H232" s="797"/>
      <c r="I232" s="782"/>
    </row>
    <row r="233" spans="1:10" s="781" customFormat="1" ht="20.100000000000001" customHeight="1" x14ac:dyDescent="0.25">
      <c r="A233" s="768"/>
      <c r="B233" s="781" t="s">
        <v>1219</v>
      </c>
      <c r="C233" s="797">
        <v>6013.16</v>
      </c>
      <c r="D233" s="780" t="s">
        <v>136</v>
      </c>
      <c r="E233" s="780" t="s">
        <v>829</v>
      </c>
      <c r="F233" s="780"/>
      <c r="G233" s="797"/>
      <c r="H233" s="797"/>
      <c r="I233" s="782"/>
    </row>
    <row r="234" spans="1:10" s="781" customFormat="1" ht="20.100000000000001" customHeight="1" x14ac:dyDescent="0.25">
      <c r="A234" s="768"/>
      <c r="B234" s="781" t="s">
        <v>1316</v>
      </c>
      <c r="C234" s="797">
        <v>50800.6</v>
      </c>
      <c r="D234" s="780"/>
      <c r="E234" s="780" t="s">
        <v>1478</v>
      </c>
      <c r="F234" s="780"/>
      <c r="G234" s="797"/>
      <c r="H234" s="797"/>
      <c r="I234" s="782"/>
    </row>
    <row r="235" spans="1:10" s="781" customFormat="1" ht="20.100000000000001" customHeight="1" x14ac:dyDescent="0.25">
      <c r="A235" s="768"/>
      <c r="B235" s="781" t="s">
        <v>1316</v>
      </c>
      <c r="C235" s="797">
        <v>260112.13000000003</v>
      </c>
      <c r="D235" s="780" t="s">
        <v>136</v>
      </c>
      <c r="E235" s="780" t="s">
        <v>1479</v>
      </c>
      <c r="F235" s="780"/>
      <c r="G235" s="797"/>
      <c r="H235" s="797"/>
      <c r="I235" s="782"/>
    </row>
    <row r="236" spans="1:10" s="781" customFormat="1" ht="20.100000000000001" customHeight="1" thickBot="1" x14ac:dyDescent="0.3">
      <c r="A236" s="768"/>
      <c r="C236" s="795">
        <f>SUM(C227:C235)</f>
        <v>366657.93000000005</v>
      </c>
      <c r="D236" s="780" t="s">
        <v>136</v>
      </c>
      <c r="E236" s="780"/>
      <c r="F236" s="780"/>
      <c r="G236" s="797"/>
      <c r="H236" s="754"/>
      <c r="I236" s="782"/>
    </row>
    <row r="237" spans="1:10" s="781" customFormat="1" ht="20.100000000000001" customHeight="1" thickTop="1" x14ac:dyDescent="0.25">
      <c r="A237" s="768"/>
      <c r="B237" s="226"/>
      <c r="C237" s="226"/>
      <c r="D237" s="226"/>
      <c r="E237" s="226"/>
      <c r="F237" s="226"/>
      <c r="G237" s="226"/>
      <c r="H237" s="226"/>
      <c r="I237" s="782"/>
    </row>
  </sheetData>
  <mergeCells count="12">
    <mergeCell ref="A220:J221"/>
    <mergeCell ref="A200:J201"/>
    <mergeCell ref="A1:J2"/>
    <mergeCell ref="A20:J21"/>
    <mergeCell ref="A41:J42"/>
    <mergeCell ref="A61:J62"/>
    <mergeCell ref="A82:J83"/>
    <mergeCell ref="A181:J182"/>
    <mergeCell ref="A160:J161"/>
    <mergeCell ref="A141:J142"/>
    <mergeCell ref="A122:J123"/>
    <mergeCell ref="A103:J104"/>
  </mergeCells>
  <printOptions horizontalCentered="1"/>
  <pageMargins left="0.3" right="0.3" top="0.7" bottom="0.7" header="0.3" footer="0.3"/>
  <pageSetup scale="57" fitToHeight="0" orientation="landscape" r:id="rId1"/>
  <headerFooter>
    <oddHeader>&amp;F</oddHeader>
    <oddFooter>&amp;A&amp;RPage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5"/>
  <sheetViews>
    <sheetView topLeftCell="A260" workbookViewId="0">
      <selection activeCell="C277" sqref="C277"/>
    </sheetView>
  </sheetViews>
  <sheetFormatPr defaultRowHeight="20.100000000000001" customHeight="1" x14ac:dyDescent="0.25"/>
  <cols>
    <col min="1" max="1" width="29.7109375" style="226" customWidth="1"/>
    <col min="2" max="2" width="27" style="226" customWidth="1"/>
    <col min="3" max="10" width="20.7109375" style="226" customWidth="1"/>
    <col min="11" max="16384" width="9.140625" style="226"/>
  </cols>
  <sheetData>
    <row r="1" spans="1:10" s="330" customFormat="1" ht="20.100000000000001" customHeight="1" x14ac:dyDescent="0.25">
      <c r="A1" s="899" t="s">
        <v>199</v>
      </c>
      <c r="B1" s="899"/>
      <c r="C1" s="899"/>
      <c r="D1" s="899"/>
      <c r="E1" s="899"/>
      <c r="F1" s="899"/>
      <c r="G1" s="899"/>
      <c r="H1" s="899"/>
      <c r="I1" s="899"/>
      <c r="J1" s="899"/>
    </row>
    <row r="2" spans="1:10" s="781" customFormat="1" ht="20.100000000000001" customHeight="1" thickBot="1" x14ac:dyDescent="0.3">
      <c r="A2" s="900"/>
      <c r="B2" s="900"/>
      <c r="C2" s="900"/>
      <c r="D2" s="900"/>
      <c r="E2" s="900"/>
      <c r="F2" s="900"/>
      <c r="G2" s="900"/>
      <c r="H2" s="900"/>
      <c r="I2" s="900"/>
      <c r="J2" s="900"/>
    </row>
    <row r="3" spans="1:10" s="42" customFormat="1" ht="50.25" thickBot="1" x14ac:dyDescent="0.3">
      <c r="A3" s="783" t="s">
        <v>81</v>
      </c>
      <c r="B3" s="784" t="s">
        <v>14</v>
      </c>
      <c r="C3" s="338" t="s">
        <v>200</v>
      </c>
      <c r="D3" s="785" t="s">
        <v>17</v>
      </c>
      <c r="E3" s="785" t="s">
        <v>18</v>
      </c>
      <c r="F3" s="784" t="s">
        <v>19</v>
      </c>
      <c r="G3" s="784" t="s">
        <v>59</v>
      </c>
      <c r="H3" s="784" t="s">
        <v>60</v>
      </c>
      <c r="I3" s="339" t="s">
        <v>61</v>
      </c>
      <c r="J3" s="340" t="s">
        <v>23</v>
      </c>
    </row>
    <row r="4" spans="1:10" s="781" customFormat="1" ht="20.100000000000001" customHeight="1" x14ac:dyDescent="0.25">
      <c r="A4" s="231" t="s">
        <v>201</v>
      </c>
      <c r="B4" s="341">
        <f>SUM('[2]ปี 63'!I279)</f>
        <v>12285184.42999886</v>
      </c>
      <c r="C4" s="342">
        <f>79204802.29+1724344.18+1115793.75</f>
        <v>82044940.220000014</v>
      </c>
      <c r="D4" s="343">
        <f>37757720.4+24223.25</f>
        <v>37781943.649999999</v>
      </c>
      <c r="E4" s="343">
        <v>258794.1</v>
      </c>
      <c r="F4" s="342">
        <f>B4+C4-D4-E4</f>
        <v>56289386.899998873</v>
      </c>
      <c r="G4" s="343">
        <f>53381194.84+1091570.5</f>
        <v>54472765.340000004</v>
      </c>
      <c r="H4" s="343">
        <f>G4/F4*100</f>
        <v>96.772710345511143</v>
      </c>
      <c r="I4" s="179">
        <f>F4-G4</f>
        <v>1816621.5599988699</v>
      </c>
      <c r="J4" s="343">
        <f>I4/F4*100</f>
        <v>3.2272896544888576</v>
      </c>
    </row>
    <row r="5" spans="1:10" s="781" customFormat="1" ht="20.100000000000001" customHeight="1" x14ac:dyDescent="0.25">
      <c r="A5" s="344" t="s">
        <v>50</v>
      </c>
      <c r="B5" s="341">
        <f>SUM('[2]ปี 63'!I280)</f>
        <v>1.9371509552001953E-7</v>
      </c>
      <c r="C5" s="345">
        <f>59716753.89+16836542.98</f>
        <v>76553296.870000005</v>
      </c>
      <c r="D5" s="346">
        <v>23569864.150000002</v>
      </c>
      <c r="E5" s="346">
        <v>75038.09</v>
      </c>
      <c r="F5" s="342">
        <f t="shared" ref="F5" si="0">B5+C5-D5-E5</f>
        <v>52908394.630000189</v>
      </c>
      <c r="G5" s="346">
        <v>36071851.649999999</v>
      </c>
      <c r="H5" s="343">
        <f t="shared" ref="H5" si="1">G5/F5*100</f>
        <v>68.177936416816721</v>
      </c>
      <c r="I5" s="179">
        <f t="shared" ref="I5" si="2">F5-G5</f>
        <v>16836542.98000019</v>
      </c>
      <c r="J5" s="343">
        <f t="shared" ref="J5" si="3">I5/F5*100</f>
        <v>31.822063583183287</v>
      </c>
    </row>
    <row r="6" spans="1:10" s="43" customFormat="1" ht="33" x14ac:dyDescent="0.25">
      <c r="A6" s="347"/>
      <c r="B6" s="348" t="s">
        <v>202</v>
      </c>
      <c r="C6" s="349" t="s">
        <v>203</v>
      </c>
      <c r="D6" s="348" t="s">
        <v>2</v>
      </c>
      <c r="E6" s="348" t="s">
        <v>3</v>
      </c>
      <c r="F6" s="348" t="s">
        <v>4</v>
      </c>
      <c r="G6" s="348" t="s">
        <v>204</v>
      </c>
      <c r="H6" s="348" t="s">
        <v>205</v>
      </c>
      <c r="I6" s="348" t="s">
        <v>206</v>
      </c>
      <c r="J6" s="348" t="s">
        <v>207</v>
      </c>
    </row>
    <row r="7" spans="1:10" s="781" customFormat="1" ht="20.100000000000001" customHeight="1" thickBot="1" x14ac:dyDescent="0.3">
      <c r="A7" s="353" t="s">
        <v>208</v>
      </c>
      <c r="B7" s="350">
        <f>SUM('[2]ปี 63'!I282)</f>
        <v>3.0000228434801102E-6</v>
      </c>
      <c r="C7" s="345">
        <f>1520635.99+353345.94</f>
        <v>1873981.93</v>
      </c>
      <c r="D7" s="345">
        <f>421968.37-17351.46</f>
        <v>404616.91</v>
      </c>
      <c r="E7" s="346">
        <v>0</v>
      </c>
      <c r="F7" s="342">
        <f>B7+C7-D7-E7</f>
        <v>1469365.020003</v>
      </c>
      <c r="G7" s="346">
        <v>1116019.08</v>
      </c>
      <c r="H7" s="343">
        <f>G7/F7*100</f>
        <v>75.952473674493859</v>
      </c>
      <c r="I7" s="179">
        <f>F7-G7</f>
        <v>353345.94000299997</v>
      </c>
      <c r="J7" s="343">
        <f>I7/F7*100</f>
        <v>24.047526325506137</v>
      </c>
    </row>
    <row r="8" spans="1:10" s="798" customFormat="1" ht="20.100000000000001" customHeight="1" thickTop="1" thickBot="1" x14ac:dyDescent="0.3">
      <c r="A8" s="351" t="s">
        <v>36</v>
      </c>
      <c r="B8" s="352">
        <f t="shared" ref="B8" si="4">SUM(B4:B7)</f>
        <v>12285184.430002054</v>
      </c>
      <c r="C8" s="352">
        <f t="shared" ref="C8:G8" si="5">SUM(C4:C7)</f>
        <v>160472219.02000004</v>
      </c>
      <c r="D8" s="352">
        <f t="shared" si="5"/>
        <v>61756424.709999993</v>
      </c>
      <c r="E8" s="352">
        <f t="shared" si="5"/>
        <v>333832.19</v>
      </c>
      <c r="F8" s="352">
        <f t="shared" si="5"/>
        <v>110667146.55000207</v>
      </c>
      <c r="G8" s="352">
        <f t="shared" si="5"/>
        <v>91660636.070000008</v>
      </c>
      <c r="H8" s="352">
        <f>G8/F8*100</f>
        <v>82.825516810976538</v>
      </c>
      <c r="I8" s="352">
        <f>SUM(I4:I7)</f>
        <v>19006510.480002061</v>
      </c>
      <c r="J8" s="352">
        <f>I8/F8*100</f>
        <v>17.174483189023459</v>
      </c>
    </row>
    <row r="9" spans="1:10" s="781" customFormat="1" ht="20.100000000000001" customHeight="1" thickTop="1" x14ac:dyDescent="0.25">
      <c r="A9" s="369"/>
      <c r="B9" s="794"/>
      <c r="C9" s="794"/>
      <c r="D9" s="362"/>
      <c r="E9" s="362"/>
      <c r="F9" s="794"/>
      <c r="G9" s="362"/>
      <c r="H9" s="362"/>
      <c r="I9" s="362"/>
      <c r="J9" s="362"/>
    </row>
    <row r="10" spans="1:10" s="781" customFormat="1" ht="20.100000000000001" customHeight="1" x14ac:dyDescent="0.25">
      <c r="A10" s="767" t="s">
        <v>37</v>
      </c>
      <c r="B10" s="45"/>
      <c r="C10" s="780"/>
      <c r="D10" s="780"/>
      <c r="E10" s="780"/>
      <c r="F10" s="780"/>
      <c r="G10" s="780"/>
      <c r="H10" s="780"/>
      <c r="I10" s="782"/>
    </row>
    <row r="11" spans="1:10" s="781" customFormat="1" ht="20.100000000000001" customHeight="1" x14ac:dyDescent="0.25">
      <c r="A11" s="134" t="s">
        <v>96</v>
      </c>
      <c r="B11" s="358" t="s">
        <v>197</v>
      </c>
      <c r="C11" s="36" t="s">
        <v>52</v>
      </c>
      <c r="E11" s="36"/>
      <c r="F11" s="36"/>
      <c r="G11" s="36"/>
      <c r="H11" s="36"/>
      <c r="I11" s="89"/>
      <c r="J11" s="797"/>
    </row>
    <row r="12" spans="1:10" s="781" customFormat="1" ht="20.100000000000001" customHeight="1" x14ac:dyDescent="0.25">
      <c r="A12" s="90"/>
      <c r="B12" s="191" t="s">
        <v>209</v>
      </c>
      <c r="C12" s="797">
        <v>137987.53999999998</v>
      </c>
      <c r="D12" s="780" t="s">
        <v>55</v>
      </c>
      <c r="E12" s="797" t="s">
        <v>210</v>
      </c>
      <c r="F12" s="797"/>
      <c r="G12" s="797"/>
      <c r="H12" s="797"/>
      <c r="I12" s="797"/>
      <c r="J12" s="46"/>
    </row>
    <row r="13" spans="1:10" s="781" customFormat="1" ht="20.100000000000001" customHeight="1" x14ac:dyDescent="0.25">
      <c r="A13" s="90"/>
      <c r="B13" s="191" t="s">
        <v>211</v>
      </c>
      <c r="C13" s="780">
        <v>1678634.0199999996</v>
      </c>
      <c r="D13" s="780" t="s">
        <v>55</v>
      </c>
      <c r="E13" s="797" t="s">
        <v>212</v>
      </c>
      <c r="F13" s="797"/>
      <c r="G13" s="797"/>
      <c r="H13" s="797"/>
      <c r="I13" s="797"/>
      <c r="J13" s="46"/>
    </row>
    <row r="14" spans="1:10" s="781" customFormat="1" ht="20.100000000000001" customHeight="1" x14ac:dyDescent="0.25">
      <c r="B14" s="755" t="s">
        <v>50</v>
      </c>
      <c r="C14" s="780">
        <v>16836542.98</v>
      </c>
      <c r="D14" s="780" t="s">
        <v>55</v>
      </c>
      <c r="E14" s="797" t="s">
        <v>213</v>
      </c>
      <c r="F14" s="780"/>
      <c r="G14" s="780"/>
      <c r="H14" s="780"/>
      <c r="I14" s="780"/>
      <c r="J14" s="797"/>
    </row>
    <row r="15" spans="1:10" s="781" customFormat="1" ht="20.100000000000001" customHeight="1" thickBot="1" x14ac:dyDescent="0.3">
      <c r="B15" s="755"/>
      <c r="C15" s="795">
        <f>SUM(C12:C14)</f>
        <v>18653164.539999999</v>
      </c>
      <c r="D15" s="769" t="s">
        <v>55</v>
      </c>
      <c r="E15" s="780"/>
      <c r="F15" s="780"/>
      <c r="G15" s="780"/>
      <c r="H15" s="782"/>
      <c r="I15" s="780"/>
      <c r="J15" s="780"/>
    </row>
    <row r="16" spans="1:10" s="781" customFormat="1" ht="20.100000000000001" customHeight="1" thickTop="1" x14ac:dyDescent="0.25">
      <c r="B16" s="755"/>
      <c r="C16" s="769"/>
      <c r="D16" s="769"/>
      <c r="E16" s="780"/>
      <c r="F16" s="780"/>
      <c r="G16" s="780"/>
      <c r="H16" s="782"/>
      <c r="I16" s="780"/>
      <c r="J16" s="780"/>
    </row>
    <row r="17" spans="1:10" s="781" customFormat="1" ht="16.5" x14ac:dyDescent="0.25">
      <c r="A17" s="31" t="s">
        <v>176</v>
      </c>
      <c r="B17" s="358" t="s">
        <v>108</v>
      </c>
      <c r="C17" s="36" t="s">
        <v>52</v>
      </c>
      <c r="D17" s="769"/>
      <c r="F17" s="780"/>
      <c r="G17" s="780"/>
      <c r="H17" s="782"/>
      <c r="I17" s="769"/>
      <c r="J17" s="48"/>
    </row>
    <row r="18" spans="1:10" s="781" customFormat="1" ht="16.5" x14ac:dyDescent="0.25">
      <c r="B18" s="190" t="s">
        <v>214</v>
      </c>
      <c r="C18" s="780">
        <v>353345.94</v>
      </c>
      <c r="D18" s="780" t="s">
        <v>55</v>
      </c>
      <c r="E18" s="797" t="s">
        <v>215</v>
      </c>
      <c r="F18" s="780"/>
      <c r="G18" s="780"/>
      <c r="H18" s="782"/>
      <c r="I18" s="780"/>
      <c r="J18" s="780"/>
    </row>
    <row r="19" spans="1:10" s="781" customFormat="1" ht="17.25" thickBot="1" x14ac:dyDescent="0.3">
      <c r="C19" s="795">
        <f>SUM(C18)</f>
        <v>353345.94</v>
      </c>
      <c r="D19" s="780" t="s">
        <v>55</v>
      </c>
      <c r="E19" s="780"/>
      <c r="F19" s="780"/>
      <c r="G19" s="780"/>
      <c r="H19" s="782"/>
      <c r="J19" s="780"/>
    </row>
    <row r="20" spans="1:10" ht="15.75" thickTop="1" x14ac:dyDescent="0.25"/>
    <row r="22" spans="1:10" s="330" customFormat="1" ht="20.100000000000001" customHeight="1" x14ac:dyDescent="0.25">
      <c r="A22" s="899" t="s">
        <v>281</v>
      </c>
      <c r="B22" s="899"/>
      <c r="C22" s="899"/>
      <c r="D22" s="899"/>
      <c r="E22" s="899"/>
      <c r="F22" s="899"/>
      <c r="G22" s="899"/>
      <c r="H22" s="899"/>
      <c r="I22" s="899"/>
      <c r="J22" s="899"/>
    </row>
    <row r="23" spans="1:10" s="781" customFormat="1" ht="20.100000000000001" customHeight="1" thickBot="1" x14ac:dyDescent="0.3">
      <c r="A23" s="900"/>
      <c r="B23" s="900"/>
      <c r="C23" s="900"/>
      <c r="D23" s="900"/>
      <c r="E23" s="900"/>
      <c r="F23" s="900"/>
      <c r="G23" s="900"/>
      <c r="H23" s="900"/>
      <c r="I23" s="900"/>
      <c r="J23" s="900"/>
    </row>
    <row r="24" spans="1:10" s="42" customFormat="1" ht="50.25" thickBot="1" x14ac:dyDescent="0.3">
      <c r="A24" s="783" t="s">
        <v>282</v>
      </c>
      <c r="B24" s="784" t="s">
        <v>14</v>
      </c>
      <c r="C24" s="338" t="s">
        <v>172</v>
      </c>
      <c r="D24" s="785" t="s">
        <v>17</v>
      </c>
      <c r="E24" s="785" t="s">
        <v>18</v>
      </c>
      <c r="F24" s="784" t="s">
        <v>19</v>
      </c>
      <c r="G24" s="784" t="s">
        <v>59</v>
      </c>
      <c r="H24" s="784" t="s">
        <v>60</v>
      </c>
      <c r="I24" s="339" t="s">
        <v>61</v>
      </c>
      <c r="J24" s="340" t="s">
        <v>23</v>
      </c>
    </row>
    <row r="25" spans="1:10" s="781" customFormat="1" ht="20.100000000000001" customHeight="1" x14ac:dyDescent="0.25">
      <c r="A25" s="231" t="s">
        <v>201</v>
      </c>
      <c r="B25" s="341">
        <f>SUM(I4)</f>
        <v>1816621.5599988699</v>
      </c>
      <c r="C25" s="342">
        <f>185992250.21+20356055.85+146502.47</f>
        <v>206494808.53</v>
      </c>
      <c r="D25" s="343">
        <v>52208382.600000001</v>
      </c>
      <c r="E25" s="343">
        <v>435580.82</v>
      </c>
      <c r="F25" s="342">
        <f>B25+C25-D25-E25</f>
        <v>155667466.66999888</v>
      </c>
      <c r="G25" s="343">
        <f>133485539.42+147237.38</f>
        <v>133632776.8</v>
      </c>
      <c r="H25" s="343">
        <f>G25/F25*100</f>
        <v>85.845025719657613</v>
      </c>
      <c r="I25" s="179">
        <f>F25-G25</f>
        <v>22034689.869998887</v>
      </c>
      <c r="J25" s="343">
        <f>I25/F25*100</f>
        <v>14.154974280342378</v>
      </c>
    </row>
    <row r="26" spans="1:10" s="781" customFormat="1" ht="20.100000000000001" customHeight="1" x14ac:dyDescent="0.25">
      <c r="A26" s="344" t="s">
        <v>50</v>
      </c>
      <c r="B26" s="341">
        <f>SUM(I5)</f>
        <v>16836542.98000019</v>
      </c>
      <c r="C26" s="345">
        <f>142921962.51+3139953.69</f>
        <v>146061916.19999999</v>
      </c>
      <c r="D26" s="346">
        <v>24191055.32</v>
      </c>
      <c r="E26" s="346">
        <v>37633.82</v>
      </c>
      <c r="F26" s="342">
        <f t="shared" ref="F26" si="6">B26+C26-D26-E26</f>
        <v>138669770.0400002</v>
      </c>
      <c r="G26" s="346">
        <v>135529816.34999999</v>
      </c>
      <c r="H26" s="343">
        <f t="shared" ref="H26" si="7">G26/F26*100</f>
        <v>97.735660995836028</v>
      </c>
      <c r="I26" s="179">
        <f t="shared" ref="I26" si="8">F26-G26</f>
        <v>3139953.6900002062</v>
      </c>
      <c r="J26" s="343">
        <f t="shared" ref="J26" si="9">I26/F26*100</f>
        <v>2.2643390041639688</v>
      </c>
    </row>
    <row r="27" spans="1:10" s="43" customFormat="1" ht="33" x14ac:dyDescent="0.25">
      <c r="A27" s="347"/>
      <c r="B27" s="348" t="s">
        <v>202</v>
      </c>
      <c r="C27" s="349" t="s">
        <v>283</v>
      </c>
      <c r="D27" s="348" t="s">
        <v>2</v>
      </c>
      <c r="E27" s="348" t="s">
        <v>3</v>
      </c>
      <c r="F27" s="348" t="s">
        <v>4</v>
      </c>
      <c r="G27" s="348" t="s">
        <v>204</v>
      </c>
      <c r="H27" s="348" t="s">
        <v>205</v>
      </c>
      <c r="I27" s="348" t="s">
        <v>206</v>
      </c>
      <c r="J27" s="348" t="s">
        <v>207</v>
      </c>
    </row>
    <row r="28" spans="1:10" s="781" customFormat="1" ht="20.100000000000001" customHeight="1" thickBot="1" x14ac:dyDescent="0.3">
      <c r="A28" s="353" t="s">
        <v>208</v>
      </c>
      <c r="B28" s="350">
        <f>SUM(I7)</f>
        <v>353345.94000299997</v>
      </c>
      <c r="C28" s="345">
        <f>1962904.54+105908.25</f>
        <v>2068812.79</v>
      </c>
      <c r="D28" s="345">
        <v>122789.19</v>
      </c>
      <c r="E28" s="346">
        <v>0</v>
      </c>
      <c r="F28" s="342">
        <f>B28+C28-D28-E28</f>
        <v>2299369.5400030003</v>
      </c>
      <c r="G28" s="346">
        <v>2193461.29</v>
      </c>
      <c r="H28" s="343">
        <f>G28/F28*100</f>
        <v>95.394030921934274</v>
      </c>
      <c r="I28" s="179">
        <f>F28-G28</f>
        <v>105908.25000300026</v>
      </c>
      <c r="J28" s="343">
        <f>I28/F28*100</f>
        <v>4.6059690780657236</v>
      </c>
    </row>
    <row r="29" spans="1:10" s="798" customFormat="1" ht="20.100000000000001" customHeight="1" thickTop="1" thickBot="1" x14ac:dyDescent="0.3">
      <c r="A29" s="351" t="s">
        <v>36</v>
      </c>
      <c r="B29" s="352">
        <f t="shared" ref="B29" si="10">SUM(B25:B28)</f>
        <v>19006510.480002061</v>
      </c>
      <c r="C29" s="352">
        <f t="shared" ref="C29:G29" si="11">SUM(C25:C28)</f>
        <v>354625537.52000004</v>
      </c>
      <c r="D29" s="352">
        <f t="shared" si="11"/>
        <v>76522227.109999999</v>
      </c>
      <c r="E29" s="352">
        <f t="shared" si="11"/>
        <v>473214.64</v>
      </c>
      <c r="F29" s="352">
        <f t="shared" si="11"/>
        <v>296636606.25000209</v>
      </c>
      <c r="G29" s="352">
        <f t="shared" si="11"/>
        <v>271356054.44</v>
      </c>
      <c r="H29" s="352">
        <f>G29/F29*100</f>
        <v>91.477602130906291</v>
      </c>
      <c r="I29" s="352">
        <f>SUM(I25:I28)</f>
        <v>25280551.810002092</v>
      </c>
      <c r="J29" s="352">
        <f>I29/F29*100</f>
        <v>8.5223978690937141</v>
      </c>
    </row>
    <row r="30" spans="1:10" s="781" customFormat="1" ht="20.100000000000001" customHeight="1" thickTop="1" x14ac:dyDescent="0.25">
      <c r="A30" s="369"/>
      <c r="B30" s="794"/>
      <c r="C30" s="794"/>
      <c r="D30" s="362"/>
      <c r="E30" s="362"/>
      <c r="F30" s="794"/>
      <c r="G30" s="362"/>
      <c r="H30" s="362"/>
      <c r="I30" s="362"/>
      <c r="J30" s="362"/>
    </row>
    <row r="31" spans="1:10" s="781" customFormat="1" ht="20.100000000000001" customHeight="1" x14ac:dyDescent="0.25">
      <c r="A31" s="767" t="s">
        <v>37</v>
      </c>
      <c r="B31" s="45"/>
      <c r="C31" s="780"/>
      <c r="D31" s="780"/>
      <c r="E31" s="780"/>
      <c r="F31" s="780"/>
      <c r="G31" s="780"/>
      <c r="H31" s="780"/>
      <c r="I31" s="782"/>
    </row>
    <row r="32" spans="1:10" s="781" customFormat="1" ht="20.100000000000001" customHeight="1" x14ac:dyDescent="0.25">
      <c r="A32" s="134" t="s">
        <v>96</v>
      </c>
      <c r="B32" s="358" t="s">
        <v>108</v>
      </c>
      <c r="C32" s="36" t="s">
        <v>52</v>
      </c>
      <c r="E32" s="36"/>
      <c r="F32" s="36"/>
      <c r="G32" s="36"/>
      <c r="H32" s="36"/>
      <c r="I32" s="89"/>
      <c r="J32" s="797"/>
    </row>
    <row r="33" spans="1:10" s="781" customFormat="1" ht="20.100000000000001" customHeight="1" x14ac:dyDescent="0.25">
      <c r="A33" s="90"/>
      <c r="B33" s="191" t="s">
        <v>211</v>
      </c>
      <c r="C33" s="780">
        <v>3697269.0199999986</v>
      </c>
      <c r="D33" s="780" t="s">
        <v>55</v>
      </c>
      <c r="E33" s="797" t="s">
        <v>284</v>
      </c>
      <c r="F33" s="797"/>
      <c r="G33" s="797"/>
      <c r="H33" s="797"/>
      <c r="I33" s="797"/>
      <c r="J33" s="46"/>
    </row>
    <row r="34" spans="1:10" s="781" customFormat="1" ht="20.100000000000001" customHeight="1" x14ac:dyDescent="0.25">
      <c r="A34" s="90"/>
      <c r="B34" s="191" t="s">
        <v>201</v>
      </c>
      <c r="C34" s="780">
        <v>18337420.849999994</v>
      </c>
      <c r="D34" s="780" t="s">
        <v>55</v>
      </c>
      <c r="E34" s="797" t="s">
        <v>285</v>
      </c>
      <c r="F34" s="797"/>
      <c r="G34" s="797"/>
      <c r="H34" s="797"/>
      <c r="I34" s="797"/>
      <c r="J34" s="46"/>
    </row>
    <row r="35" spans="1:10" s="781" customFormat="1" ht="20.100000000000001" customHeight="1" x14ac:dyDescent="0.25">
      <c r="A35" s="90"/>
      <c r="B35" s="755" t="s">
        <v>50</v>
      </c>
      <c r="C35" s="780">
        <v>197545.54</v>
      </c>
      <c r="D35" s="780" t="s">
        <v>55</v>
      </c>
      <c r="E35" s="797" t="s">
        <v>286</v>
      </c>
      <c r="F35" s="797"/>
      <c r="G35" s="797"/>
      <c r="H35" s="797"/>
      <c r="I35" s="797"/>
      <c r="J35" s="46"/>
    </row>
    <row r="36" spans="1:10" s="781" customFormat="1" ht="20.100000000000001" customHeight="1" x14ac:dyDescent="0.25">
      <c r="B36" s="755" t="s">
        <v>50</v>
      </c>
      <c r="C36" s="780">
        <v>2942408.15</v>
      </c>
      <c r="D36" s="780" t="s">
        <v>55</v>
      </c>
      <c r="E36" s="797" t="s">
        <v>215</v>
      </c>
      <c r="F36" s="780"/>
      <c r="G36" s="780"/>
      <c r="H36" s="780"/>
      <c r="I36" s="780"/>
      <c r="J36" s="797"/>
    </row>
    <row r="37" spans="1:10" s="781" customFormat="1" ht="20.100000000000001" customHeight="1" thickBot="1" x14ac:dyDescent="0.3">
      <c r="B37" s="755"/>
      <c r="C37" s="795">
        <f>SUM(C33:C36)</f>
        <v>25174643.559999991</v>
      </c>
      <c r="D37" s="769" t="s">
        <v>55</v>
      </c>
      <c r="E37" s="780"/>
      <c r="F37" s="780"/>
      <c r="G37" s="780"/>
      <c r="H37" s="782"/>
      <c r="I37" s="780"/>
      <c r="J37" s="780"/>
    </row>
    <row r="38" spans="1:10" s="781" customFormat="1" ht="20.100000000000001" customHeight="1" thickTop="1" x14ac:dyDescent="0.25">
      <c r="B38" s="755"/>
      <c r="C38" s="769"/>
      <c r="D38" s="769"/>
      <c r="E38" s="780"/>
      <c r="F38" s="780"/>
      <c r="G38" s="780"/>
      <c r="H38" s="782"/>
      <c r="I38" s="780"/>
      <c r="J38" s="780"/>
    </row>
    <row r="39" spans="1:10" s="781" customFormat="1" ht="16.5" x14ac:dyDescent="0.25">
      <c r="A39" s="31" t="s">
        <v>176</v>
      </c>
      <c r="B39" s="358" t="s">
        <v>273</v>
      </c>
      <c r="C39" s="36" t="s">
        <v>52</v>
      </c>
      <c r="D39" s="769"/>
      <c r="F39" s="780"/>
      <c r="G39" s="780"/>
      <c r="H39" s="782"/>
      <c r="I39" s="769"/>
      <c r="J39" s="48"/>
    </row>
    <row r="40" spans="1:10" s="781" customFormat="1" ht="16.5" x14ac:dyDescent="0.25">
      <c r="B40" s="190" t="s">
        <v>214</v>
      </c>
      <c r="C40" s="780">
        <v>105908.25</v>
      </c>
      <c r="D40" s="780" t="s">
        <v>55</v>
      </c>
      <c r="E40" s="797" t="s">
        <v>287</v>
      </c>
      <c r="F40" s="780"/>
      <c r="G40" s="780"/>
      <c r="H40" s="782"/>
      <c r="I40" s="780"/>
      <c r="J40" s="780"/>
    </row>
    <row r="41" spans="1:10" s="781" customFormat="1" ht="17.25" thickBot="1" x14ac:dyDescent="0.3">
      <c r="C41" s="795">
        <f>SUM(C40)</f>
        <v>105908.25</v>
      </c>
      <c r="D41" s="780" t="s">
        <v>55</v>
      </c>
      <c r="E41" s="780"/>
      <c r="F41" s="780"/>
      <c r="G41" s="780"/>
      <c r="H41" s="782"/>
      <c r="J41" s="780"/>
    </row>
    <row r="42" spans="1:10" ht="20.100000000000001" customHeight="1" thickTop="1" x14ac:dyDescent="0.25"/>
    <row r="44" spans="1:10" s="330" customFormat="1" ht="20.100000000000001" customHeight="1" x14ac:dyDescent="0.25">
      <c r="A44" s="899" t="s">
        <v>450</v>
      </c>
      <c r="B44" s="899"/>
      <c r="C44" s="899"/>
      <c r="D44" s="899"/>
      <c r="E44" s="899"/>
      <c r="F44" s="899"/>
      <c r="G44" s="899"/>
      <c r="H44" s="899"/>
      <c r="I44" s="899"/>
      <c r="J44" s="899"/>
    </row>
    <row r="45" spans="1:10" s="781" customFormat="1" ht="20.100000000000001" customHeight="1" thickBot="1" x14ac:dyDescent="0.3">
      <c r="A45" s="900"/>
      <c r="B45" s="900"/>
      <c r="C45" s="900"/>
      <c r="D45" s="900"/>
      <c r="E45" s="900"/>
      <c r="F45" s="900"/>
      <c r="G45" s="900"/>
      <c r="H45" s="900"/>
      <c r="I45" s="900"/>
      <c r="J45" s="900"/>
    </row>
    <row r="46" spans="1:10" s="42" customFormat="1" ht="50.25" thickBot="1" x14ac:dyDescent="0.3">
      <c r="A46" s="783" t="s">
        <v>436</v>
      </c>
      <c r="B46" s="784" t="s">
        <v>14</v>
      </c>
      <c r="C46" s="338" t="s">
        <v>289</v>
      </c>
      <c r="D46" s="785" t="s">
        <v>17</v>
      </c>
      <c r="E46" s="785" t="s">
        <v>18</v>
      </c>
      <c r="F46" s="784" t="s">
        <v>19</v>
      </c>
      <c r="G46" s="784" t="s">
        <v>59</v>
      </c>
      <c r="H46" s="784" t="s">
        <v>60</v>
      </c>
      <c r="I46" s="339" t="s">
        <v>61</v>
      </c>
      <c r="J46" s="340" t="s">
        <v>23</v>
      </c>
    </row>
    <row r="47" spans="1:10" s="781" customFormat="1" ht="20.100000000000001" customHeight="1" x14ac:dyDescent="0.25">
      <c r="A47" s="231" t="s">
        <v>201</v>
      </c>
      <c r="B47" s="341">
        <f>SUM(I25)</f>
        <v>22034689.869998887</v>
      </c>
      <c r="C47" s="342">
        <f>172189963.38+9284851.53+293629.93+411081.91</f>
        <v>182179526.75</v>
      </c>
      <c r="D47" s="343">
        <f>31833702.8+7198.43</f>
        <v>31840901.23</v>
      </c>
      <c r="E47" s="343">
        <v>318536.40000000002</v>
      </c>
      <c r="F47" s="342">
        <f>B47+C47-D47-E47</f>
        <v>172054778.98999888</v>
      </c>
      <c r="G47" s="343">
        <f>162070247.73+697513.41</f>
        <v>162767761.13999999</v>
      </c>
      <c r="H47" s="343">
        <f>G47/F47*100</f>
        <v>94.60229009358774</v>
      </c>
      <c r="I47" s="179">
        <f>F47-G47</f>
        <v>9287017.8499988914</v>
      </c>
      <c r="J47" s="343">
        <f>I47/F47*100</f>
        <v>5.3977099064122607</v>
      </c>
    </row>
    <row r="48" spans="1:10" s="781" customFormat="1" ht="20.100000000000001" customHeight="1" x14ac:dyDescent="0.25">
      <c r="A48" s="344" t="s">
        <v>50</v>
      </c>
      <c r="B48" s="341">
        <f>SUM(I26)</f>
        <v>3139953.6900002062</v>
      </c>
      <c r="C48" s="345">
        <f>106350537.86+5182952.1</f>
        <v>111533489.95999999</v>
      </c>
      <c r="D48" s="346">
        <v>8930058.4399999995</v>
      </c>
      <c r="E48" s="346">
        <v>0</v>
      </c>
      <c r="F48" s="342">
        <f t="shared" ref="F48" si="12">B48+C48-D48-E48</f>
        <v>105743385.2100002</v>
      </c>
      <c r="G48" s="346">
        <v>100453102.48</v>
      </c>
      <c r="H48" s="343">
        <f t="shared" ref="H48" si="13">G48/F48*100</f>
        <v>94.997055636630122</v>
      </c>
      <c r="I48" s="179">
        <f t="shared" ref="I48" si="14">F48-G48</f>
        <v>5290282.7300001979</v>
      </c>
      <c r="J48" s="343">
        <f t="shared" ref="J48" si="15">I48/F48*100</f>
        <v>5.002944363369874</v>
      </c>
    </row>
    <row r="49" spans="1:10" s="43" customFormat="1" ht="33" x14ac:dyDescent="0.25">
      <c r="A49" s="347"/>
      <c r="B49" s="348" t="s">
        <v>202</v>
      </c>
      <c r="C49" s="349" t="s">
        <v>451</v>
      </c>
      <c r="D49" s="348" t="s">
        <v>2</v>
      </c>
      <c r="E49" s="348" t="s">
        <v>3</v>
      </c>
      <c r="F49" s="348" t="s">
        <v>4</v>
      </c>
      <c r="G49" s="348" t="s">
        <v>204</v>
      </c>
      <c r="H49" s="348" t="s">
        <v>205</v>
      </c>
      <c r="I49" s="348" t="s">
        <v>206</v>
      </c>
      <c r="J49" s="348" t="s">
        <v>207</v>
      </c>
    </row>
    <row r="50" spans="1:10" s="781" customFormat="1" ht="20.100000000000001" customHeight="1" thickBot="1" x14ac:dyDescent="0.3">
      <c r="A50" s="353" t="s">
        <v>208</v>
      </c>
      <c r="B50" s="350">
        <f>SUM(I28)</f>
        <v>105908.25000300026</v>
      </c>
      <c r="C50" s="345">
        <v>1511653.0700000003</v>
      </c>
      <c r="D50" s="345">
        <v>247511.14</v>
      </c>
      <c r="E50" s="346">
        <v>0</v>
      </c>
      <c r="F50" s="342">
        <f>B50+C50-D50-E50</f>
        <v>1370050.1800030004</v>
      </c>
      <c r="G50" s="346">
        <v>1370050.18</v>
      </c>
      <c r="H50" s="343">
        <f>G50/F50*100</f>
        <v>99.999999999780997</v>
      </c>
      <c r="I50" s="179">
        <f>F50-G50</f>
        <v>3.0004885047674179E-6</v>
      </c>
      <c r="J50" s="343">
        <f>I50/F50*100</f>
        <v>2.1900573778697996E-10</v>
      </c>
    </row>
    <row r="51" spans="1:10" s="798" customFormat="1" ht="20.100000000000001" customHeight="1" thickTop="1" thickBot="1" x14ac:dyDescent="0.3">
      <c r="A51" s="351" t="s">
        <v>36</v>
      </c>
      <c r="B51" s="352">
        <f t="shared" ref="B51" si="16">SUM(B47:B50)</f>
        <v>25280551.810002092</v>
      </c>
      <c r="C51" s="352">
        <f t="shared" ref="C51:G51" si="17">SUM(C47:C50)</f>
        <v>295224669.77999997</v>
      </c>
      <c r="D51" s="352">
        <f t="shared" si="17"/>
        <v>41018470.810000002</v>
      </c>
      <c r="E51" s="352">
        <f t="shared" si="17"/>
        <v>318536.40000000002</v>
      </c>
      <c r="F51" s="352">
        <f t="shared" si="17"/>
        <v>279168214.38000208</v>
      </c>
      <c r="G51" s="352">
        <f t="shared" si="17"/>
        <v>264590913.80000001</v>
      </c>
      <c r="H51" s="352">
        <f>G51/F51*100</f>
        <v>94.778309338555459</v>
      </c>
      <c r="I51" s="352">
        <f>SUM(I47:I50)</f>
        <v>14577300.58000209</v>
      </c>
      <c r="J51" s="352">
        <f>I51/F51*100</f>
        <v>5.2216906614445575</v>
      </c>
    </row>
    <row r="52" spans="1:10" s="781" customFormat="1" ht="20.100000000000001" customHeight="1" thickTop="1" x14ac:dyDescent="0.25">
      <c r="A52" s="369"/>
      <c r="B52" s="794"/>
      <c r="C52" s="794"/>
      <c r="D52" s="362"/>
      <c r="E52" s="362"/>
      <c r="F52" s="794"/>
      <c r="G52" s="362"/>
      <c r="H52" s="362"/>
      <c r="I52" s="362"/>
      <c r="J52" s="362"/>
    </row>
    <row r="53" spans="1:10" s="781" customFormat="1" ht="20.100000000000001" customHeight="1" x14ac:dyDescent="0.25">
      <c r="A53" s="767" t="s">
        <v>37</v>
      </c>
      <c r="B53" s="45"/>
      <c r="C53" s="780"/>
      <c r="D53" s="780"/>
      <c r="E53" s="780"/>
      <c r="F53" s="780"/>
      <c r="G53" s="780"/>
      <c r="H53" s="780"/>
      <c r="I53" s="782"/>
    </row>
    <row r="54" spans="1:10" s="781" customFormat="1" ht="20.100000000000001" customHeight="1" x14ac:dyDescent="0.25">
      <c r="A54" s="134" t="s">
        <v>96</v>
      </c>
      <c r="B54" s="358" t="s">
        <v>452</v>
      </c>
      <c r="C54" s="36" t="s">
        <v>52</v>
      </c>
      <c r="E54" s="36"/>
      <c r="F54" s="36"/>
      <c r="G54" s="36"/>
      <c r="H54" s="36"/>
      <c r="I54" s="89"/>
      <c r="J54" s="797"/>
    </row>
    <row r="55" spans="1:10" s="781" customFormat="1" ht="20.100000000000001" customHeight="1" x14ac:dyDescent="0.25">
      <c r="A55" s="90"/>
      <c r="B55" s="191" t="s">
        <v>453</v>
      </c>
      <c r="C55" s="780">
        <v>166042.82999999999</v>
      </c>
      <c r="D55" s="780" t="s">
        <v>55</v>
      </c>
      <c r="E55" s="797" t="s">
        <v>284</v>
      </c>
      <c r="F55" s="797"/>
      <c r="G55" s="797"/>
      <c r="H55" s="797"/>
      <c r="I55" s="797"/>
      <c r="J55" s="46"/>
    </row>
    <row r="56" spans="1:10" s="781" customFormat="1" ht="20.100000000000001" customHeight="1" x14ac:dyDescent="0.25">
      <c r="A56" s="90"/>
      <c r="B56" s="191" t="s">
        <v>201</v>
      </c>
      <c r="C56" s="780">
        <v>495583.31</v>
      </c>
      <c r="D56" s="780" t="s">
        <v>55</v>
      </c>
      <c r="E56" s="797" t="s">
        <v>454</v>
      </c>
      <c r="F56" s="797"/>
      <c r="G56" s="797"/>
      <c r="H56" s="797"/>
      <c r="I56" s="797"/>
      <c r="J56" s="46"/>
    </row>
    <row r="57" spans="1:10" s="781" customFormat="1" ht="20.100000000000001" customHeight="1" x14ac:dyDescent="0.25">
      <c r="A57" s="90"/>
      <c r="B57" s="191" t="s">
        <v>201</v>
      </c>
      <c r="C57" s="780">
        <v>8625391.7099999972</v>
      </c>
      <c r="D57" s="780" t="s">
        <v>55</v>
      </c>
      <c r="E57" s="797" t="s">
        <v>287</v>
      </c>
      <c r="F57" s="797"/>
      <c r="G57" s="797"/>
      <c r="H57" s="797"/>
      <c r="I57" s="797"/>
      <c r="J57" s="46"/>
    </row>
    <row r="58" spans="1:10" s="781" customFormat="1" ht="20.100000000000001" customHeight="1" x14ac:dyDescent="0.25">
      <c r="A58" s="90"/>
      <c r="B58" s="191" t="s">
        <v>50</v>
      </c>
      <c r="C58" s="780">
        <v>107330.63</v>
      </c>
      <c r="D58" s="780" t="s">
        <v>55</v>
      </c>
      <c r="E58" s="797" t="s">
        <v>455</v>
      </c>
      <c r="F58" s="797"/>
      <c r="G58" s="797"/>
      <c r="H58" s="797"/>
      <c r="I58" s="797"/>
      <c r="J58" s="46"/>
    </row>
    <row r="59" spans="1:10" s="781" customFormat="1" ht="20.100000000000001" customHeight="1" x14ac:dyDescent="0.25">
      <c r="A59" s="90"/>
      <c r="B59" s="755" t="s">
        <v>50</v>
      </c>
      <c r="C59" s="780">
        <v>176252.54</v>
      </c>
      <c r="D59" s="780" t="s">
        <v>55</v>
      </c>
      <c r="E59" s="797" t="s">
        <v>456</v>
      </c>
      <c r="F59" s="797"/>
      <c r="G59" s="797"/>
      <c r="H59" s="797"/>
      <c r="I59" s="797"/>
      <c r="J59" s="46"/>
    </row>
    <row r="60" spans="1:10" s="781" customFormat="1" ht="20.100000000000001" customHeight="1" x14ac:dyDescent="0.25">
      <c r="B60" s="755" t="s">
        <v>50</v>
      </c>
      <c r="C60" s="780">
        <v>5006699.5600000005</v>
      </c>
      <c r="D60" s="780" t="s">
        <v>55</v>
      </c>
      <c r="E60" s="797" t="s">
        <v>457</v>
      </c>
      <c r="F60" s="780"/>
      <c r="G60" s="780"/>
      <c r="H60" s="780"/>
      <c r="I60" s="780"/>
      <c r="J60" s="797"/>
    </row>
    <row r="61" spans="1:10" s="781" customFormat="1" ht="20.100000000000001" customHeight="1" thickBot="1" x14ac:dyDescent="0.3">
      <c r="B61" s="755"/>
      <c r="C61" s="795">
        <f>SUM(C55:C60)</f>
        <v>14577300.579999998</v>
      </c>
      <c r="D61" s="769" t="s">
        <v>55</v>
      </c>
      <c r="E61" s="780"/>
      <c r="F61" s="780"/>
      <c r="G61" s="780"/>
      <c r="H61" s="782"/>
      <c r="I61" s="780"/>
      <c r="J61" s="780"/>
    </row>
    <row r="62" spans="1:10" s="781" customFormat="1" ht="20.100000000000001" customHeight="1" thickTop="1" x14ac:dyDescent="0.25">
      <c r="B62" s="755"/>
      <c r="C62" s="769"/>
      <c r="D62" s="769"/>
      <c r="E62" s="780"/>
      <c r="F62" s="780"/>
      <c r="G62" s="780"/>
      <c r="H62" s="782"/>
      <c r="I62" s="780"/>
      <c r="J62" s="780"/>
    </row>
    <row r="64" spans="1:10" s="330" customFormat="1" ht="20.100000000000001" customHeight="1" x14ac:dyDescent="0.25">
      <c r="A64" s="899" t="s">
        <v>521</v>
      </c>
      <c r="B64" s="899"/>
      <c r="C64" s="899"/>
      <c r="D64" s="899"/>
      <c r="E64" s="899"/>
      <c r="F64" s="899"/>
      <c r="G64" s="899"/>
      <c r="H64" s="899"/>
      <c r="I64" s="899"/>
      <c r="J64" s="899"/>
    </row>
    <row r="65" spans="1:10" s="781" customFormat="1" ht="20.100000000000001" customHeight="1" thickBot="1" x14ac:dyDescent="0.3">
      <c r="A65" s="900"/>
      <c r="B65" s="900"/>
      <c r="C65" s="900"/>
      <c r="D65" s="900"/>
      <c r="E65" s="900"/>
      <c r="F65" s="900"/>
      <c r="G65" s="900"/>
      <c r="H65" s="900"/>
      <c r="I65" s="900"/>
      <c r="J65" s="900"/>
    </row>
    <row r="66" spans="1:10" s="42" customFormat="1" ht="50.25" thickBot="1" x14ac:dyDescent="0.3">
      <c r="A66" s="783" t="s">
        <v>480</v>
      </c>
      <c r="B66" s="784" t="s">
        <v>14</v>
      </c>
      <c r="C66" s="338" t="s">
        <v>400</v>
      </c>
      <c r="D66" s="785" t="s">
        <v>17</v>
      </c>
      <c r="E66" s="785" t="s">
        <v>18</v>
      </c>
      <c r="F66" s="784" t="s">
        <v>19</v>
      </c>
      <c r="G66" s="784" t="s">
        <v>59</v>
      </c>
      <c r="H66" s="784" t="s">
        <v>60</v>
      </c>
      <c r="I66" s="339" t="s">
        <v>61</v>
      </c>
      <c r="J66" s="340" t="s">
        <v>23</v>
      </c>
    </row>
    <row r="67" spans="1:10" s="781" customFormat="1" ht="20.100000000000001" customHeight="1" x14ac:dyDescent="0.25">
      <c r="A67" s="231" t="s">
        <v>201</v>
      </c>
      <c r="B67" s="341">
        <f>SUM(I47)</f>
        <v>9287017.8499988914</v>
      </c>
      <c r="C67" s="342">
        <f>91406189.8500001+5178767.97+616310.37+352355.92</f>
        <v>97553624.110000104</v>
      </c>
      <c r="D67" s="343">
        <f>43548100.38+16587.19</f>
        <v>43564687.57</v>
      </c>
      <c r="E67" s="343">
        <v>829407.03</v>
      </c>
      <c r="F67" s="342">
        <f>B67+C67-D67-E67</f>
        <v>62446547.359998994</v>
      </c>
      <c r="G67" s="343">
        <f>56140702.75+952079.1</f>
        <v>57092781.850000001</v>
      </c>
      <c r="H67" s="343">
        <f>G67/F67*100</f>
        <v>91.42664288685971</v>
      </c>
      <c r="I67" s="179">
        <f>F67-G67</f>
        <v>5353765.5099989921</v>
      </c>
      <c r="J67" s="343">
        <f>I67/F67*100</f>
        <v>8.5733571131402861</v>
      </c>
    </row>
    <row r="68" spans="1:10" s="781" customFormat="1" ht="20.100000000000001" customHeight="1" x14ac:dyDescent="0.25">
      <c r="A68" s="344" t="s">
        <v>50</v>
      </c>
      <c r="B68" s="341">
        <f>SUM(I48)</f>
        <v>5290282.7300001979</v>
      </c>
      <c r="C68" s="345">
        <f>23701633.41+4530601.11</f>
        <v>28232234.52</v>
      </c>
      <c r="D68" s="346">
        <v>18564994.690000001</v>
      </c>
      <c r="E68" s="346">
        <v>0</v>
      </c>
      <c r="F68" s="342">
        <f t="shared" ref="F68" si="18">B68+C68-D68-E68</f>
        <v>14957522.560000196</v>
      </c>
      <c r="G68" s="346">
        <v>10143338.279999999</v>
      </c>
      <c r="H68" s="343">
        <f t="shared" ref="H68" si="19">G68/F68*100</f>
        <v>67.814293706135416</v>
      </c>
      <c r="I68" s="179">
        <f t="shared" ref="I68" si="20">F68-G68</f>
        <v>4814184.2800001968</v>
      </c>
      <c r="J68" s="343">
        <f t="shared" ref="J68" si="21">I68/F68*100</f>
        <v>32.185706293864577</v>
      </c>
    </row>
    <row r="69" spans="1:10" s="43" customFormat="1" ht="33" x14ac:dyDescent="0.25">
      <c r="A69" s="347"/>
      <c r="B69" s="348" t="s">
        <v>202</v>
      </c>
      <c r="C69" s="349" t="s">
        <v>522</v>
      </c>
      <c r="D69" s="348" t="s">
        <v>2</v>
      </c>
      <c r="E69" s="348" t="s">
        <v>3</v>
      </c>
      <c r="F69" s="348" t="s">
        <v>4</v>
      </c>
      <c r="G69" s="348" t="s">
        <v>204</v>
      </c>
      <c r="H69" s="348" t="s">
        <v>205</v>
      </c>
      <c r="I69" s="348" t="s">
        <v>206</v>
      </c>
      <c r="J69" s="348" t="s">
        <v>207</v>
      </c>
    </row>
    <row r="70" spans="1:10" s="781" customFormat="1" ht="20.100000000000001" customHeight="1" thickBot="1" x14ac:dyDescent="0.3">
      <c r="A70" s="353" t="s">
        <v>208</v>
      </c>
      <c r="B70" s="350">
        <f>SUM(I50)</f>
        <v>3.0004885047674179E-6</v>
      </c>
      <c r="C70" s="345">
        <v>1780591.5299999998</v>
      </c>
      <c r="D70" s="345">
        <v>590373.85</v>
      </c>
      <c r="E70" s="346">
        <v>0</v>
      </c>
      <c r="F70" s="342">
        <f>B70+C70-D70-E70</f>
        <v>1190217.6800030004</v>
      </c>
      <c r="G70" s="346">
        <v>1190217.68</v>
      </c>
      <c r="H70" s="343">
        <f>G70/F70*100</f>
        <v>99.999999999747899</v>
      </c>
      <c r="I70" s="179">
        <f>F70-G70</f>
        <v>3.0004885047674179E-6</v>
      </c>
      <c r="J70" s="343">
        <f>I70/F70*100</f>
        <v>2.5209577669522217E-10</v>
      </c>
    </row>
    <row r="71" spans="1:10" s="798" customFormat="1" ht="20.100000000000001" customHeight="1" thickTop="1" thickBot="1" x14ac:dyDescent="0.3">
      <c r="A71" s="351" t="s">
        <v>36</v>
      </c>
      <c r="B71" s="352">
        <f t="shared" ref="B71" si="22">SUM(B67:B70)</f>
        <v>14577300.58000209</v>
      </c>
      <c r="C71" s="352">
        <f t="shared" ref="C71:G71" si="23">SUM(C67:C70)</f>
        <v>127566450.1600001</v>
      </c>
      <c r="D71" s="352">
        <f t="shared" si="23"/>
        <v>62720056.110000007</v>
      </c>
      <c r="E71" s="352">
        <f t="shared" si="23"/>
        <v>829407.03</v>
      </c>
      <c r="F71" s="352">
        <f t="shared" si="23"/>
        <v>78594287.600002185</v>
      </c>
      <c r="G71" s="352">
        <f t="shared" si="23"/>
        <v>68426337.810000002</v>
      </c>
      <c r="H71" s="352">
        <f>G71/F71*100</f>
        <v>87.062736872492636</v>
      </c>
      <c r="I71" s="352">
        <f>SUM(I67:I70)</f>
        <v>10167949.79000219</v>
      </c>
      <c r="J71" s="352">
        <f>I71/F71*100</f>
        <v>12.937263127507382</v>
      </c>
    </row>
    <row r="72" spans="1:10" s="781" customFormat="1" ht="20.100000000000001" customHeight="1" thickTop="1" x14ac:dyDescent="0.25">
      <c r="A72" s="369"/>
      <c r="B72" s="794"/>
      <c r="C72" s="794"/>
      <c r="D72" s="362"/>
      <c r="E72" s="362"/>
      <c r="F72" s="794"/>
      <c r="G72" s="362"/>
      <c r="H72" s="362"/>
      <c r="I72" s="362"/>
      <c r="J72" s="362"/>
    </row>
    <row r="73" spans="1:10" s="781" customFormat="1" ht="20.100000000000001" customHeight="1" x14ac:dyDescent="0.25">
      <c r="A73" s="767" t="s">
        <v>37</v>
      </c>
      <c r="B73" s="45"/>
      <c r="C73" s="780"/>
      <c r="D73" s="780"/>
      <c r="E73" s="780"/>
      <c r="F73" s="780"/>
      <c r="G73" s="780"/>
      <c r="H73" s="780"/>
      <c r="I73" s="782"/>
    </row>
    <row r="74" spans="1:10" s="781" customFormat="1" ht="20.100000000000001" customHeight="1" x14ac:dyDescent="0.25">
      <c r="A74" s="134" t="s">
        <v>96</v>
      </c>
      <c r="B74" s="572" t="s">
        <v>523</v>
      </c>
      <c r="C74" s="573" t="s">
        <v>52</v>
      </c>
      <c r="E74" s="36"/>
      <c r="F74" s="36"/>
      <c r="G74" s="36"/>
      <c r="H74" s="36"/>
      <c r="I74" s="89"/>
      <c r="J74" s="797"/>
    </row>
    <row r="75" spans="1:10" s="781" customFormat="1" ht="20.100000000000001" customHeight="1" x14ac:dyDescent="0.25">
      <c r="A75" s="90"/>
      <c r="B75" s="191" t="s">
        <v>453</v>
      </c>
      <c r="C75" s="780">
        <v>249166.84000000005</v>
      </c>
      <c r="D75" s="780" t="s">
        <v>55</v>
      </c>
      <c r="E75" s="797" t="s">
        <v>524</v>
      </c>
      <c r="F75" s="797"/>
      <c r="G75" s="797"/>
      <c r="H75" s="797"/>
      <c r="I75" s="797"/>
      <c r="J75" s="46"/>
    </row>
    <row r="76" spans="1:10" s="781" customFormat="1" ht="20.100000000000001" customHeight="1" x14ac:dyDescent="0.25">
      <c r="A76" s="90"/>
      <c r="B76" s="191" t="s">
        <v>525</v>
      </c>
      <c r="C76" s="780">
        <v>461168.04000000004</v>
      </c>
      <c r="D76" s="780" t="s">
        <v>55</v>
      </c>
      <c r="E76" s="797" t="s">
        <v>524</v>
      </c>
      <c r="F76" s="797"/>
      <c r="G76" s="797"/>
      <c r="H76" s="797"/>
      <c r="I76" s="797"/>
      <c r="J76" s="46"/>
    </row>
    <row r="77" spans="1:10" s="781" customFormat="1" ht="20.100000000000001" customHeight="1" x14ac:dyDescent="0.25">
      <c r="A77" s="90"/>
      <c r="B77" s="191" t="s">
        <v>526</v>
      </c>
      <c r="C77" s="780">
        <v>842682.58000000007</v>
      </c>
      <c r="D77" s="780" t="s">
        <v>55</v>
      </c>
      <c r="E77" s="797" t="s">
        <v>524</v>
      </c>
      <c r="F77" s="797"/>
      <c r="G77" s="797"/>
      <c r="H77" s="797"/>
      <c r="I77" s="797"/>
      <c r="J77" s="46"/>
    </row>
    <row r="78" spans="1:10" s="781" customFormat="1" ht="20.100000000000001" customHeight="1" x14ac:dyDescent="0.25">
      <c r="A78" s="90"/>
      <c r="B78" s="191" t="s">
        <v>201</v>
      </c>
      <c r="C78" s="780">
        <v>3800748.0500000003</v>
      </c>
      <c r="D78" s="780" t="s">
        <v>55</v>
      </c>
      <c r="E78" s="797" t="s">
        <v>527</v>
      </c>
      <c r="F78" s="797"/>
      <c r="G78" s="797"/>
      <c r="H78" s="797"/>
      <c r="I78" s="797"/>
      <c r="J78" s="46"/>
    </row>
    <row r="79" spans="1:10" s="781" customFormat="1" ht="20.100000000000001" customHeight="1" x14ac:dyDescent="0.25">
      <c r="A79" s="90"/>
      <c r="B79" s="191" t="s">
        <v>50</v>
      </c>
      <c r="C79" s="780">
        <v>107330.63</v>
      </c>
      <c r="D79" s="780" t="s">
        <v>55</v>
      </c>
      <c r="E79" s="797" t="s">
        <v>528</v>
      </c>
      <c r="F79" s="797"/>
      <c r="G79" s="797"/>
      <c r="H79" s="797"/>
      <c r="I79" s="797"/>
      <c r="J79" s="46"/>
    </row>
    <row r="80" spans="1:10" s="781" customFormat="1" ht="20.100000000000001" customHeight="1" x14ac:dyDescent="0.25">
      <c r="A80" s="90"/>
      <c r="B80" s="755" t="s">
        <v>50</v>
      </c>
      <c r="C80" s="780">
        <v>95959.74</v>
      </c>
      <c r="D80" s="780" t="s">
        <v>55</v>
      </c>
      <c r="E80" s="797" t="s">
        <v>529</v>
      </c>
      <c r="F80" s="797"/>
      <c r="G80" s="797"/>
      <c r="H80" s="797"/>
      <c r="I80" s="797"/>
      <c r="J80" s="46"/>
    </row>
    <row r="81" spans="1:10" s="781" customFormat="1" ht="20.100000000000001" customHeight="1" x14ac:dyDescent="0.25">
      <c r="A81" s="90"/>
      <c r="B81" s="755" t="s">
        <v>50</v>
      </c>
      <c r="C81" s="780">
        <v>80292.800000000003</v>
      </c>
      <c r="D81" s="780" t="s">
        <v>55</v>
      </c>
      <c r="E81" s="797" t="s">
        <v>456</v>
      </c>
      <c r="F81" s="797"/>
      <c r="G81" s="797"/>
      <c r="H81" s="797"/>
      <c r="I81" s="797"/>
      <c r="J81" s="46"/>
    </row>
    <row r="82" spans="1:10" s="781" customFormat="1" ht="20.100000000000001" customHeight="1" x14ac:dyDescent="0.25">
      <c r="B82" s="755" t="s">
        <v>50</v>
      </c>
      <c r="C82" s="780">
        <v>4530601.1099999994</v>
      </c>
      <c r="D82" s="780" t="s">
        <v>55</v>
      </c>
      <c r="E82" s="797" t="s">
        <v>527</v>
      </c>
      <c r="F82" s="780"/>
      <c r="G82" s="780"/>
      <c r="H82" s="780"/>
      <c r="I82" s="780"/>
      <c r="J82" s="797"/>
    </row>
    <row r="83" spans="1:10" s="781" customFormat="1" ht="20.100000000000001" customHeight="1" thickBot="1" x14ac:dyDescent="0.3">
      <c r="B83" s="755"/>
      <c r="C83" s="795">
        <f>SUM(C75:C82)</f>
        <v>10167949.789999999</v>
      </c>
      <c r="D83" s="769" t="s">
        <v>55</v>
      </c>
      <c r="E83" s="780"/>
      <c r="F83" s="780"/>
      <c r="G83" s="780"/>
      <c r="H83" s="782"/>
      <c r="I83" s="780"/>
      <c r="J83" s="780"/>
    </row>
    <row r="84" spans="1:10" s="781" customFormat="1" ht="20.100000000000001" customHeight="1" thickTop="1" x14ac:dyDescent="0.25">
      <c r="B84" s="755"/>
      <c r="C84" s="769"/>
      <c r="D84" s="769"/>
      <c r="E84" s="780"/>
      <c r="F84" s="780"/>
      <c r="G84" s="780"/>
      <c r="H84" s="782"/>
      <c r="I84" s="780"/>
      <c r="J84" s="780"/>
    </row>
    <row r="85" spans="1:10" ht="15" x14ac:dyDescent="0.25">
      <c r="B85" s="882"/>
      <c r="C85" s="882"/>
      <c r="D85" s="410"/>
      <c r="E85" s="410"/>
    </row>
    <row r="86" spans="1:10" s="330" customFormat="1" ht="20.100000000000001" customHeight="1" x14ac:dyDescent="0.25">
      <c r="A86" s="899" t="s">
        <v>615</v>
      </c>
      <c r="B86" s="899"/>
      <c r="C86" s="899"/>
      <c r="D86" s="899"/>
      <c r="E86" s="899"/>
      <c r="F86" s="899"/>
      <c r="G86" s="899"/>
      <c r="H86" s="899"/>
      <c r="I86" s="899"/>
      <c r="J86" s="899"/>
    </row>
    <row r="87" spans="1:10" s="781" customFormat="1" ht="20.100000000000001" customHeight="1" thickBot="1" x14ac:dyDescent="0.3">
      <c r="A87" s="900"/>
      <c r="B87" s="900"/>
      <c r="C87" s="900"/>
      <c r="D87" s="900"/>
      <c r="E87" s="900"/>
      <c r="F87" s="900"/>
      <c r="G87" s="900"/>
      <c r="H87" s="900"/>
      <c r="I87" s="900"/>
      <c r="J87" s="900"/>
    </row>
    <row r="88" spans="1:10" s="42" customFormat="1" ht="50.25" thickBot="1" x14ac:dyDescent="0.3">
      <c r="A88" s="783" t="s">
        <v>616</v>
      </c>
      <c r="B88" s="784" t="s">
        <v>14</v>
      </c>
      <c r="C88" s="338" t="s">
        <v>515</v>
      </c>
      <c r="D88" s="785" t="s">
        <v>17</v>
      </c>
      <c r="E88" s="785" t="s">
        <v>18</v>
      </c>
      <c r="F88" s="784" t="s">
        <v>19</v>
      </c>
      <c r="G88" s="784" t="s">
        <v>59</v>
      </c>
      <c r="H88" s="784" t="s">
        <v>60</v>
      </c>
      <c r="I88" s="339" t="s">
        <v>61</v>
      </c>
      <c r="J88" s="340" t="s">
        <v>23</v>
      </c>
    </row>
    <row r="89" spans="1:10" s="781" customFormat="1" ht="20.100000000000001" customHeight="1" x14ac:dyDescent="0.25">
      <c r="A89" s="231" t="s">
        <v>201</v>
      </c>
      <c r="B89" s="341">
        <f>SUM(I67)</f>
        <v>5353765.5099989921</v>
      </c>
      <c r="C89" s="342">
        <f>82580525.67+1531666.53+322680.43</f>
        <v>84434872.63000001</v>
      </c>
      <c r="D89" s="343">
        <f>35652981.06+915026.84+7179.68</f>
        <v>36575187.580000006</v>
      </c>
      <c r="E89" s="343">
        <v>1395263.99</v>
      </c>
      <c r="F89" s="342">
        <f>B89+C89-D89-E89</f>
        <v>51818186.569998994</v>
      </c>
      <c r="G89" s="343">
        <f>49852972.59+241.24+315500.75</f>
        <v>50168714.580000006</v>
      </c>
      <c r="H89" s="343">
        <f>G89/F89*100</f>
        <v>96.816808732256987</v>
      </c>
      <c r="I89" s="179">
        <f>F89-G89</f>
        <v>1649471.9899989888</v>
      </c>
      <c r="J89" s="343">
        <f>I89/F89*100</f>
        <v>3.1831912677430094</v>
      </c>
    </row>
    <row r="90" spans="1:10" s="781" customFormat="1" ht="20.100000000000001" customHeight="1" x14ac:dyDescent="0.25">
      <c r="A90" s="344" t="s">
        <v>50</v>
      </c>
      <c r="B90" s="341">
        <f>SUM(I68)</f>
        <v>4814184.2800001968</v>
      </c>
      <c r="C90" s="345">
        <f>23357982.03+7942855.57</f>
        <v>31300837.600000001</v>
      </c>
      <c r="D90" s="346">
        <v>9419388.0199999996</v>
      </c>
      <c r="E90" s="346">
        <v>2319.7600000000002</v>
      </c>
      <c r="F90" s="342">
        <f t="shared" ref="F90" si="24">B90+C90-D90-E90</f>
        <v>26693314.100000195</v>
      </c>
      <c r="G90" s="346">
        <v>18466875.359999999</v>
      </c>
      <c r="H90" s="343">
        <f t="shared" ref="H90" si="25">G90/F90*100</f>
        <v>69.181650846418734</v>
      </c>
      <c r="I90" s="179">
        <f t="shared" ref="I90" si="26">F90-G90</f>
        <v>8226438.7400001958</v>
      </c>
      <c r="J90" s="343">
        <f t="shared" ref="J90" si="27">I90/F90*100</f>
        <v>30.818349153581252</v>
      </c>
    </row>
    <row r="91" spans="1:10" s="43" customFormat="1" ht="33" x14ac:dyDescent="0.25">
      <c r="A91" s="347"/>
      <c r="B91" s="348" t="s">
        <v>202</v>
      </c>
      <c r="C91" s="349" t="s">
        <v>617</v>
      </c>
      <c r="D91" s="348" t="s">
        <v>2</v>
      </c>
      <c r="E91" s="348" t="s">
        <v>3</v>
      </c>
      <c r="F91" s="348" t="s">
        <v>4</v>
      </c>
      <c r="G91" s="348" t="s">
        <v>204</v>
      </c>
      <c r="H91" s="348" t="s">
        <v>205</v>
      </c>
      <c r="I91" s="348" t="s">
        <v>206</v>
      </c>
      <c r="J91" s="348" t="s">
        <v>207</v>
      </c>
    </row>
    <row r="92" spans="1:10" s="781" customFormat="1" ht="20.100000000000001" customHeight="1" thickBot="1" x14ac:dyDescent="0.3">
      <c r="A92" s="353" t="s">
        <v>208</v>
      </c>
      <c r="B92" s="350">
        <f>SUM(I70)</f>
        <v>3.0004885047674179E-6</v>
      </c>
      <c r="C92" s="345">
        <f>1904660.56+429841.73</f>
        <v>2334502.29</v>
      </c>
      <c r="D92" s="345">
        <v>402628.62</v>
      </c>
      <c r="E92" s="346">
        <v>0</v>
      </c>
      <c r="F92" s="342">
        <f>B92+C92-D92-E92</f>
        <v>1931873.6700030006</v>
      </c>
      <c r="G92" s="346">
        <v>1502031.94</v>
      </c>
      <c r="H92" s="343">
        <f>G92/F92*100</f>
        <v>77.750008363521346</v>
      </c>
      <c r="I92" s="179">
        <f>F92-G92</f>
        <v>429841.7300030007</v>
      </c>
      <c r="J92" s="343">
        <f>I92/F92*100</f>
        <v>22.249991636478644</v>
      </c>
    </row>
    <row r="93" spans="1:10" s="798" customFormat="1" ht="20.100000000000001" customHeight="1" thickTop="1" thickBot="1" x14ac:dyDescent="0.3">
      <c r="A93" s="351" t="s">
        <v>36</v>
      </c>
      <c r="B93" s="352">
        <f t="shared" ref="B93" si="28">SUM(B89:B92)</f>
        <v>10167949.79000219</v>
      </c>
      <c r="C93" s="352">
        <f t="shared" ref="C93:G93" si="29">SUM(C89:C92)</f>
        <v>118070212.52000003</v>
      </c>
      <c r="D93" s="352">
        <f t="shared" si="29"/>
        <v>46397204.220000006</v>
      </c>
      <c r="E93" s="352">
        <f t="shared" si="29"/>
        <v>1397583.75</v>
      </c>
      <c r="F93" s="352">
        <f t="shared" si="29"/>
        <v>80443374.340002179</v>
      </c>
      <c r="G93" s="352">
        <f t="shared" si="29"/>
        <v>70137621.879999995</v>
      </c>
      <c r="H93" s="352">
        <f>G93/F93*100</f>
        <v>87.188811329017767</v>
      </c>
      <c r="I93" s="352">
        <f>SUM(I89:I92)</f>
        <v>10305752.460002186</v>
      </c>
      <c r="J93" s="352">
        <f>I93/F93*100</f>
        <v>12.811188670982229</v>
      </c>
    </row>
    <row r="94" spans="1:10" s="781" customFormat="1" ht="20.100000000000001" customHeight="1" thickTop="1" x14ac:dyDescent="0.25">
      <c r="A94" s="369"/>
      <c r="B94" s="794"/>
      <c r="C94" s="794"/>
      <c r="D94" s="362"/>
      <c r="E94" s="362"/>
      <c r="F94" s="794"/>
      <c r="G94" s="362"/>
      <c r="H94" s="362"/>
      <c r="I94" s="362"/>
      <c r="J94" s="362"/>
    </row>
    <row r="95" spans="1:10" s="781" customFormat="1" ht="20.100000000000001" customHeight="1" x14ac:dyDescent="0.25">
      <c r="A95" s="767" t="s">
        <v>37</v>
      </c>
      <c r="B95" s="45"/>
      <c r="C95" s="780"/>
      <c r="D95" s="780"/>
      <c r="E95" s="780"/>
      <c r="F95" s="780"/>
      <c r="G95" s="780"/>
      <c r="H95" s="780"/>
      <c r="I95" s="782"/>
    </row>
    <row r="96" spans="1:10" s="781" customFormat="1" ht="20.100000000000001" customHeight="1" x14ac:dyDescent="0.25">
      <c r="A96" s="134" t="s">
        <v>96</v>
      </c>
      <c r="B96" s="572" t="s">
        <v>618</v>
      </c>
      <c r="C96" s="573" t="s">
        <v>52</v>
      </c>
      <c r="E96" s="36"/>
      <c r="F96" s="36"/>
      <c r="G96" s="36"/>
      <c r="H96" s="36"/>
      <c r="I96" s="89"/>
      <c r="J96" s="797"/>
    </row>
    <row r="97" spans="1:10" s="781" customFormat="1" ht="20.100000000000001" customHeight="1" x14ac:dyDescent="0.25">
      <c r="A97" s="90"/>
      <c r="B97" s="191" t="s">
        <v>619</v>
      </c>
      <c r="C97" s="780">
        <v>151861.76999999999</v>
      </c>
      <c r="D97" s="780" t="s">
        <v>55</v>
      </c>
      <c r="E97" s="797" t="s">
        <v>620</v>
      </c>
      <c r="F97" s="797"/>
      <c r="G97" s="797"/>
      <c r="H97" s="797"/>
      <c r="I97" s="797"/>
      <c r="J97" s="46"/>
    </row>
    <row r="98" spans="1:10" s="781" customFormat="1" ht="20.100000000000001" customHeight="1" x14ac:dyDescent="0.25">
      <c r="A98" s="90"/>
      <c r="B98" s="191" t="s">
        <v>201</v>
      </c>
      <c r="C98" s="780">
        <v>1497610.22</v>
      </c>
      <c r="D98" s="780" t="s">
        <v>55</v>
      </c>
      <c r="E98" s="797" t="s">
        <v>621</v>
      </c>
      <c r="F98" s="797"/>
      <c r="G98" s="797"/>
      <c r="H98" s="797"/>
      <c r="I98" s="797"/>
      <c r="J98" s="46"/>
    </row>
    <row r="99" spans="1:10" s="781" customFormat="1" ht="16.5" x14ac:dyDescent="0.25">
      <c r="B99" s="190" t="s">
        <v>214</v>
      </c>
      <c r="C99" s="780">
        <v>429841.73</v>
      </c>
      <c r="D99" s="780" t="s">
        <v>55</v>
      </c>
      <c r="E99" s="797" t="s">
        <v>622</v>
      </c>
      <c r="F99" s="780"/>
      <c r="G99" s="780"/>
      <c r="H99" s="782"/>
      <c r="I99" s="780"/>
      <c r="J99" s="780"/>
    </row>
    <row r="100" spans="1:10" s="781" customFormat="1" ht="20.100000000000001" customHeight="1" x14ac:dyDescent="0.25">
      <c r="A100" s="90"/>
      <c r="B100" s="755" t="s">
        <v>50</v>
      </c>
      <c r="C100" s="780">
        <v>107330.63</v>
      </c>
      <c r="D100" s="780" t="s">
        <v>55</v>
      </c>
      <c r="E100" s="797" t="s">
        <v>623</v>
      </c>
      <c r="F100" s="797"/>
      <c r="G100" s="797"/>
      <c r="H100" s="797"/>
      <c r="I100" s="797"/>
      <c r="J100" s="46"/>
    </row>
    <row r="101" spans="1:10" s="781" customFormat="1" ht="20.100000000000001" customHeight="1" x14ac:dyDescent="0.25">
      <c r="A101" s="90"/>
      <c r="B101" s="755" t="s">
        <v>50</v>
      </c>
      <c r="C101" s="780">
        <v>95959.74</v>
      </c>
      <c r="D101" s="780" t="s">
        <v>55</v>
      </c>
      <c r="E101" s="797" t="s">
        <v>529</v>
      </c>
      <c r="F101" s="797"/>
      <c r="G101" s="797"/>
      <c r="H101" s="797"/>
      <c r="I101" s="797"/>
      <c r="J101" s="46"/>
    </row>
    <row r="102" spans="1:10" s="781" customFormat="1" ht="20.100000000000001" customHeight="1" x14ac:dyDescent="0.25">
      <c r="A102" s="90"/>
      <c r="B102" s="755" t="s">
        <v>50</v>
      </c>
      <c r="C102" s="780">
        <v>80292.800000000003</v>
      </c>
      <c r="D102" s="780" t="s">
        <v>55</v>
      </c>
      <c r="E102" s="797" t="s">
        <v>456</v>
      </c>
      <c r="F102" s="797"/>
      <c r="G102" s="797"/>
      <c r="H102" s="797"/>
      <c r="I102" s="797"/>
      <c r="J102" s="46"/>
    </row>
    <row r="103" spans="1:10" s="781" customFormat="1" ht="20.100000000000001" customHeight="1" x14ac:dyDescent="0.25">
      <c r="B103" s="755" t="s">
        <v>50</v>
      </c>
      <c r="C103" s="780">
        <v>7942855.5699999994</v>
      </c>
      <c r="D103" s="780" t="s">
        <v>55</v>
      </c>
      <c r="E103" s="797" t="s">
        <v>621</v>
      </c>
      <c r="F103" s="780"/>
      <c r="G103" s="780"/>
      <c r="H103" s="780"/>
      <c r="I103" s="780"/>
      <c r="J103" s="797"/>
    </row>
    <row r="104" spans="1:10" s="781" customFormat="1" ht="20.100000000000001" customHeight="1" thickBot="1" x14ac:dyDescent="0.3">
      <c r="B104" s="755"/>
      <c r="C104" s="795">
        <f>SUM(C97:C103)</f>
        <v>10305752.459999999</v>
      </c>
      <c r="D104" s="769" t="s">
        <v>55</v>
      </c>
      <c r="E104" s="780"/>
      <c r="F104" s="780"/>
      <c r="G104" s="780"/>
      <c r="H104" s="782"/>
      <c r="I104" s="780"/>
      <c r="J104" s="780"/>
    </row>
    <row r="105" spans="1:10" s="781" customFormat="1" ht="20.100000000000001" customHeight="1" thickTop="1" x14ac:dyDescent="0.25">
      <c r="B105" s="755"/>
      <c r="C105" s="769"/>
      <c r="D105" s="769"/>
      <c r="E105" s="780"/>
      <c r="F105" s="780"/>
      <c r="G105" s="780"/>
      <c r="H105" s="782"/>
      <c r="I105" s="780"/>
      <c r="J105" s="780"/>
    </row>
    <row r="107" spans="1:10" s="330" customFormat="1" ht="20.100000000000001" customHeight="1" x14ac:dyDescent="0.25">
      <c r="A107" s="899" t="s">
        <v>747</v>
      </c>
      <c r="B107" s="899"/>
      <c r="C107" s="899"/>
      <c r="D107" s="899"/>
      <c r="E107" s="899"/>
      <c r="F107" s="899"/>
      <c r="G107" s="899"/>
      <c r="H107" s="899"/>
      <c r="I107" s="899"/>
      <c r="J107" s="899"/>
    </row>
    <row r="108" spans="1:10" s="781" customFormat="1" ht="20.100000000000001" customHeight="1" thickBot="1" x14ac:dyDescent="0.3">
      <c r="A108" s="900"/>
      <c r="B108" s="900"/>
      <c r="C108" s="900"/>
      <c r="D108" s="900"/>
      <c r="E108" s="900"/>
      <c r="F108" s="900"/>
      <c r="G108" s="900"/>
      <c r="H108" s="900"/>
      <c r="I108" s="900"/>
      <c r="J108" s="900"/>
    </row>
    <row r="109" spans="1:10" s="42" customFormat="1" ht="50.25" thickBot="1" x14ac:dyDescent="0.3">
      <c r="A109" s="783" t="s">
        <v>726</v>
      </c>
      <c r="B109" s="784" t="s">
        <v>14</v>
      </c>
      <c r="C109" s="338" t="s">
        <v>625</v>
      </c>
      <c r="D109" s="785" t="s">
        <v>17</v>
      </c>
      <c r="E109" s="785" t="s">
        <v>18</v>
      </c>
      <c r="F109" s="784" t="s">
        <v>19</v>
      </c>
      <c r="G109" s="784" t="s">
        <v>59</v>
      </c>
      <c r="H109" s="784" t="s">
        <v>60</v>
      </c>
      <c r="I109" s="339" t="s">
        <v>61</v>
      </c>
      <c r="J109" s="340" t="s">
        <v>23</v>
      </c>
    </row>
    <row r="110" spans="1:10" s="781" customFormat="1" ht="20.100000000000001" customHeight="1" x14ac:dyDescent="0.25">
      <c r="A110" s="231" t="s">
        <v>201</v>
      </c>
      <c r="B110" s="341">
        <f>SUM(I89)</f>
        <v>1649471.9899989888</v>
      </c>
      <c r="C110" s="342">
        <f>95954028.9+11946644.19+672927.59</f>
        <v>108573600.68000001</v>
      </c>
      <c r="D110" s="343">
        <f>39263708.32+10554.97</f>
        <v>39274263.289999999</v>
      </c>
      <c r="E110" s="343">
        <v>708800.87</v>
      </c>
      <c r="F110" s="342">
        <f>B110+C110-D110-E110</f>
        <v>70240008.509999007</v>
      </c>
      <c r="G110" s="343">
        <f>58899719.74-G113+662372.62</f>
        <v>58134233.420000002</v>
      </c>
      <c r="H110" s="343">
        <f>G110/F110*100</f>
        <v>82.765128668405993</v>
      </c>
      <c r="I110" s="179">
        <f>F110-G110</f>
        <v>12105775.089999005</v>
      </c>
      <c r="J110" s="343">
        <f>I110/F110*100</f>
        <v>17.234871331594</v>
      </c>
    </row>
    <row r="111" spans="1:10" s="781" customFormat="1" ht="20.100000000000001" customHeight="1" x14ac:dyDescent="0.25">
      <c r="A111" s="344" t="s">
        <v>50</v>
      </c>
      <c r="B111" s="341">
        <f>SUM(I90)</f>
        <v>8226438.7400001958</v>
      </c>
      <c r="C111" s="345">
        <f>29650438.79+1223942.85</f>
        <v>30874381.640000001</v>
      </c>
      <c r="D111" s="346">
        <v>6522552.9000000004</v>
      </c>
      <c r="E111" s="346">
        <v>2401.08</v>
      </c>
      <c r="F111" s="342">
        <f t="shared" ref="F111" si="30">B111+C111-D111-E111</f>
        <v>32575866.4000002</v>
      </c>
      <c r="G111" s="346">
        <v>31175671.010000002</v>
      </c>
      <c r="H111" s="343">
        <f t="shared" ref="H111" si="31">G111/F111*100</f>
        <v>95.701740138521103</v>
      </c>
      <c r="I111" s="179">
        <f t="shared" ref="I111" si="32">F111-G111</f>
        <v>1400195.390000198</v>
      </c>
      <c r="J111" s="343">
        <f t="shared" ref="J111" si="33">I111/F111*100</f>
        <v>4.2982598614788943</v>
      </c>
    </row>
    <row r="112" spans="1:10" s="43" customFormat="1" ht="33" x14ac:dyDescent="0.25">
      <c r="A112" s="347"/>
      <c r="B112" s="348" t="s">
        <v>202</v>
      </c>
      <c r="C112" s="349" t="s">
        <v>748</v>
      </c>
      <c r="D112" s="348" t="s">
        <v>2</v>
      </c>
      <c r="E112" s="348" t="s">
        <v>3</v>
      </c>
      <c r="F112" s="348" t="s">
        <v>4</v>
      </c>
      <c r="G112" s="348" t="s">
        <v>204</v>
      </c>
      <c r="H112" s="348" t="s">
        <v>205</v>
      </c>
      <c r="I112" s="348" t="s">
        <v>206</v>
      </c>
      <c r="J112" s="348" t="s">
        <v>207</v>
      </c>
    </row>
    <row r="113" spans="1:10" s="781" customFormat="1" ht="20.100000000000001" customHeight="1" thickBot="1" x14ac:dyDescent="0.3">
      <c r="A113" s="353" t="s">
        <v>208</v>
      </c>
      <c r="B113" s="350">
        <f>SUM(I92)</f>
        <v>429841.7300030007</v>
      </c>
      <c r="C113" s="345">
        <f>1340169.36+430776.73</f>
        <v>1770946.09</v>
      </c>
      <c r="D113" s="345">
        <v>342152.15</v>
      </c>
      <c r="E113" s="346">
        <v>0</v>
      </c>
      <c r="F113" s="342">
        <f>B113+C113-D113-E113</f>
        <v>1858635.6700030011</v>
      </c>
      <c r="G113" s="346">
        <v>1427858.94</v>
      </c>
      <c r="H113" s="343">
        <f>G113/F113*100</f>
        <v>76.822960144614811</v>
      </c>
      <c r="I113" s="179">
        <f>F113-G113</f>
        <v>430776.73000300117</v>
      </c>
      <c r="J113" s="343">
        <f>I113/F113*100</f>
        <v>23.177039855385193</v>
      </c>
    </row>
    <row r="114" spans="1:10" s="798" customFormat="1" ht="20.100000000000001" customHeight="1" thickTop="1" thickBot="1" x14ac:dyDescent="0.3">
      <c r="A114" s="351" t="s">
        <v>36</v>
      </c>
      <c r="B114" s="352">
        <f t="shared" ref="B114" si="34">SUM(B110:B113)</f>
        <v>10305752.460002186</v>
      </c>
      <c r="C114" s="352">
        <f t="shared" ref="C114:G114" si="35">SUM(C110:C113)</f>
        <v>141218928.41</v>
      </c>
      <c r="D114" s="352">
        <f t="shared" si="35"/>
        <v>46138968.339999996</v>
      </c>
      <c r="E114" s="352">
        <f t="shared" si="35"/>
        <v>711201.95</v>
      </c>
      <c r="F114" s="352">
        <f t="shared" si="35"/>
        <v>104674510.5800022</v>
      </c>
      <c r="G114" s="352">
        <f t="shared" si="35"/>
        <v>90737763.370000005</v>
      </c>
      <c r="H114" s="352">
        <f>G114/F114*100</f>
        <v>86.685634226729519</v>
      </c>
      <c r="I114" s="352">
        <f>SUM(I110:I113)</f>
        <v>13936747.210002204</v>
      </c>
      <c r="J114" s="352">
        <f>I114/F114*100</f>
        <v>13.314365773270485</v>
      </c>
    </row>
    <row r="115" spans="1:10" s="781" customFormat="1" ht="20.100000000000001" customHeight="1" thickTop="1" x14ac:dyDescent="0.25">
      <c r="A115" s="369"/>
      <c r="B115" s="794"/>
      <c r="C115" s="794"/>
      <c r="D115" s="362"/>
      <c r="E115" s="362"/>
      <c r="F115" s="794"/>
      <c r="G115" s="362"/>
      <c r="H115" s="362"/>
      <c r="I115" s="362"/>
      <c r="J115" s="362"/>
    </row>
    <row r="116" spans="1:10" s="781" customFormat="1" ht="20.100000000000001" customHeight="1" x14ac:dyDescent="0.25">
      <c r="A116" s="767" t="s">
        <v>37</v>
      </c>
      <c r="B116" s="45"/>
      <c r="C116" s="780"/>
      <c r="D116" s="780"/>
      <c r="E116" s="780"/>
      <c r="F116" s="780"/>
      <c r="G116" s="780"/>
      <c r="H116" s="780"/>
      <c r="I116" s="782"/>
    </row>
    <row r="117" spans="1:10" s="781" customFormat="1" ht="20.100000000000001" customHeight="1" x14ac:dyDescent="0.25">
      <c r="A117" s="134" t="s">
        <v>96</v>
      </c>
      <c r="B117" s="572" t="s">
        <v>749</v>
      </c>
      <c r="C117" s="573" t="s">
        <v>52</v>
      </c>
      <c r="E117" s="36"/>
      <c r="F117" s="36"/>
      <c r="G117" s="36"/>
      <c r="H117" s="36"/>
      <c r="I117" s="89"/>
      <c r="J117" s="797"/>
    </row>
    <row r="118" spans="1:10" s="781" customFormat="1" ht="20.100000000000001" customHeight="1" x14ac:dyDescent="0.25">
      <c r="A118" s="90"/>
      <c r="B118" s="191" t="s">
        <v>750</v>
      </c>
      <c r="C118" s="780">
        <v>451607.66000000009</v>
      </c>
      <c r="D118" s="780" t="s">
        <v>55</v>
      </c>
      <c r="E118" s="797" t="s">
        <v>620</v>
      </c>
      <c r="F118" s="797"/>
      <c r="G118" s="797"/>
      <c r="H118" s="797"/>
      <c r="I118" s="797"/>
      <c r="J118" s="46"/>
    </row>
    <row r="119" spans="1:10" s="781" customFormat="1" ht="20.100000000000001" customHeight="1" x14ac:dyDescent="0.25">
      <c r="A119" s="90"/>
      <c r="B119" s="191" t="s">
        <v>201</v>
      </c>
      <c r="C119" s="780">
        <v>368967.44</v>
      </c>
      <c r="D119" s="780" t="s">
        <v>55</v>
      </c>
      <c r="E119" s="797" t="s">
        <v>529</v>
      </c>
      <c r="F119" s="797"/>
      <c r="G119" s="797"/>
      <c r="H119" s="797"/>
      <c r="I119" s="797"/>
      <c r="J119" s="46"/>
    </row>
    <row r="120" spans="1:10" s="781" customFormat="1" ht="20.100000000000001" customHeight="1" x14ac:dyDescent="0.25">
      <c r="A120" s="90"/>
      <c r="B120" s="191" t="s">
        <v>201</v>
      </c>
      <c r="C120" s="780">
        <v>1034669.88</v>
      </c>
      <c r="D120" s="780" t="s">
        <v>55</v>
      </c>
      <c r="E120" s="650" t="s">
        <v>751</v>
      </c>
      <c r="F120" s="797"/>
      <c r="G120" s="797"/>
      <c r="H120" s="797"/>
      <c r="I120" s="797"/>
      <c r="J120" s="46"/>
    </row>
    <row r="121" spans="1:10" s="781" customFormat="1" ht="20.100000000000001" customHeight="1" x14ac:dyDescent="0.25">
      <c r="A121" s="90"/>
      <c r="B121" s="191" t="s">
        <v>201</v>
      </c>
      <c r="C121" s="780">
        <v>10250530.109999998</v>
      </c>
      <c r="D121" s="780" t="s">
        <v>55</v>
      </c>
      <c r="E121" s="797" t="s">
        <v>622</v>
      </c>
      <c r="F121" s="797"/>
      <c r="G121" s="797"/>
      <c r="H121" s="797"/>
      <c r="I121" s="797"/>
      <c r="J121" s="46"/>
    </row>
    <row r="122" spans="1:10" s="781" customFormat="1" ht="16.5" x14ac:dyDescent="0.25">
      <c r="B122" s="190" t="s">
        <v>214</v>
      </c>
      <c r="C122" s="780">
        <v>430776.73</v>
      </c>
      <c r="D122" s="780" t="s">
        <v>55</v>
      </c>
      <c r="E122" s="797" t="s">
        <v>752</v>
      </c>
      <c r="F122" s="780"/>
      <c r="G122" s="780"/>
      <c r="H122" s="782"/>
      <c r="I122" s="780"/>
      <c r="J122" s="780"/>
    </row>
    <row r="123" spans="1:10" s="781" customFormat="1" ht="20.100000000000001" customHeight="1" x14ac:dyDescent="0.25">
      <c r="A123" s="90"/>
      <c r="B123" s="755" t="s">
        <v>50</v>
      </c>
      <c r="C123" s="780">
        <v>95959.74</v>
      </c>
      <c r="D123" s="780" t="s">
        <v>55</v>
      </c>
      <c r="E123" s="797" t="s">
        <v>529</v>
      </c>
      <c r="F123" s="797"/>
      <c r="G123" s="797"/>
      <c r="H123" s="797"/>
      <c r="I123" s="797"/>
      <c r="J123" s="46"/>
    </row>
    <row r="124" spans="1:10" s="781" customFormat="1" ht="20.100000000000001" customHeight="1" x14ac:dyDescent="0.25">
      <c r="A124" s="90"/>
      <c r="B124" s="755" t="s">
        <v>50</v>
      </c>
      <c r="C124" s="780">
        <v>80292.800000000003</v>
      </c>
      <c r="D124" s="780" t="s">
        <v>55</v>
      </c>
      <c r="E124" s="797" t="s">
        <v>753</v>
      </c>
      <c r="F124" s="797"/>
      <c r="G124" s="797"/>
      <c r="H124" s="797"/>
      <c r="I124" s="797"/>
      <c r="J124" s="46"/>
    </row>
    <row r="125" spans="1:10" s="781" customFormat="1" ht="20.100000000000001" customHeight="1" x14ac:dyDescent="0.25">
      <c r="B125" s="755" t="s">
        <v>50</v>
      </c>
      <c r="C125" s="780">
        <v>1223942.8500000001</v>
      </c>
      <c r="D125" s="780" t="s">
        <v>55</v>
      </c>
      <c r="E125" s="797" t="s">
        <v>622</v>
      </c>
      <c r="F125" s="780"/>
      <c r="G125" s="780"/>
      <c r="H125" s="780"/>
      <c r="I125" s="780"/>
      <c r="J125" s="797"/>
    </row>
    <row r="126" spans="1:10" s="781" customFormat="1" ht="20.100000000000001" customHeight="1" thickBot="1" x14ac:dyDescent="0.3">
      <c r="B126" s="755"/>
      <c r="C126" s="795">
        <f>SUM(C118:C125)</f>
        <v>13936747.209999999</v>
      </c>
      <c r="D126" s="769" t="s">
        <v>55</v>
      </c>
      <c r="E126" s="780"/>
      <c r="F126" s="780"/>
      <c r="G126" s="780"/>
      <c r="H126" s="782"/>
      <c r="I126" s="780"/>
      <c r="J126" s="780"/>
    </row>
    <row r="127" spans="1:10" s="781" customFormat="1" ht="20.100000000000001" customHeight="1" thickTop="1" x14ac:dyDescent="0.25">
      <c r="B127" s="755"/>
      <c r="C127" s="769"/>
      <c r="D127" s="769"/>
      <c r="E127" s="780"/>
      <c r="F127" s="780"/>
      <c r="G127" s="780"/>
      <c r="H127" s="782"/>
      <c r="I127" s="780"/>
      <c r="J127" s="780"/>
    </row>
    <row r="128" spans="1:10" s="802" customFormat="1" ht="16.5" x14ac:dyDescent="0.3"/>
    <row r="129" spans="1:10" s="330" customFormat="1" ht="20.100000000000001" customHeight="1" x14ac:dyDescent="0.25">
      <c r="A129" s="899" t="s">
        <v>818</v>
      </c>
      <c r="B129" s="899"/>
      <c r="C129" s="899"/>
      <c r="D129" s="899"/>
      <c r="E129" s="899"/>
      <c r="F129" s="899"/>
      <c r="G129" s="899"/>
      <c r="H129" s="899"/>
      <c r="I129" s="899"/>
      <c r="J129" s="899"/>
    </row>
    <row r="130" spans="1:10" s="781" customFormat="1" ht="20.100000000000001" customHeight="1" thickBot="1" x14ac:dyDescent="0.3">
      <c r="A130" s="900"/>
      <c r="B130" s="900"/>
      <c r="C130" s="900"/>
      <c r="D130" s="900"/>
      <c r="E130" s="900"/>
      <c r="F130" s="900"/>
      <c r="G130" s="900"/>
      <c r="H130" s="900"/>
      <c r="I130" s="900"/>
      <c r="J130" s="900"/>
    </row>
    <row r="131" spans="1:10" s="42" customFormat="1" ht="50.25" thickBot="1" x14ac:dyDescent="0.3">
      <c r="A131" s="783" t="s">
        <v>819</v>
      </c>
      <c r="B131" s="784" t="s">
        <v>14</v>
      </c>
      <c r="C131" s="338" t="s">
        <v>691</v>
      </c>
      <c r="D131" s="785" t="s">
        <v>17</v>
      </c>
      <c r="E131" s="785" t="s">
        <v>18</v>
      </c>
      <c r="F131" s="784" t="s">
        <v>19</v>
      </c>
      <c r="G131" s="784" t="s">
        <v>59</v>
      </c>
      <c r="H131" s="784" t="s">
        <v>60</v>
      </c>
      <c r="I131" s="339" t="s">
        <v>61</v>
      </c>
      <c r="J131" s="340" t="s">
        <v>23</v>
      </c>
    </row>
    <row r="132" spans="1:10" s="781" customFormat="1" ht="20.100000000000001" customHeight="1" x14ac:dyDescent="0.25">
      <c r="A132" s="231" t="s">
        <v>201</v>
      </c>
      <c r="B132" s="341">
        <v>11859154.119999005</v>
      </c>
      <c r="C132" s="342">
        <f>91676683.0200001+15516324.86+753051.42</f>
        <v>107946059.3000001</v>
      </c>
      <c r="D132" s="343">
        <f>29018147.65+13181.61</f>
        <v>29031329.259999998</v>
      </c>
      <c r="E132" s="343">
        <v>653859.93999999994</v>
      </c>
      <c r="F132" s="342">
        <f>B132+C132-D132-E132</f>
        <v>90120024.219999105</v>
      </c>
      <c r="G132" s="343">
        <f>73494553.4600002+739869.81</f>
        <v>74234423.270000204</v>
      </c>
      <c r="H132" s="343">
        <f>G132/F132*100</f>
        <v>82.372839901574707</v>
      </c>
      <c r="I132" s="179">
        <f>F132-G132</f>
        <v>15885600.9499989</v>
      </c>
      <c r="J132" s="343">
        <f>I132/F132*100</f>
        <v>17.6271600984253</v>
      </c>
    </row>
    <row r="133" spans="1:10" s="781" customFormat="1" ht="20.100000000000001" customHeight="1" x14ac:dyDescent="0.25">
      <c r="A133" s="344" t="s">
        <v>50</v>
      </c>
      <c r="B133" s="341">
        <f>SUM(I111)</f>
        <v>1400195.390000198</v>
      </c>
      <c r="C133" s="345">
        <f>35048615.22+6392203.8</f>
        <v>41440819.019999996</v>
      </c>
      <c r="D133" s="346">
        <v>12262285.869999999</v>
      </c>
      <c r="E133" s="346">
        <v>0</v>
      </c>
      <c r="F133" s="342">
        <f t="shared" ref="F133" si="36">B133+C133-D133-E133</f>
        <v>30578728.540000193</v>
      </c>
      <c r="G133" s="346">
        <v>24010272.199999999</v>
      </c>
      <c r="H133" s="343">
        <f t="shared" ref="H133" si="37">G133/F133*100</f>
        <v>78.519524343832799</v>
      </c>
      <c r="I133" s="179">
        <f t="shared" ref="I133" si="38">F133-G133</f>
        <v>6568456.3400001936</v>
      </c>
      <c r="J133" s="343">
        <f t="shared" ref="J133" si="39">I133/F133*100</f>
        <v>21.480475656167201</v>
      </c>
    </row>
    <row r="134" spans="1:10" s="43" customFormat="1" ht="33" x14ac:dyDescent="0.25">
      <c r="A134" s="347"/>
      <c r="B134" s="348" t="s">
        <v>202</v>
      </c>
      <c r="C134" s="349" t="s">
        <v>820</v>
      </c>
      <c r="D134" s="348" t="s">
        <v>2</v>
      </c>
      <c r="E134" s="348" t="s">
        <v>3</v>
      </c>
      <c r="F134" s="348" t="s">
        <v>4</v>
      </c>
      <c r="G134" s="348" t="s">
        <v>204</v>
      </c>
      <c r="H134" s="348" t="s">
        <v>205</v>
      </c>
      <c r="I134" s="348" t="s">
        <v>206</v>
      </c>
      <c r="J134" s="348" t="s">
        <v>207</v>
      </c>
    </row>
    <row r="135" spans="1:10" s="43" customFormat="1" ht="16.5" x14ac:dyDescent="0.25">
      <c r="A135" s="353" t="s">
        <v>821</v>
      </c>
      <c r="B135" s="658">
        <v>246620.97</v>
      </c>
      <c r="C135" s="659">
        <f>2783.2+24080.14+22547.55+5566.4</f>
        <v>54977.29</v>
      </c>
      <c r="D135" s="658">
        <v>215159.9</v>
      </c>
      <c r="E135" s="658">
        <v>0</v>
      </c>
      <c r="F135" s="342">
        <f>B135+C135-D135-E135</f>
        <v>86438.360000000015</v>
      </c>
      <c r="G135" s="658">
        <v>187.97</v>
      </c>
      <c r="H135" s="343">
        <f>G135/F135*100</f>
        <v>0.21746132157065448</v>
      </c>
      <c r="I135" s="179">
        <f>F135-G135</f>
        <v>86250.390000000014</v>
      </c>
      <c r="J135" s="343">
        <f>I135/F135*100</f>
        <v>99.782538678429347</v>
      </c>
    </row>
    <row r="136" spans="1:10" s="781" customFormat="1" ht="20.100000000000001" customHeight="1" thickBot="1" x14ac:dyDescent="0.3">
      <c r="A136" s="353" t="s">
        <v>208</v>
      </c>
      <c r="B136" s="350">
        <f>SUM(I113)</f>
        <v>430776.73000300117</v>
      </c>
      <c r="C136" s="345">
        <f>1477107.84+672254.53</f>
        <v>2149362.37</v>
      </c>
      <c r="D136" s="345">
        <v>402819.61</v>
      </c>
      <c r="E136" s="346">
        <v>25920.14</v>
      </c>
      <c r="F136" s="342">
        <f>B136+C136-D136-E136</f>
        <v>2151399.3500030013</v>
      </c>
      <c r="G136" s="346">
        <v>1479144.82</v>
      </c>
      <c r="H136" s="343">
        <f>G136/F136*100</f>
        <v>68.752685083684568</v>
      </c>
      <c r="I136" s="179">
        <f>F136-G136</f>
        <v>672254.53000300121</v>
      </c>
      <c r="J136" s="343">
        <f>I136/F136*100</f>
        <v>31.247314916315439</v>
      </c>
    </row>
    <row r="137" spans="1:10" s="798" customFormat="1" ht="20.100000000000001" customHeight="1" thickTop="1" thickBot="1" x14ac:dyDescent="0.3">
      <c r="A137" s="351" t="s">
        <v>36</v>
      </c>
      <c r="B137" s="352">
        <f t="shared" ref="B137" si="40">SUM(B132:B136)</f>
        <v>13936747.210002204</v>
      </c>
      <c r="C137" s="352">
        <f t="shared" ref="C137:G137" si="41">SUM(C132:C136)</f>
        <v>151591217.98000011</v>
      </c>
      <c r="D137" s="352">
        <f t="shared" si="41"/>
        <v>41911594.639999993</v>
      </c>
      <c r="E137" s="352">
        <f t="shared" si="41"/>
        <v>679780.08</v>
      </c>
      <c r="F137" s="352">
        <f t="shared" si="41"/>
        <v>122936590.47000231</v>
      </c>
      <c r="G137" s="352">
        <f t="shared" si="41"/>
        <v>99724028.260000199</v>
      </c>
      <c r="H137" s="352">
        <f>G137/F137*100</f>
        <v>81.118264203312037</v>
      </c>
      <c r="I137" s="352">
        <f>SUM(I132:I136)</f>
        <v>23212562.210002095</v>
      </c>
      <c r="J137" s="352">
        <f>I137/F137*100</f>
        <v>18.881735796687952</v>
      </c>
    </row>
    <row r="138" spans="1:10" s="781" customFormat="1" ht="20.100000000000001" customHeight="1" thickTop="1" x14ac:dyDescent="0.25">
      <c r="A138" s="369"/>
      <c r="B138" s="794"/>
      <c r="C138" s="794"/>
      <c r="D138" s="362"/>
      <c r="E138" s="362"/>
      <c r="F138" s="794"/>
      <c r="G138" s="362"/>
      <c r="H138" s="362"/>
      <c r="I138" s="362"/>
      <c r="J138" s="362"/>
    </row>
    <row r="139" spans="1:10" s="781" customFormat="1" ht="20.100000000000001" customHeight="1" x14ac:dyDescent="0.25">
      <c r="A139" s="767" t="s">
        <v>37</v>
      </c>
      <c r="B139" s="45"/>
      <c r="C139" s="780"/>
      <c r="D139" s="780"/>
      <c r="E139" s="780"/>
      <c r="F139" s="780"/>
      <c r="G139" s="780"/>
      <c r="H139" s="780"/>
      <c r="I139" s="782"/>
    </row>
    <row r="140" spans="1:10" s="781" customFormat="1" ht="20.100000000000001" customHeight="1" x14ac:dyDescent="0.25">
      <c r="A140" s="134" t="s">
        <v>96</v>
      </c>
      <c r="B140" s="572" t="s">
        <v>822</v>
      </c>
      <c r="C140" s="573" t="s">
        <v>52</v>
      </c>
      <c r="E140" s="36"/>
      <c r="F140" s="36"/>
      <c r="G140" s="36"/>
      <c r="H140" s="36"/>
      <c r="I140" s="89"/>
      <c r="J140" s="797"/>
    </row>
    <row r="141" spans="1:10" s="781" customFormat="1" ht="20.100000000000001" customHeight="1" x14ac:dyDescent="0.25">
      <c r="A141" s="90"/>
      <c r="B141" s="191" t="s">
        <v>750</v>
      </c>
      <c r="C141" s="780">
        <v>86250.389999999985</v>
      </c>
      <c r="D141" s="780" t="s">
        <v>55</v>
      </c>
      <c r="E141" s="797" t="s">
        <v>298</v>
      </c>
      <c r="F141" s="797"/>
      <c r="G141" s="797"/>
      <c r="H141" s="797"/>
      <c r="I141" s="797"/>
      <c r="J141" s="46"/>
    </row>
    <row r="142" spans="1:10" s="781" customFormat="1" ht="20.100000000000001" customHeight="1" x14ac:dyDescent="0.25">
      <c r="A142" s="90"/>
      <c r="B142" s="191" t="s">
        <v>201</v>
      </c>
      <c r="C142" s="780">
        <v>368967.44</v>
      </c>
      <c r="D142" s="780" t="s">
        <v>55</v>
      </c>
      <c r="E142" s="797" t="s">
        <v>823</v>
      </c>
      <c r="F142" s="797"/>
      <c r="G142" s="797"/>
      <c r="H142" s="797"/>
      <c r="I142" s="797"/>
      <c r="J142" s="46"/>
    </row>
    <row r="143" spans="1:10" s="781" customFormat="1" ht="20.100000000000001" customHeight="1" x14ac:dyDescent="0.25">
      <c r="A143" s="90"/>
      <c r="B143" s="191" t="s">
        <v>201</v>
      </c>
      <c r="C143" s="780">
        <v>85227.7</v>
      </c>
      <c r="D143" s="780" t="s">
        <v>55</v>
      </c>
      <c r="E143" s="650" t="s">
        <v>298</v>
      </c>
      <c r="F143" s="797"/>
      <c r="G143" s="797"/>
      <c r="H143" s="797"/>
      <c r="I143" s="797"/>
      <c r="J143" s="46"/>
    </row>
    <row r="144" spans="1:10" s="781" customFormat="1" ht="20.100000000000001" customHeight="1" x14ac:dyDescent="0.25">
      <c r="A144" s="90"/>
      <c r="B144" s="191" t="s">
        <v>201</v>
      </c>
      <c r="C144" s="780">
        <f>15431405.81</f>
        <v>15431405.810000001</v>
      </c>
      <c r="D144" s="780" t="s">
        <v>55</v>
      </c>
      <c r="E144" s="797" t="s">
        <v>752</v>
      </c>
      <c r="F144" s="797"/>
      <c r="G144" s="797"/>
      <c r="H144" s="797"/>
      <c r="I144" s="797"/>
      <c r="J144" s="46"/>
    </row>
    <row r="145" spans="1:10" s="781" customFormat="1" ht="16.5" x14ac:dyDescent="0.25">
      <c r="B145" s="190" t="s">
        <v>214</v>
      </c>
      <c r="C145" s="780">
        <v>672254.53</v>
      </c>
      <c r="D145" s="780" t="s">
        <v>55</v>
      </c>
      <c r="E145" s="797" t="s">
        <v>824</v>
      </c>
      <c r="F145" s="780"/>
      <c r="G145" s="780"/>
      <c r="H145" s="782"/>
      <c r="I145" s="780"/>
      <c r="J145" s="780"/>
    </row>
    <row r="146" spans="1:10" s="781" customFormat="1" ht="20.100000000000001" customHeight="1" x14ac:dyDescent="0.25">
      <c r="A146" s="90"/>
      <c r="B146" s="755" t="s">
        <v>50</v>
      </c>
      <c r="C146" s="780">
        <v>95959.74</v>
      </c>
      <c r="D146" s="780" t="s">
        <v>55</v>
      </c>
      <c r="E146" s="797" t="s">
        <v>529</v>
      </c>
      <c r="F146" s="797"/>
      <c r="G146" s="797"/>
      <c r="H146" s="797"/>
      <c r="I146" s="797"/>
      <c r="J146" s="46"/>
    </row>
    <row r="147" spans="1:10" s="781" customFormat="1" ht="20.100000000000001" customHeight="1" x14ac:dyDescent="0.25">
      <c r="A147" s="90"/>
      <c r="B147" s="755" t="s">
        <v>50</v>
      </c>
      <c r="C147" s="780">
        <v>80292.800000000003</v>
      </c>
      <c r="D147" s="780" t="s">
        <v>55</v>
      </c>
      <c r="E147" s="797" t="s">
        <v>825</v>
      </c>
      <c r="F147" s="797"/>
      <c r="G147" s="797"/>
      <c r="H147" s="797"/>
      <c r="I147" s="797"/>
      <c r="J147" s="46"/>
    </row>
    <row r="148" spans="1:10" s="781" customFormat="1" ht="20.100000000000001" customHeight="1" x14ac:dyDescent="0.25">
      <c r="B148" s="755" t="s">
        <v>50</v>
      </c>
      <c r="C148" s="780">
        <v>6392203.7999999998</v>
      </c>
      <c r="D148" s="780" t="s">
        <v>55</v>
      </c>
      <c r="E148" s="797" t="s">
        <v>752</v>
      </c>
      <c r="F148" s="780"/>
      <c r="G148" s="780"/>
      <c r="H148" s="780"/>
      <c r="I148" s="780"/>
      <c r="J148" s="797"/>
    </row>
    <row r="149" spans="1:10" s="781" customFormat="1" ht="20.100000000000001" customHeight="1" thickBot="1" x14ac:dyDescent="0.3">
      <c r="B149" s="755"/>
      <c r="C149" s="795">
        <f>SUM(C141:C148)</f>
        <v>23212562.210000001</v>
      </c>
      <c r="D149" s="769" t="s">
        <v>55</v>
      </c>
      <c r="E149" s="780"/>
      <c r="F149" s="780"/>
      <c r="G149" s="780"/>
      <c r="H149" s="782"/>
      <c r="I149" s="780"/>
      <c r="J149" s="780"/>
    </row>
    <row r="150" spans="1:10" s="781" customFormat="1" ht="20.100000000000001" customHeight="1" thickTop="1" x14ac:dyDescent="0.25">
      <c r="B150" s="755"/>
      <c r="C150" s="769"/>
      <c r="D150" s="769"/>
      <c r="E150" s="780"/>
      <c r="F150" s="780"/>
      <c r="G150" s="780"/>
      <c r="H150" s="782"/>
      <c r="I150" s="780"/>
      <c r="J150" s="780"/>
    </row>
    <row r="152" spans="1:10" s="330" customFormat="1" ht="20.100000000000001" customHeight="1" x14ac:dyDescent="0.25">
      <c r="A152" s="899" t="s">
        <v>1043</v>
      </c>
      <c r="B152" s="899"/>
      <c r="C152" s="899"/>
      <c r="D152" s="899"/>
      <c r="E152" s="899"/>
      <c r="F152" s="899"/>
      <c r="G152" s="899"/>
      <c r="H152" s="899"/>
      <c r="I152" s="899"/>
      <c r="J152" s="899"/>
    </row>
    <row r="153" spans="1:10" s="781" customFormat="1" ht="20.100000000000001" customHeight="1" thickBot="1" x14ac:dyDescent="0.3">
      <c r="A153" s="900"/>
      <c r="B153" s="900"/>
      <c r="C153" s="900"/>
      <c r="D153" s="900"/>
      <c r="E153" s="900"/>
      <c r="F153" s="900"/>
      <c r="G153" s="900"/>
      <c r="H153" s="900"/>
      <c r="I153" s="900"/>
      <c r="J153" s="900"/>
    </row>
    <row r="154" spans="1:10" s="42" customFormat="1" ht="50.25" thickBot="1" x14ac:dyDescent="0.3">
      <c r="A154" s="783" t="s">
        <v>1014</v>
      </c>
      <c r="B154" s="784" t="s">
        <v>14</v>
      </c>
      <c r="C154" s="338" t="s">
        <v>834</v>
      </c>
      <c r="D154" s="785" t="s">
        <v>17</v>
      </c>
      <c r="E154" s="785" t="s">
        <v>18</v>
      </c>
      <c r="F154" s="784" t="s">
        <v>19</v>
      </c>
      <c r="G154" s="784" t="s">
        <v>59</v>
      </c>
      <c r="H154" s="784" t="s">
        <v>60</v>
      </c>
      <c r="I154" s="339" t="s">
        <v>61</v>
      </c>
      <c r="J154" s="340" t="s">
        <v>23</v>
      </c>
    </row>
    <row r="155" spans="1:10" s="781" customFormat="1" ht="20.100000000000001" customHeight="1" x14ac:dyDescent="0.25">
      <c r="A155" s="231" t="s">
        <v>201</v>
      </c>
      <c r="B155" s="341">
        <f>SUM(I132)</f>
        <v>15885600.9499989</v>
      </c>
      <c r="C155" s="342">
        <f>109527491.11+507136.06</f>
        <v>110034627.17</v>
      </c>
      <c r="D155" s="343">
        <f>29976755.92+9118.2</f>
        <v>29985874.120000001</v>
      </c>
      <c r="E155" s="343">
        <v>228082.27</v>
      </c>
      <c r="F155" s="342">
        <f>B155+C155-D155-E155</f>
        <v>95706271.729998901</v>
      </c>
      <c r="G155" s="343">
        <f>82944202.5700001+498017.86</f>
        <v>83442220.430000097</v>
      </c>
      <c r="H155" s="343">
        <f>G155/F155*100</f>
        <v>87.185739159709982</v>
      </c>
      <c r="I155" s="179">
        <f>F155-G155</f>
        <v>12264051.299998805</v>
      </c>
      <c r="J155" s="343">
        <f>I155/F155*100</f>
        <v>12.814260840290018</v>
      </c>
    </row>
    <row r="156" spans="1:10" s="781" customFormat="1" ht="20.100000000000001" customHeight="1" x14ac:dyDescent="0.25">
      <c r="A156" s="344" t="s">
        <v>50</v>
      </c>
      <c r="B156" s="341">
        <f>SUM(I133)</f>
        <v>6568456.3400001936</v>
      </c>
      <c r="C156" s="345">
        <f>29944234.77+6050572.94</f>
        <v>35994807.710000001</v>
      </c>
      <c r="D156" s="346">
        <v>9793902.5099999998</v>
      </c>
      <c r="E156" s="346">
        <v>0</v>
      </c>
      <c r="F156" s="342">
        <f t="shared" ref="F156" si="42">B156+C156-D156-E156</f>
        <v>32769361.540000193</v>
      </c>
      <c r="G156" s="346">
        <v>26622828.859999999</v>
      </c>
      <c r="H156" s="343">
        <f t="shared" ref="H156" si="43">G156/F156*100</f>
        <v>81.243050242228932</v>
      </c>
      <c r="I156" s="179">
        <f t="shared" ref="I156" si="44">F156-G156</f>
        <v>6146532.6800001934</v>
      </c>
      <c r="J156" s="343">
        <f t="shared" ref="J156" si="45">I156/F156*100</f>
        <v>18.756949757771075</v>
      </c>
    </row>
    <row r="157" spans="1:10" s="43" customFormat="1" ht="33" x14ac:dyDescent="0.25">
      <c r="A157" s="347"/>
      <c r="B157" s="348" t="s">
        <v>202</v>
      </c>
      <c r="C157" s="349" t="s">
        <v>1044</v>
      </c>
      <c r="D157" s="348" t="s">
        <v>2</v>
      </c>
      <c r="E157" s="348" t="s">
        <v>3</v>
      </c>
      <c r="F157" s="348" t="s">
        <v>4</v>
      </c>
      <c r="G157" s="348" t="s">
        <v>204</v>
      </c>
      <c r="H157" s="348" t="s">
        <v>205</v>
      </c>
      <c r="I157" s="348" t="s">
        <v>206</v>
      </c>
      <c r="J157" s="348" t="s">
        <v>207</v>
      </c>
    </row>
    <row r="158" spans="1:10" s="43" customFormat="1" ht="16.5" x14ac:dyDescent="0.25">
      <c r="A158" s="353" t="s">
        <v>821</v>
      </c>
      <c r="B158" s="658">
        <f>SUM(I135)</f>
        <v>86250.390000000014</v>
      </c>
      <c r="C158" s="659">
        <v>28395.919999999998</v>
      </c>
      <c r="D158" s="658">
        <v>0</v>
      </c>
      <c r="E158" s="658">
        <v>0</v>
      </c>
      <c r="F158" s="342">
        <f>B158+C158-D158-E158</f>
        <v>114646.31000000001</v>
      </c>
      <c r="G158" s="658">
        <v>0</v>
      </c>
      <c r="H158" s="343">
        <f>G158/F158*100</f>
        <v>0</v>
      </c>
      <c r="I158" s="179">
        <f>F158-G158</f>
        <v>114646.31000000001</v>
      </c>
      <c r="J158" s="343">
        <f>I158/F158*100</f>
        <v>100</v>
      </c>
    </row>
    <row r="159" spans="1:10" s="781" customFormat="1" ht="20.100000000000001" customHeight="1" thickBot="1" x14ac:dyDescent="0.3">
      <c r="A159" s="353" t="s">
        <v>208</v>
      </c>
      <c r="B159" s="658">
        <f>SUM(I136)</f>
        <v>672254.53000300121</v>
      </c>
      <c r="C159" s="345">
        <f>2876514.98+586433.58</f>
        <v>3462948.56</v>
      </c>
      <c r="D159" s="345">
        <f>529717.39-8829.9</f>
        <v>520887.49</v>
      </c>
      <c r="E159" s="346">
        <v>12.41</v>
      </c>
      <c r="F159" s="342">
        <f>B159+C159-D159-E159</f>
        <v>3614303.1900030011</v>
      </c>
      <c r="G159" s="346">
        <v>3027869.61</v>
      </c>
      <c r="H159" s="343">
        <f>G159/F159*100</f>
        <v>83.774643432652525</v>
      </c>
      <c r="I159" s="179">
        <f>F159-G159</f>
        <v>586433.58000300126</v>
      </c>
      <c r="J159" s="343">
        <f>I159/F159*100</f>
        <v>16.225356567347475</v>
      </c>
    </row>
    <row r="160" spans="1:10" s="798" customFormat="1" ht="20.100000000000001" customHeight="1" thickTop="1" thickBot="1" x14ac:dyDescent="0.3">
      <c r="A160" s="351" t="s">
        <v>36</v>
      </c>
      <c r="B160" s="352">
        <f t="shared" ref="B160" si="46">SUM(B155:B159)</f>
        <v>23212562.210002095</v>
      </c>
      <c r="C160" s="352">
        <f t="shared" ref="C160:G160" si="47">SUM(C155:C159)</f>
        <v>149520779.35999998</v>
      </c>
      <c r="D160" s="352">
        <f t="shared" si="47"/>
        <v>40300664.120000005</v>
      </c>
      <c r="E160" s="352">
        <f t="shared" si="47"/>
        <v>228094.68</v>
      </c>
      <c r="F160" s="352">
        <f t="shared" si="47"/>
        <v>132204582.7700021</v>
      </c>
      <c r="G160" s="352">
        <f t="shared" si="47"/>
        <v>113092918.9000001</v>
      </c>
      <c r="H160" s="352">
        <f>G160/F160*100</f>
        <v>85.543871876778439</v>
      </c>
      <c r="I160" s="352">
        <f>SUM(I155:I159)</f>
        <v>19111663.870001998</v>
      </c>
      <c r="J160" s="352">
        <f>I160/F160*100</f>
        <v>14.456128123221559</v>
      </c>
    </row>
    <row r="161" spans="1:10" s="781" customFormat="1" ht="20.100000000000001" customHeight="1" thickTop="1" x14ac:dyDescent="0.25">
      <c r="A161" s="369"/>
      <c r="B161" s="794"/>
      <c r="C161" s="794"/>
      <c r="D161" s="362"/>
      <c r="E161" s="362"/>
      <c r="F161" s="794"/>
      <c r="G161" s="362"/>
      <c r="H161" s="362"/>
      <c r="I161" s="362"/>
      <c r="J161" s="362"/>
    </row>
    <row r="162" spans="1:10" s="781" customFormat="1" ht="20.100000000000001" customHeight="1" x14ac:dyDescent="0.25">
      <c r="A162" s="767" t="s">
        <v>37</v>
      </c>
      <c r="B162" s="45"/>
      <c r="C162" s="780"/>
      <c r="D162" s="780"/>
      <c r="E162" s="780"/>
      <c r="F162" s="780"/>
      <c r="G162" s="780"/>
      <c r="H162" s="780"/>
      <c r="I162" s="782"/>
    </row>
    <row r="163" spans="1:10" s="781" customFormat="1" ht="20.100000000000001" customHeight="1" x14ac:dyDescent="0.25">
      <c r="A163" s="134" t="s">
        <v>96</v>
      </c>
      <c r="B163" s="868" t="s">
        <v>822</v>
      </c>
      <c r="C163" s="573" t="s">
        <v>52</v>
      </c>
      <c r="E163" s="36"/>
      <c r="F163" s="36"/>
      <c r="G163" s="36"/>
      <c r="H163" s="36"/>
      <c r="I163" s="89"/>
      <c r="J163" s="797"/>
    </row>
    <row r="164" spans="1:10" s="781" customFormat="1" ht="20.100000000000001" customHeight="1" x14ac:dyDescent="0.25">
      <c r="A164" s="90"/>
      <c r="B164" s="191" t="s">
        <v>1045</v>
      </c>
      <c r="C164" s="780">
        <v>109146.79000000002</v>
      </c>
      <c r="D164" s="780" t="s">
        <v>55</v>
      </c>
      <c r="E164" s="650" t="s">
        <v>298</v>
      </c>
      <c r="F164" s="797"/>
      <c r="G164" s="797"/>
      <c r="H164" s="797"/>
      <c r="I164" s="797"/>
      <c r="J164" s="46"/>
    </row>
    <row r="165" spans="1:10" s="781" customFormat="1" ht="20.100000000000001" customHeight="1" x14ac:dyDescent="0.25">
      <c r="A165" s="90"/>
      <c r="B165" s="191" t="s">
        <v>201</v>
      </c>
      <c r="C165" s="780">
        <v>75600.09</v>
      </c>
      <c r="D165" s="780" t="s">
        <v>55</v>
      </c>
      <c r="E165" s="650" t="s">
        <v>529</v>
      </c>
      <c r="F165" s="797"/>
      <c r="G165" s="797"/>
      <c r="H165" s="797"/>
      <c r="I165" s="797"/>
      <c r="J165" s="46"/>
    </row>
    <row r="166" spans="1:10" s="781" customFormat="1" ht="20.100000000000001" customHeight="1" x14ac:dyDescent="0.25">
      <c r="A166" s="90"/>
      <c r="B166" s="191" t="s">
        <v>201</v>
      </c>
      <c r="C166" s="780">
        <v>368967.44</v>
      </c>
      <c r="D166" s="780" t="s">
        <v>55</v>
      </c>
      <c r="E166" s="650" t="s">
        <v>1046</v>
      </c>
      <c r="F166" s="797"/>
      <c r="G166" s="797"/>
      <c r="H166" s="797"/>
      <c r="I166" s="797"/>
      <c r="J166" s="46"/>
    </row>
    <row r="167" spans="1:10" s="781" customFormat="1" ht="20.100000000000001" customHeight="1" x14ac:dyDescent="0.25">
      <c r="A167" s="90"/>
      <c r="B167" s="191" t="s">
        <v>201</v>
      </c>
      <c r="C167" s="780">
        <v>11710336.979999999</v>
      </c>
      <c r="D167" s="780" t="s">
        <v>55</v>
      </c>
      <c r="E167" s="797" t="s">
        <v>824</v>
      </c>
      <c r="F167" s="797"/>
      <c r="G167" s="797"/>
      <c r="H167" s="797"/>
      <c r="I167" s="797"/>
      <c r="J167" s="46"/>
    </row>
    <row r="168" spans="1:10" s="781" customFormat="1" ht="20.100000000000001" customHeight="1" x14ac:dyDescent="0.25">
      <c r="A168" s="90"/>
      <c r="B168" s="755" t="s">
        <v>1047</v>
      </c>
      <c r="C168" s="780">
        <v>95959.74</v>
      </c>
      <c r="D168" s="780" t="s">
        <v>55</v>
      </c>
      <c r="E168" s="797" t="s">
        <v>529</v>
      </c>
      <c r="F168" s="797"/>
      <c r="G168" s="797"/>
      <c r="H168" s="797"/>
      <c r="I168" s="797"/>
      <c r="J168" s="46"/>
    </row>
    <row r="169" spans="1:10" s="781" customFormat="1" ht="20.100000000000001" customHeight="1" x14ac:dyDescent="0.25">
      <c r="B169" s="755" t="s">
        <v>50</v>
      </c>
      <c r="C169" s="780">
        <v>6050572.9400000004</v>
      </c>
      <c r="D169" s="780" t="s">
        <v>55</v>
      </c>
      <c r="E169" s="797" t="s">
        <v>824</v>
      </c>
      <c r="F169" s="780"/>
      <c r="G169" s="780"/>
      <c r="H169" s="780"/>
      <c r="I169" s="780"/>
      <c r="J169" s="797"/>
    </row>
    <row r="170" spans="1:10" s="781" customFormat="1" ht="20.100000000000001" customHeight="1" thickBot="1" x14ac:dyDescent="0.3">
      <c r="B170" s="755"/>
      <c r="C170" s="795">
        <f>SUM(C164:C169)</f>
        <v>18410583.98</v>
      </c>
      <c r="D170" s="769" t="s">
        <v>55</v>
      </c>
      <c r="E170" s="780"/>
      <c r="F170" s="780"/>
      <c r="G170" s="780"/>
      <c r="H170" s="782"/>
      <c r="I170" s="780"/>
      <c r="J170" s="780"/>
    </row>
    <row r="171" spans="1:10" s="781" customFormat="1" ht="20.100000000000001" customHeight="1" thickTop="1" x14ac:dyDescent="0.25">
      <c r="B171" s="755"/>
      <c r="C171" s="769"/>
      <c r="D171" s="769"/>
      <c r="E171" s="780"/>
      <c r="F171" s="780"/>
      <c r="G171" s="780"/>
      <c r="H171" s="782"/>
      <c r="I171" s="780"/>
      <c r="J171" s="780"/>
    </row>
    <row r="172" spans="1:10" s="781" customFormat="1" ht="16.5" x14ac:dyDescent="0.25">
      <c r="A172" s="31" t="s">
        <v>176</v>
      </c>
      <c r="B172" s="869" t="s">
        <v>1028</v>
      </c>
      <c r="C172" s="36" t="s">
        <v>52</v>
      </c>
      <c r="D172" s="769"/>
      <c r="F172" s="780"/>
      <c r="G172" s="780"/>
      <c r="H172" s="782"/>
      <c r="I172" s="769"/>
      <c r="J172" s="48"/>
    </row>
    <row r="173" spans="1:10" s="781" customFormat="1" ht="20.100000000000001" customHeight="1" x14ac:dyDescent="0.25">
      <c r="A173" s="90"/>
      <c r="B173" s="191" t="s">
        <v>1048</v>
      </c>
      <c r="C173" s="780">
        <v>77900.789999999994</v>
      </c>
      <c r="D173" s="780" t="s">
        <v>55</v>
      </c>
      <c r="E173" s="797" t="s">
        <v>1049</v>
      </c>
      <c r="F173" s="797"/>
      <c r="G173" s="797"/>
      <c r="H173" s="797"/>
      <c r="I173" s="797"/>
      <c r="J173" s="46"/>
    </row>
    <row r="174" spans="1:10" s="781" customFormat="1" ht="20.100000000000001" customHeight="1" x14ac:dyDescent="0.25">
      <c r="A174" s="90"/>
      <c r="B174" s="191" t="s">
        <v>1048</v>
      </c>
      <c r="C174" s="780">
        <v>36745.520000000004</v>
      </c>
      <c r="D174" s="780" t="s">
        <v>55</v>
      </c>
      <c r="E174" s="797" t="s">
        <v>620</v>
      </c>
      <c r="F174" s="797"/>
      <c r="G174" s="797"/>
      <c r="H174" s="797"/>
      <c r="I174" s="797"/>
      <c r="J174" s="46"/>
    </row>
    <row r="175" spans="1:10" s="781" customFormat="1" ht="16.5" x14ac:dyDescent="0.25">
      <c r="B175" s="190" t="s">
        <v>214</v>
      </c>
      <c r="C175" s="780">
        <v>586433.57999999996</v>
      </c>
      <c r="D175" s="780" t="s">
        <v>55</v>
      </c>
      <c r="E175" s="797" t="s">
        <v>1050</v>
      </c>
      <c r="F175" s="780"/>
      <c r="G175" s="780"/>
      <c r="H175" s="782"/>
      <c r="I175" s="780"/>
      <c r="J175" s="780"/>
    </row>
    <row r="176" spans="1:10" ht="20.100000000000001" customHeight="1" thickBot="1" x14ac:dyDescent="0.3">
      <c r="C176" s="795">
        <f>SUM(C173:C175)</f>
        <v>701079.8899999999</v>
      </c>
      <c r="D176" s="769" t="s">
        <v>55</v>
      </c>
    </row>
    <row r="177" spans="1:10" ht="20.100000000000001" customHeight="1" thickTop="1" x14ac:dyDescent="0.25"/>
    <row r="179" spans="1:10" s="330" customFormat="1" ht="20.100000000000001" customHeight="1" x14ac:dyDescent="0.25">
      <c r="A179" s="899" t="s">
        <v>1136</v>
      </c>
      <c r="B179" s="899"/>
      <c r="C179" s="899"/>
      <c r="D179" s="899"/>
      <c r="E179" s="899"/>
      <c r="F179" s="899"/>
      <c r="G179" s="899"/>
      <c r="H179" s="899"/>
      <c r="I179" s="899"/>
      <c r="J179" s="899"/>
    </row>
    <row r="180" spans="1:10" s="781" customFormat="1" ht="20.100000000000001" customHeight="1" thickBot="1" x14ac:dyDescent="0.3">
      <c r="A180" s="900"/>
      <c r="B180" s="900"/>
      <c r="C180" s="900"/>
      <c r="D180" s="900"/>
      <c r="E180" s="900"/>
      <c r="F180" s="900"/>
      <c r="G180" s="900"/>
      <c r="H180" s="900"/>
      <c r="I180" s="900"/>
      <c r="J180" s="900"/>
    </row>
    <row r="181" spans="1:10" s="42" customFormat="1" ht="50.25" thickBot="1" x14ac:dyDescent="0.3">
      <c r="A181" s="783" t="s">
        <v>1117</v>
      </c>
      <c r="B181" s="784" t="s">
        <v>14</v>
      </c>
      <c r="C181" s="338" t="s">
        <v>1052</v>
      </c>
      <c r="D181" s="785" t="s">
        <v>17</v>
      </c>
      <c r="E181" s="785" t="s">
        <v>18</v>
      </c>
      <c r="F181" s="784" t="s">
        <v>19</v>
      </c>
      <c r="G181" s="784" t="s">
        <v>59</v>
      </c>
      <c r="H181" s="784" t="s">
        <v>60</v>
      </c>
      <c r="I181" s="339" t="s">
        <v>61</v>
      </c>
      <c r="J181" s="340" t="s">
        <v>23</v>
      </c>
    </row>
    <row r="182" spans="1:10" s="781" customFormat="1" ht="20.100000000000001" customHeight="1" x14ac:dyDescent="0.25">
      <c r="A182" s="231" t="s">
        <v>201</v>
      </c>
      <c r="B182" s="341">
        <f>SUM(I155)</f>
        <v>12264051.299998805</v>
      </c>
      <c r="C182" s="342">
        <f>92283759.8+14636295.99+763437.82</f>
        <v>107683493.60999998</v>
      </c>
      <c r="D182" s="179">
        <f>30306364.45+34122.7+5970.98</f>
        <v>30346458.129999999</v>
      </c>
      <c r="E182" s="179">
        <v>512499.15</v>
      </c>
      <c r="F182" s="342">
        <f>B182+C182-D182-E182</f>
        <v>89088587.629998788</v>
      </c>
      <c r="G182" s="343">
        <f>75343006.8499999-1824471.24+125.5+757466.84</f>
        <v>74276127.949999914</v>
      </c>
      <c r="H182" s="343">
        <f>G182/F182*100</f>
        <v>83.373336502406204</v>
      </c>
      <c r="I182" s="179">
        <f>F182-G182</f>
        <v>14812459.679998875</v>
      </c>
      <c r="J182" s="343">
        <f>I182/F182*100</f>
        <v>16.626663497593803</v>
      </c>
    </row>
    <row r="183" spans="1:10" s="781" customFormat="1" ht="20.100000000000001" customHeight="1" x14ac:dyDescent="0.25">
      <c r="A183" s="344" t="s">
        <v>50</v>
      </c>
      <c r="B183" s="341">
        <f>SUM(I156)</f>
        <v>6146532.6800001934</v>
      </c>
      <c r="C183" s="345">
        <f>38227159.97+6604500.45</f>
        <v>44831660.420000002</v>
      </c>
      <c r="D183" s="531">
        <v>15876401</v>
      </c>
      <c r="E183" s="531">
        <v>0</v>
      </c>
      <c r="F183" s="342">
        <f t="shared" ref="F183" si="48">B183+C183-D183-E183</f>
        <v>35101792.100000195</v>
      </c>
      <c r="G183" s="346">
        <v>28401331.91</v>
      </c>
      <c r="H183" s="343">
        <f t="shared" ref="H183" si="49">G183/F183*100</f>
        <v>80.911344438165713</v>
      </c>
      <c r="I183" s="179">
        <f t="shared" ref="I183" si="50">F183-G183</f>
        <v>6700460.1900001951</v>
      </c>
      <c r="J183" s="343">
        <f t="shared" ref="J183" si="51">I183/F183*100</f>
        <v>19.088655561834287</v>
      </c>
    </row>
    <row r="184" spans="1:10" s="43" customFormat="1" ht="33" x14ac:dyDescent="0.25">
      <c r="A184" s="347"/>
      <c r="B184" s="348" t="s">
        <v>202</v>
      </c>
      <c r="C184" s="349" t="s">
        <v>1137</v>
      </c>
      <c r="D184" s="348" t="s">
        <v>2</v>
      </c>
      <c r="E184" s="348" t="s">
        <v>3</v>
      </c>
      <c r="F184" s="348" t="s">
        <v>4</v>
      </c>
      <c r="G184" s="348" t="s">
        <v>204</v>
      </c>
      <c r="H184" s="348" t="s">
        <v>205</v>
      </c>
      <c r="I184" s="348" t="s">
        <v>206</v>
      </c>
      <c r="J184" s="348" t="s">
        <v>207</v>
      </c>
    </row>
    <row r="185" spans="1:10" s="43" customFormat="1" ht="20.100000000000001" customHeight="1" x14ac:dyDescent="0.25">
      <c r="A185" s="353" t="s">
        <v>821</v>
      </c>
      <c r="B185" s="658">
        <f>SUM(I158)</f>
        <v>114646.31000000001</v>
      </c>
      <c r="C185" s="659">
        <v>46345.729999999996</v>
      </c>
      <c r="D185" s="875">
        <v>0</v>
      </c>
      <c r="E185" s="875">
        <v>0</v>
      </c>
      <c r="F185" s="342">
        <f>B185+C185-D185-E185</f>
        <v>160992.04</v>
      </c>
      <c r="G185" s="658">
        <v>0</v>
      </c>
      <c r="H185" s="343">
        <f>G185/F185*100</f>
        <v>0</v>
      </c>
      <c r="I185" s="179">
        <f>F185-G185</f>
        <v>160992.04</v>
      </c>
      <c r="J185" s="343">
        <f>I185/F185*100</f>
        <v>100</v>
      </c>
    </row>
    <row r="186" spans="1:10" s="781" customFormat="1" ht="20.100000000000001" customHeight="1" thickBot="1" x14ac:dyDescent="0.3">
      <c r="A186" s="353" t="s">
        <v>208</v>
      </c>
      <c r="B186" s="658">
        <f>SUM(I159)</f>
        <v>586433.58000300126</v>
      </c>
      <c r="C186" s="345">
        <f>1722748.11+133316.75</f>
        <v>1856064.86</v>
      </c>
      <c r="D186" s="531">
        <v>484157.48</v>
      </c>
      <c r="E186" s="531">
        <v>552.97</v>
      </c>
      <c r="F186" s="342">
        <f>B186+C186-D186-E186</f>
        <v>1957787.9900030012</v>
      </c>
      <c r="G186" s="346">
        <v>1824471.24</v>
      </c>
      <c r="H186" s="343">
        <f>G186/F186*100</f>
        <v>93.190439890133518</v>
      </c>
      <c r="I186" s="179">
        <f>F186-G186</f>
        <v>133316.75000300119</v>
      </c>
      <c r="J186" s="343">
        <f>I186/F186*100</f>
        <v>6.8095601098664833</v>
      </c>
    </row>
    <row r="187" spans="1:10" s="798" customFormat="1" ht="20.100000000000001" customHeight="1" thickTop="1" thickBot="1" x14ac:dyDescent="0.3">
      <c r="A187" s="351" t="s">
        <v>36</v>
      </c>
      <c r="B187" s="352">
        <f t="shared" ref="B187" si="52">SUM(B182:B186)</f>
        <v>19111663.870001998</v>
      </c>
      <c r="C187" s="352">
        <f t="shared" ref="C187:G187" si="53">SUM(C182:C186)</f>
        <v>154417564.61999997</v>
      </c>
      <c r="D187" s="352">
        <f t="shared" si="53"/>
        <v>46707016.609999992</v>
      </c>
      <c r="E187" s="352">
        <f t="shared" si="53"/>
        <v>513052.12</v>
      </c>
      <c r="F187" s="352">
        <f t="shared" si="53"/>
        <v>126309159.76000199</v>
      </c>
      <c r="G187" s="352">
        <f t="shared" si="53"/>
        <v>104501931.0999999</v>
      </c>
      <c r="H187" s="352">
        <f>G187/F187*100</f>
        <v>82.735037821930206</v>
      </c>
      <c r="I187" s="352">
        <f>SUM(I182:I186)</f>
        <v>21807228.660002071</v>
      </c>
      <c r="J187" s="352">
        <f>I187/F187*100</f>
        <v>17.264962178069776</v>
      </c>
    </row>
    <row r="188" spans="1:10" s="781" customFormat="1" ht="20.100000000000001" customHeight="1" thickTop="1" x14ac:dyDescent="0.25">
      <c r="A188" s="369"/>
      <c r="B188" s="794"/>
      <c r="C188" s="794"/>
      <c r="D188" s="362"/>
      <c r="E188" s="362"/>
      <c r="F188" s="794"/>
      <c r="G188" s="362"/>
      <c r="H188" s="362"/>
      <c r="I188" s="362"/>
      <c r="J188" s="362"/>
    </row>
    <row r="189" spans="1:10" s="781" customFormat="1" ht="20.100000000000001" customHeight="1" x14ac:dyDescent="0.25">
      <c r="A189" s="767" t="s">
        <v>37</v>
      </c>
      <c r="B189" s="45"/>
      <c r="C189" s="780"/>
      <c r="D189" s="780"/>
      <c r="E189" s="780"/>
      <c r="F189" s="780"/>
      <c r="G189" s="780"/>
      <c r="H189" s="780"/>
      <c r="I189" s="782"/>
    </row>
    <row r="190" spans="1:10" s="781" customFormat="1" ht="20.100000000000001" customHeight="1" x14ac:dyDescent="0.25">
      <c r="A190" s="134" t="s">
        <v>96</v>
      </c>
      <c r="B190" s="135" t="s">
        <v>1138</v>
      </c>
      <c r="C190" s="573" t="s">
        <v>52</v>
      </c>
      <c r="E190" s="36"/>
      <c r="F190" s="36"/>
      <c r="G190" s="36"/>
      <c r="H190" s="36"/>
      <c r="I190" s="89"/>
      <c r="J190" s="797"/>
    </row>
    <row r="191" spans="1:10" s="781" customFormat="1" ht="20.100000000000001" customHeight="1" x14ac:dyDescent="0.25">
      <c r="A191" s="90"/>
      <c r="B191" s="191" t="s">
        <v>1045</v>
      </c>
      <c r="C191" s="780">
        <v>431919.17000000022</v>
      </c>
      <c r="D191" s="780" t="s">
        <v>55</v>
      </c>
      <c r="E191" s="650" t="s">
        <v>529</v>
      </c>
      <c r="F191" s="797"/>
      <c r="G191" s="797"/>
      <c r="H191" s="797"/>
      <c r="I191" s="797"/>
      <c r="J191" s="46"/>
    </row>
    <row r="192" spans="1:10" s="781" customFormat="1" ht="20.100000000000001" customHeight="1" x14ac:dyDescent="0.25">
      <c r="A192" s="90"/>
      <c r="B192" s="191" t="s">
        <v>1139</v>
      </c>
      <c r="C192" s="780">
        <v>61093.440000000002</v>
      </c>
      <c r="D192" s="780" t="s">
        <v>55</v>
      </c>
      <c r="E192" s="650" t="s">
        <v>1140</v>
      </c>
      <c r="F192" s="797"/>
      <c r="G192" s="797"/>
      <c r="H192" s="797"/>
      <c r="I192" s="797"/>
      <c r="J192" s="46"/>
    </row>
    <row r="193" spans="1:10" s="781" customFormat="1" ht="20.100000000000001" customHeight="1" x14ac:dyDescent="0.25">
      <c r="A193" s="90"/>
      <c r="B193" s="191" t="s">
        <v>201</v>
      </c>
      <c r="C193" s="780">
        <v>14319447.070000002</v>
      </c>
      <c r="D193" s="780" t="s">
        <v>55</v>
      </c>
      <c r="E193" s="797" t="s">
        <v>1050</v>
      </c>
      <c r="F193" s="797"/>
      <c r="G193" s="797"/>
      <c r="H193" s="797"/>
      <c r="I193" s="797"/>
      <c r="J193" s="46"/>
    </row>
    <row r="194" spans="1:10" s="781" customFormat="1" ht="20.100000000000001" customHeight="1" x14ac:dyDescent="0.25">
      <c r="A194" s="90"/>
      <c r="B194" s="755" t="s">
        <v>1047</v>
      </c>
      <c r="C194" s="780">
        <v>95959.74</v>
      </c>
      <c r="D194" s="780" t="s">
        <v>55</v>
      </c>
      <c r="E194" s="797" t="s">
        <v>1141</v>
      </c>
      <c r="F194" s="797"/>
      <c r="G194" s="797"/>
      <c r="H194" s="797"/>
      <c r="I194" s="797"/>
      <c r="J194" s="46"/>
    </row>
    <row r="195" spans="1:10" s="781" customFormat="1" ht="20.100000000000001" customHeight="1" x14ac:dyDescent="0.25">
      <c r="B195" s="755" t="s">
        <v>50</v>
      </c>
      <c r="C195" s="780">
        <v>6604500.4500000002</v>
      </c>
      <c r="D195" s="780" t="s">
        <v>55</v>
      </c>
      <c r="E195" s="797" t="s">
        <v>1050</v>
      </c>
      <c r="F195" s="780"/>
      <c r="G195" s="780"/>
      <c r="H195" s="780"/>
      <c r="I195" s="780"/>
      <c r="J195" s="797"/>
    </row>
    <row r="196" spans="1:10" s="781" customFormat="1" ht="20.100000000000001" customHeight="1" thickBot="1" x14ac:dyDescent="0.3">
      <c r="B196" s="755"/>
      <c r="C196" s="795">
        <f>SUM(C191:C195)</f>
        <v>21512919.870000001</v>
      </c>
      <c r="D196" s="769" t="s">
        <v>55</v>
      </c>
      <c r="E196" s="780"/>
      <c r="F196" s="780"/>
      <c r="G196" s="780"/>
      <c r="H196" s="782"/>
      <c r="I196" s="780"/>
      <c r="J196" s="780"/>
    </row>
    <row r="197" spans="1:10" s="781" customFormat="1" ht="20.100000000000001" customHeight="1" thickTop="1" x14ac:dyDescent="0.25">
      <c r="B197" s="755"/>
      <c r="C197" s="769"/>
      <c r="D197" s="769"/>
      <c r="E197" s="780"/>
      <c r="F197" s="780"/>
      <c r="G197" s="780"/>
      <c r="H197" s="782"/>
      <c r="I197" s="780"/>
      <c r="J197" s="780"/>
    </row>
    <row r="198" spans="1:10" s="781" customFormat="1" ht="16.5" x14ac:dyDescent="0.25">
      <c r="A198" s="31" t="s">
        <v>176</v>
      </c>
      <c r="B198" s="135" t="s">
        <v>1142</v>
      </c>
      <c r="C198" s="36" t="s">
        <v>52</v>
      </c>
      <c r="D198" s="769"/>
      <c r="F198" s="780"/>
      <c r="G198" s="780"/>
      <c r="H198" s="782"/>
      <c r="I198" s="769"/>
      <c r="J198" s="48"/>
    </row>
    <row r="199" spans="1:10" s="781" customFormat="1" ht="20.100000000000001" customHeight="1" x14ac:dyDescent="0.25">
      <c r="A199" s="90"/>
      <c r="B199" s="191" t="s">
        <v>1048</v>
      </c>
      <c r="C199" s="780">
        <v>77900.789999999994</v>
      </c>
      <c r="D199" s="780" t="s">
        <v>55</v>
      </c>
      <c r="E199" s="797" t="s">
        <v>1049</v>
      </c>
      <c r="F199" s="797"/>
      <c r="G199" s="797"/>
      <c r="H199" s="797"/>
      <c r="I199" s="797"/>
      <c r="J199" s="46"/>
    </row>
    <row r="200" spans="1:10" s="781" customFormat="1" ht="20.100000000000001" customHeight="1" x14ac:dyDescent="0.25">
      <c r="A200" s="90"/>
      <c r="B200" s="191" t="s">
        <v>1048</v>
      </c>
      <c r="C200" s="780">
        <v>83091.25</v>
      </c>
      <c r="D200" s="780" t="s">
        <v>55</v>
      </c>
      <c r="E200" s="797" t="s">
        <v>620</v>
      </c>
      <c r="F200" s="797"/>
      <c r="G200" s="797"/>
      <c r="H200" s="797"/>
      <c r="I200" s="797"/>
      <c r="J200" s="46"/>
    </row>
    <row r="201" spans="1:10" s="781" customFormat="1" ht="16.5" x14ac:dyDescent="0.25">
      <c r="B201" s="190" t="s">
        <v>214</v>
      </c>
      <c r="C201" s="780">
        <v>133316.75</v>
      </c>
      <c r="D201" s="780" t="s">
        <v>55</v>
      </c>
      <c r="E201" s="797" t="s">
        <v>1143</v>
      </c>
      <c r="F201" s="780"/>
      <c r="G201" s="780"/>
      <c r="H201" s="782"/>
      <c r="I201" s="780"/>
      <c r="J201" s="780"/>
    </row>
    <row r="202" spans="1:10" ht="20.100000000000001" customHeight="1" thickBot="1" x14ac:dyDescent="0.3">
      <c r="C202" s="795">
        <f>SUM(C199:C201)</f>
        <v>294308.78999999998</v>
      </c>
      <c r="D202" s="769" t="s">
        <v>55</v>
      </c>
    </row>
    <row r="203" spans="1:10" ht="20.100000000000001" customHeight="1" thickTop="1" x14ac:dyDescent="0.25"/>
    <row r="205" spans="1:10" s="330" customFormat="1" ht="20.100000000000001" customHeight="1" x14ac:dyDescent="0.25">
      <c r="A205" s="899" t="s">
        <v>1207</v>
      </c>
      <c r="B205" s="899"/>
      <c r="C205" s="899"/>
      <c r="D205" s="899"/>
      <c r="E205" s="899"/>
      <c r="F205" s="899"/>
      <c r="G205" s="899"/>
      <c r="H205" s="899"/>
      <c r="I205" s="899"/>
      <c r="J205" s="899"/>
    </row>
    <row r="206" spans="1:10" s="781" customFormat="1" ht="20.100000000000001" customHeight="1" thickBot="1" x14ac:dyDescent="0.3">
      <c r="A206" s="900"/>
      <c r="B206" s="900"/>
      <c r="C206" s="900"/>
      <c r="D206" s="900"/>
      <c r="E206" s="900"/>
      <c r="F206" s="900"/>
      <c r="G206" s="900"/>
      <c r="H206" s="900"/>
      <c r="I206" s="900"/>
      <c r="J206" s="900"/>
    </row>
    <row r="207" spans="1:10" s="42" customFormat="1" ht="50.25" thickBot="1" x14ac:dyDescent="0.3">
      <c r="A207" s="783" t="s">
        <v>1201</v>
      </c>
      <c r="B207" s="784" t="s">
        <v>14</v>
      </c>
      <c r="C207" s="338" t="s">
        <v>1058</v>
      </c>
      <c r="D207" s="785" t="s">
        <v>17</v>
      </c>
      <c r="E207" s="785" t="s">
        <v>18</v>
      </c>
      <c r="F207" s="784" t="s">
        <v>19</v>
      </c>
      <c r="G207" s="784" t="s">
        <v>59</v>
      </c>
      <c r="H207" s="784" t="s">
        <v>60</v>
      </c>
      <c r="I207" s="339" t="s">
        <v>61</v>
      </c>
      <c r="J207" s="340" t="s">
        <v>23</v>
      </c>
    </row>
    <row r="208" spans="1:10" s="781" customFormat="1" ht="20.100000000000001" customHeight="1" x14ac:dyDescent="0.25">
      <c r="A208" s="231" t="s">
        <v>201</v>
      </c>
      <c r="B208" s="341">
        <f>SUM(I182)</f>
        <v>14812459.679998875</v>
      </c>
      <c r="C208" s="342">
        <f>87883394.31+7451290.54+146730.89+675036.35</f>
        <v>96156452.090000004</v>
      </c>
      <c r="D208" s="179">
        <f>64954.85+25293337.25+10282.14</f>
        <v>25368574.240000002</v>
      </c>
      <c r="E208" s="179">
        <f>40229.73+399424.04-0.07</f>
        <v>439653.69999999995</v>
      </c>
      <c r="F208" s="342">
        <f>B208+C208-D208-E208</f>
        <v>85160683.829998866</v>
      </c>
      <c r="G208" s="343">
        <f>76556429.04+41546.31+664754.21</f>
        <v>77262729.560000002</v>
      </c>
      <c r="H208" s="343">
        <f>G208/F208*100</f>
        <v>90.725820983583134</v>
      </c>
      <c r="I208" s="179">
        <f>F208-G208</f>
        <v>7897954.2699988633</v>
      </c>
      <c r="J208" s="343">
        <f>I208/F208*100</f>
        <v>9.2741790164168627</v>
      </c>
    </row>
    <row r="209" spans="1:10" s="781" customFormat="1" ht="20.100000000000001" customHeight="1" x14ac:dyDescent="0.25">
      <c r="A209" s="344" t="s">
        <v>50</v>
      </c>
      <c r="B209" s="341">
        <f>SUM(I183)</f>
        <v>6700460.1900001951</v>
      </c>
      <c r="C209" s="345">
        <f>53371498.15+2143.73</f>
        <v>53373641.879999995</v>
      </c>
      <c r="D209" s="531">
        <v>7317390.04</v>
      </c>
      <c r="E209" s="531">
        <v>0</v>
      </c>
      <c r="F209" s="342">
        <f t="shared" ref="F209" si="54">B209+C209-D209-E209</f>
        <v>52756712.030000187</v>
      </c>
      <c r="G209" s="346">
        <v>52658608.560000002</v>
      </c>
      <c r="H209" s="343">
        <f t="shared" ref="H209" si="55">G209/F209*100</f>
        <v>99.814045519090726</v>
      </c>
      <c r="I209" s="179">
        <f t="shared" ref="I209" si="56">F209-G209</f>
        <v>98103.470000185072</v>
      </c>
      <c r="J209" s="343">
        <f t="shared" ref="J209" si="57">I209/F209*100</f>
        <v>0.18595448090926966</v>
      </c>
    </row>
    <row r="210" spans="1:10" s="43" customFormat="1" ht="33" x14ac:dyDescent="0.25">
      <c r="A210" s="347"/>
      <c r="B210" s="348" t="s">
        <v>202</v>
      </c>
      <c r="C210" s="349" t="s">
        <v>1208</v>
      </c>
      <c r="D210" s="348" t="s">
        <v>2</v>
      </c>
      <c r="E210" s="348" t="s">
        <v>3</v>
      </c>
      <c r="F210" s="348" t="s">
        <v>4</v>
      </c>
      <c r="G210" s="348" t="s">
        <v>204</v>
      </c>
      <c r="H210" s="348" t="s">
        <v>205</v>
      </c>
      <c r="I210" s="348" t="s">
        <v>206</v>
      </c>
      <c r="J210" s="348" t="s">
        <v>207</v>
      </c>
    </row>
    <row r="211" spans="1:10" s="43" customFormat="1" ht="20.100000000000001" customHeight="1" x14ac:dyDescent="0.25">
      <c r="A211" s="353" t="s">
        <v>821</v>
      </c>
      <c r="B211" s="658">
        <f>SUM(I185)</f>
        <v>160992.04</v>
      </c>
      <c r="C211" s="659">
        <v>45377.06</v>
      </c>
      <c r="D211" s="875">
        <v>0</v>
      </c>
      <c r="E211" s="875">
        <v>0</v>
      </c>
      <c r="F211" s="342">
        <f>B211+C211-D211-E211</f>
        <v>206369.1</v>
      </c>
      <c r="G211" s="658">
        <v>0</v>
      </c>
      <c r="H211" s="343">
        <f>G211/F211*100</f>
        <v>0</v>
      </c>
      <c r="I211" s="179">
        <f>F211-G211</f>
        <v>206369.1</v>
      </c>
      <c r="J211" s="343">
        <f>I211/F211*100</f>
        <v>100</v>
      </c>
    </row>
    <row r="212" spans="1:10" s="781" customFormat="1" ht="20.100000000000001" customHeight="1" thickBot="1" x14ac:dyDescent="0.3">
      <c r="A212" s="353" t="s">
        <v>208</v>
      </c>
      <c r="B212" s="658">
        <f>SUM(I186)</f>
        <v>133316.75000300119</v>
      </c>
      <c r="C212" s="345">
        <f>2750426.87+219472.29</f>
        <v>2969899.16</v>
      </c>
      <c r="D212" s="531">
        <v>266989.07</v>
      </c>
      <c r="E212" s="531">
        <v>662.32</v>
      </c>
      <c r="F212" s="342">
        <f>B212+C212-D212-E212</f>
        <v>2835564.5200030017</v>
      </c>
      <c r="G212" s="346">
        <v>2616092.23</v>
      </c>
      <c r="H212" s="343">
        <f>G212/F212*100</f>
        <v>92.260014242145701</v>
      </c>
      <c r="I212" s="179">
        <f>F212-G212</f>
        <v>219472.29000300169</v>
      </c>
      <c r="J212" s="343">
        <f>I212/F212*100</f>
        <v>7.7399857578542894</v>
      </c>
    </row>
    <row r="213" spans="1:10" s="798" customFormat="1" ht="20.100000000000001" customHeight="1" thickTop="1" thickBot="1" x14ac:dyDescent="0.3">
      <c r="A213" s="351" t="s">
        <v>36</v>
      </c>
      <c r="B213" s="352">
        <f t="shared" ref="B213" si="58">SUM(B208:B212)</f>
        <v>21807228.660002071</v>
      </c>
      <c r="C213" s="352">
        <f t="shared" ref="C213:G213" si="59">SUM(C208:C212)</f>
        <v>152545370.19</v>
      </c>
      <c r="D213" s="352">
        <f t="shared" si="59"/>
        <v>32952953.350000001</v>
      </c>
      <c r="E213" s="352">
        <f t="shared" si="59"/>
        <v>440316.01999999996</v>
      </c>
      <c r="F213" s="352">
        <f t="shared" si="59"/>
        <v>140959329.48000205</v>
      </c>
      <c r="G213" s="352">
        <f t="shared" si="59"/>
        <v>132537430.35000001</v>
      </c>
      <c r="H213" s="352">
        <f>G213/F213*100</f>
        <v>94.025298530384362</v>
      </c>
      <c r="I213" s="352">
        <f>SUM(I208:I212)</f>
        <v>8421899.1300020497</v>
      </c>
      <c r="J213" s="352">
        <f>I213/F213*100</f>
        <v>5.9747014696156509</v>
      </c>
    </row>
    <row r="214" spans="1:10" s="781" customFormat="1" ht="20.100000000000001" customHeight="1" thickTop="1" x14ac:dyDescent="0.25">
      <c r="A214" s="369"/>
      <c r="B214" s="794"/>
      <c r="C214" s="794"/>
      <c r="D214" s="362"/>
      <c r="E214" s="362"/>
      <c r="F214" s="794"/>
      <c r="G214" s="362"/>
      <c r="H214" s="362"/>
      <c r="I214" s="362"/>
      <c r="J214" s="362"/>
    </row>
    <row r="215" spans="1:10" s="781" customFormat="1" ht="20.100000000000001" customHeight="1" x14ac:dyDescent="0.25">
      <c r="A215" s="767" t="s">
        <v>37</v>
      </c>
      <c r="B215" s="45"/>
      <c r="C215" s="780"/>
      <c r="D215" s="780"/>
      <c r="E215" s="780"/>
      <c r="F215" s="780"/>
      <c r="G215" s="780"/>
      <c r="H215" s="780"/>
      <c r="I215" s="782"/>
    </row>
    <row r="216" spans="1:10" s="781" customFormat="1" ht="20.100000000000001" customHeight="1" x14ac:dyDescent="0.25">
      <c r="A216" s="134" t="s">
        <v>96</v>
      </c>
      <c r="B216" s="869" t="s">
        <v>1362</v>
      </c>
      <c r="C216" s="573" t="s">
        <v>52</v>
      </c>
      <c r="E216" s="36"/>
      <c r="F216" s="36"/>
      <c r="G216" s="36"/>
      <c r="H216" s="36"/>
      <c r="I216" s="89"/>
      <c r="J216" s="797"/>
    </row>
    <row r="217" spans="1:10" s="781" customFormat="1" ht="20.100000000000001" customHeight="1" x14ac:dyDescent="0.25">
      <c r="A217" s="90"/>
      <c r="B217" s="191" t="s">
        <v>1045</v>
      </c>
      <c r="C217" s="780">
        <v>80581.429999999993</v>
      </c>
      <c r="D217" s="780" t="s">
        <v>55</v>
      </c>
      <c r="E217" s="650" t="s">
        <v>529</v>
      </c>
      <c r="F217" s="797"/>
      <c r="G217" s="797"/>
      <c r="H217" s="797"/>
      <c r="I217" s="797"/>
      <c r="J217" s="46"/>
    </row>
    <row r="218" spans="1:10" s="781" customFormat="1" ht="20.100000000000001" customHeight="1" x14ac:dyDescent="0.25">
      <c r="A218" s="90"/>
      <c r="B218" s="191" t="s">
        <v>1045</v>
      </c>
      <c r="C218" s="780">
        <v>557527.3000000004</v>
      </c>
      <c r="D218" s="780" t="s">
        <v>55</v>
      </c>
      <c r="E218" s="650" t="s">
        <v>1209</v>
      </c>
      <c r="F218" s="797"/>
      <c r="G218" s="797"/>
      <c r="H218" s="797"/>
      <c r="I218" s="797"/>
      <c r="J218" s="46"/>
    </row>
    <row r="219" spans="1:10" s="781" customFormat="1" ht="20.100000000000001" customHeight="1" x14ac:dyDescent="0.25">
      <c r="A219" s="90"/>
      <c r="B219" s="191" t="s">
        <v>1210</v>
      </c>
      <c r="C219" s="780">
        <v>261406.41000000003</v>
      </c>
      <c r="D219" s="780" t="s">
        <v>55</v>
      </c>
      <c r="E219" s="650" t="s">
        <v>1211</v>
      </c>
      <c r="F219" s="797"/>
      <c r="G219" s="797"/>
      <c r="H219" s="797"/>
      <c r="I219" s="797"/>
      <c r="J219" s="46"/>
    </row>
    <row r="220" spans="1:10" s="781" customFormat="1" ht="20.100000000000001" customHeight="1" x14ac:dyDescent="0.25">
      <c r="A220" s="90"/>
      <c r="B220" s="191" t="s">
        <v>201</v>
      </c>
      <c r="C220" s="780">
        <v>6998439.1300000018</v>
      </c>
      <c r="D220" s="780" t="s">
        <v>55</v>
      </c>
      <c r="E220" s="797" t="s">
        <v>1212</v>
      </c>
      <c r="F220" s="797"/>
      <c r="G220" s="797"/>
      <c r="H220" s="797"/>
      <c r="I220" s="797"/>
      <c r="J220" s="46"/>
    </row>
    <row r="221" spans="1:10" s="781" customFormat="1" ht="20.100000000000001" customHeight="1" x14ac:dyDescent="0.25">
      <c r="A221" s="90"/>
      <c r="B221" s="755" t="s">
        <v>1047</v>
      </c>
      <c r="C221" s="780">
        <v>95959.74</v>
      </c>
      <c r="D221" s="780" t="s">
        <v>55</v>
      </c>
      <c r="E221" s="797" t="s">
        <v>1213</v>
      </c>
      <c r="F221" s="797"/>
      <c r="G221" s="797"/>
      <c r="H221" s="797"/>
      <c r="I221" s="797"/>
      <c r="J221" s="46"/>
    </row>
    <row r="222" spans="1:10" s="781" customFormat="1" ht="20.100000000000001" customHeight="1" x14ac:dyDescent="0.25">
      <c r="B222" s="755" t="s">
        <v>50</v>
      </c>
      <c r="C222" s="780">
        <v>2143.73</v>
      </c>
      <c r="D222" s="780" t="s">
        <v>55</v>
      </c>
      <c r="E222" s="797" t="s">
        <v>1214</v>
      </c>
      <c r="F222" s="780"/>
      <c r="G222" s="780"/>
      <c r="H222" s="780"/>
      <c r="I222" s="780"/>
      <c r="J222" s="797"/>
    </row>
    <row r="223" spans="1:10" s="781" customFormat="1" ht="20.100000000000001" customHeight="1" thickBot="1" x14ac:dyDescent="0.3">
      <c r="B223" s="755"/>
      <c r="C223" s="795">
        <f>SUM(C217:C222)</f>
        <v>7996057.740000003</v>
      </c>
      <c r="D223" s="769" t="s">
        <v>55</v>
      </c>
      <c r="E223" s="780"/>
      <c r="F223" s="780"/>
      <c r="G223" s="780"/>
      <c r="H223" s="782"/>
      <c r="I223" s="780"/>
      <c r="J223" s="780"/>
    </row>
    <row r="224" spans="1:10" s="781" customFormat="1" ht="20.100000000000001" customHeight="1" thickTop="1" x14ac:dyDescent="0.25">
      <c r="B224" s="755"/>
      <c r="C224" s="769"/>
      <c r="D224" s="769"/>
      <c r="E224" s="780"/>
      <c r="F224" s="780"/>
      <c r="G224" s="780"/>
      <c r="H224" s="782"/>
      <c r="I224" s="780"/>
      <c r="J224" s="780"/>
    </row>
    <row r="225" spans="1:11" s="781" customFormat="1" ht="16.5" x14ac:dyDescent="0.25">
      <c r="A225" s="31" t="s">
        <v>176</v>
      </c>
      <c r="B225" s="869" t="s">
        <v>1363</v>
      </c>
      <c r="C225" s="36" t="s">
        <v>52</v>
      </c>
      <c r="D225" s="769"/>
      <c r="F225" s="780"/>
      <c r="G225" s="780"/>
      <c r="H225" s="782"/>
      <c r="I225" s="769"/>
      <c r="J225" s="48"/>
    </row>
    <row r="226" spans="1:11" s="781" customFormat="1" ht="20.100000000000001" customHeight="1" x14ac:dyDescent="0.25">
      <c r="A226" s="90"/>
      <c r="B226" s="191" t="s">
        <v>1048</v>
      </c>
      <c r="C226" s="780">
        <v>77900.789999999994</v>
      </c>
      <c r="D226" s="780" t="s">
        <v>55</v>
      </c>
      <c r="E226" s="797" t="s">
        <v>1049</v>
      </c>
      <c r="F226" s="797"/>
      <c r="G226" s="797"/>
      <c r="H226" s="797"/>
      <c r="I226" s="797"/>
      <c r="J226" s="46"/>
    </row>
    <row r="227" spans="1:11" s="781" customFormat="1" ht="20.100000000000001" customHeight="1" x14ac:dyDescent="0.25">
      <c r="A227" s="90"/>
      <c r="B227" s="191" t="s">
        <v>1048</v>
      </c>
      <c r="C227" s="780">
        <v>128468.30999999998</v>
      </c>
      <c r="D227" s="780" t="s">
        <v>55</v>
      </c>
      <c r="E227" s="797" t="s">
        <v>620</v>
      </c>
      <c r="F227" s="797"/>
      <c r="G227" s="797"/>
      <c r="H227" s="797"/>
      <c r="I227" s="797"/>
      <c r="J227" s="46"/>
    </row>
    <row r="228" spans="1:11" s="781" customFormat="1" ht="20.100000000000001" customHeight="1" x14ac:dyDescent="0.25">
      <c r="A228" s="90"/>
      <c r="B228" s="190" t="s">
        <v>214</v>
      </c>
      <c r="C228" s="780">
        <v>1658.91</v>
      </c>
      <c r="D228" s="780" t="s">
        <v>55</v>
      </c>
      <c r="E228" s="797" t="s">
        <v>1049</v>
      </c>
      <c r="F228" s="797"/>
      <c r="G228" s="797"/>
      <c r="H228" s="797"/>
      <c r="I228" s="797"/>
      <c r="J228" s="46"/>
    </row>
    <row r="229" spans="1:11" s="781" customFormat="1" ht="16.5" x14ac:dyDescent="0.25">
      <c r="B229" s="190" t="s">
        <v>214</v>
      </c>
      <c r="C229" s="780">
        <v>217813.38</v>
      </c>
      <c r="D229" s="780" t="s">
        <v>55</v>
      </c>
      <c r="E229" s="797" t="s">
        <v>1215</v>
      </c>
      <c r="F229" s="780"/>
      <c r="G229" s="780"/>
      <c r="H229" s="782"/>
      <c r="I229" s="780"/>
      <c r="J229" s="780"/>
    </row>
    <row r="230" spans="1:11" ht="20.100000000000001" customHeight="1" thickBot="1" x14ac:dyDescent="0.3">
      <c r="C230" s="795">
        <f>SUM(C226:C229)</f>
        <v>425841.39</v>
      </c>
      <c r="D230" s="769" t="s">
        <v>55</v>
      </c>
    </row>
    <row r="231" spans="1:11" ht="20.100000000000001" customHeight="1" thickTop="1" x14ac:dyDescent="0.25"/>
    <row r="233" spans="1:11" s="330" customFormat="1" ht="20.100000000000001" customHeight="1" x14ac:dyDescent="0.25">
      <c r="A233" s="899" t="s">
        <v>1354</v>
      </c>
      <c r="B233" s="899"/>
      <c r="C233" s="899"/>
      <c r="D233" s="899"/>
      <c r="E233" s="899"/>
      <c r="F233" s="899"/>
      <c r="G233" s="899"/>
      <c r="H233" s="899"/>
      <c r="I233" s="899"/>
      <c r="J233" s="899"/>
    </row>
    <row r="234" spans="1:11" s="781" customFormat="1" ht="20.100000000000001" customHeight="1" thickBot="1" x14ac:dyDescent="0.3">
      <c r="A234" s="900"/>
      <c r="B234" s="900"/>
      <c r="C234" s="900"/>
      <c r="D234" s="900"/>
      <c r="E234" s="900"/>
      <c r="F234" s="900"/>
      <c r="G234" s="900"/>
      <c r="H234" s="900"/>
      <c r="I234" s="900"/>
      <c r="J234" s="900"/>
      <c r="K234" s="780"/>
    </row>
    <row r="235" spans="1:11" s="42" customFormat="1" ht="50.25" thickBot="1" x14ac:dyDescent="0.3">
      <c r="A235" s="783" t="s">
        <v>1326</v>
      </c>
      <c r="B235" s="784" t="s">
        <v>14</v>
      </c>
      <c r="C235" s="338" t="s">
        <v>1202</v>
      </c>
      <c r="D235" s="785" t="s">
        <v>17</v>
      </c>
      <c r="E235" s="785" t="s">
        <v>18</v>
      </c>
      <c r="F235" s="784" t="s">
        <v>19</v>
      </c>
      <c r="G235" s="784" t="s">
        <v>59</v>
      </c>
      <c r="H235" s="784" t="s">
        <v>60</v>
      </c>
      <c r="I235" s="339" t="s">
        <v>61</v>
      </c>
      <c r="J235" s="340" t="s">
        <v>23</v>
      </c>
    </row>
    <row r="236" spans="1:11" s="781" customFormat="1" ht="20.100000000000001" customHeight="1" x14ac:dyDescent="0.25">
      <c r="A236" s="231" t="s">
        <v>201</v>
      </c>
      <c r="B236" s="341">
        <f>SUM(I208)</f>
        <v>7897954.2699988633</v>
      </c>
      <c r="C236" s="342">
        <f>113532787.5+176177.96+117451.97</f>
        <v>113826417.42999999</v>
      </c>
      <c r="D236" s="179">
        <f>34962241.96+10849.11</f>
        <v>34973091.07</v>
      </c>
      <c r="E236" s="179">
        <v>538309.4800000001</v>
      </c>
      <c r="F236" s="342">
        <f>B236+C236-D236-E236</f>
        <v>86212971.149998859</v>
      </c>
      <c r="G236" s="343">
        <f>68166346.55+176369.16+106411.66</f>
        <v>68449127.36999999</v>
      </c>
      <c r="H236" s="343">
        <f>G236/F236*100</f>
        <v>79.395393125829997</v>
      </c>
      <c r="I236" s="179">
        <f>F236-G236</f>
        <v>17763843.779998869</v>
      </c>
      <c r="J236" s="343">
        <f>I236/F236*100</f>
        <v>20.604606874170006</v>
      </c>
    </row>
    <row r="237" spans="1:11" s="781" customFormat="1" ht="20.100000000000001" customHeight="1" x14ac:dyDescent="0.25">
      <c r="A237" s="344" t="s">
        <v>50</v>
      </c>
      <c r="B237" s="341">
        <f>SUM(I209)</f>
        <v>98103.470000185072</v>
      </c>
      <c r="C237" s="345">
        <v>66695222.839999996</v>
      </c>
      <c r="D237" s="531">
        <v>18722507.559999999</v>
      </c>
      <c r="E237" s="531">
        <v>0</v>
      </c>
      <c r="F237" s="342">
        <f t="shared" ref="F237" si="60">B237+C237-D237-E237</f>
        <v>48070818.750000179</v>
      </c>
      <c r="G237" s="346">
        <v>33593499.859999999</v>
      </c>
      <c r="H237" s="343">
        <f t="shared" ref="H237" si="61">G237/F237*100</f>
        <v>69.883352798104511</v>
      </c>
      <c r="I237" s="179">
        <f t="shared" ref="I237" si="62">F237-G237</f>
        <v>14477318.890000179</v>
      </c>
      <c r="J237" s="343">
        <f t="shared" ref="J237" si="63">I237/F237*100</f>
        <v>30.116647201895486</v>
      </c>
    </row>
    <row r="238" spans="1:11" s="43" customFormat="1" ht="33" x14ac:dyDescent="0.25">
      <c r="A238" s="347"/>
      <c r="B238" s="348" t="s">
        <v>202</v>
      </c>
      <c r="C238" s="349" t="s">
        <v>1315</v>
      </c>
      <c r="D238" s="348" t="s">
        <v>2</v>
      </c>
      <c r="E238" s="348" t="s">
        <v>3</v>
      </c>
      <c r="F238" s="348" t="s">
        <v>4</v>
      </c>
      <c r="G238" s="348" t="s">
        <v>204</v>
      </c>
      <c r="H238" s="348" t="s">
        <v>205</v>
      </c>
      <c r="I238" s="348" t="s">
        <v>206</v>
      </c>
      <c r="J238" s="348" t="s">
        <v>207</v>
      </c>
    </row>
    <row r="239" spans="1:11" s="43" customFormat="1" ht="20.100000000000001" customHeight="1" x14ac:dyDescent="0.25">
      <c r="A239" s="888" t="s">
        <v>821</v>
      </c>
      <c r="B239" s="658">
        <f>SUM(I211)</f>
        <v>206369.1</v>
      </c>
      <c r="C239" s="659">
        <v>24456.079999999998</v>
      </c>
      <c r="D239" s="875">
        <v>0</v>
      </c>
      <c r="E239" s="875">
        <v>0</v>
      </c>
      <c r="F239" s="342">
        <f>B239+C239-D239-E239</f>
        <v>230825.18</v>
      </c>
      <c r="G239" s="658">
        <v>0</v>
      </c>
      <c r="H239" s="343">
        <f>G239/F239*100</f>
        <v>0</v>
      </c>
      <c r="I239" s="179">
        <f>F239-G239</f>
        <v>230825.18</v>
      </c>
      <c r="J239" s="343">
        <f>I239/F239*100</f>
        <v>100</v>
      </c>
    </row>
    <row r="240" spans="1:11" s="781" customFormat="1" ht="20.100000000000001" customHeight="1" thickBot="1" x14ac:dyDescent="0.3">
      <c r="A240" s="888" t="s">
        <v>208</v>
      </c>
      <c r="B240" s="658">
        <f>SUM(I212)</f>
        <v>219472.29000300169</v>
      </c>
      <c r="C240" s="345">
        <f>2070285.2+256477.27</f>
        <v>2326762.4699999997</v>
      </c>
      <c r="D240" s="531">
        <v>356879.62</v>
      </c>
      <c r="E240" s="531">
        <v>120.29</v>
      </c>
      <c r="F240" s="342">
        <f>B240+C240-D240-E240</f>
        <v>2189234.8500030013</v>
      </c>
      <c r="G240" s="346">
        <v>1931098.67</v>
      </c>
      <c r="H240" s="343">
        <f>G240/F240*100</f>
        <v>88.208840179816818</v>
      </c>
      <c r="I240" s="179">
        <f>F240-G240</f>
        <v>258136.18000300135</v>
      </c>
      <c r="J240" s="343">
        <f>I240/F240*100</f>
        <v>11.791159820183179</v>
      </c>
    </row>
    <row r="241" spans="1:10" s="798" customFormat="1" ht="20.100000000000001" customHeight="1" thickTop="1" thickBot="1" x14ac:dyDescent="0.3">
      <c r="A241" s="351" t="s">
        <v>36</v>
      </c>
      <c r="B241" s="352">
        <f t="shared" ref="B241" si="64">SUM(B236:B240)</f>
        <v>8421899.1300020497</v>
      </c>
      <c r="C241" s="352">
        <f t="shared" ref="C241:G241" si="65">SUM(C236:C240)</f>
        <v>182872858.81999999</v>
      </c>
      <c r="D241" s="352">
        <f t="shared" si="65"/>
        <v>54052478.249999993</v>
      </c>
      <c r="E241" s="352">
        <f t="shared" si="65"/>
        <v>538429.77000000014</v>
      </c>
      <c r="F241" s="352">
        <f t="shared" si="65"/>
        <v>136703849.93000203</v>
      </c>
      <c r="G241" s="352">
        <f t="shared" si="65"/>
        <v>103973725.89999999</v>
      </c>
      <c r="H241" s="352">
        <f>G241/F241*100</f>
        <v>76.057642819305229</v>
      </c>
      <c r="I241" s="352">
        <f>SUM(I236:I240)</f>
        <v>32730124.03000205</v>
      </c>
      <c r="J241" s="352">
        <f>I241/F241*100</f>
        <v>23.942357180694774</v>
      </c>
    </row>
    <row r="242" spans="1:10" s="781" customFormat="1" ht="20.100000000000001" customHeight="1" thickTop="1" x14ac:dyDescent="0.25">
      <c r="A242" s="369"/>
      <c r="B242" s="794"/>
      <c r="C242" s="794"/>
      <c r="D242" s="362"/>
      <c r="E242" s="362"/>
      <c r="F242" s="794"/>
      <c r="G242" s="362"/>
      <c r="H242" s="362"/>
      <c r="I242" s="362"/>
      <c r="J242" s="362"/>
    </row>
    <row r="243" spans="1:10" s="781" customFormat="1" ht="20.100000000000001" customHeight="1" x14ac:dyDescent="0.25">
      <c r="A243" s="767" t="s">
        <v>37</v>
      </c>
      <c r="B243" s="45"/>
      <c r="C243" s="780"/>
      <c r="D243" s="780"/>
      <c r="E243" s="780"/>
      <c r="F243" s="780"/>
      <c r="G243" s="780"/>
      <c r="H243" s="780"/>
      <c r="I243" s="782"/>
    </row>
    <row r="244" spans="1:10" s="781" customFormat="1" ht="20.100000000000001" customHeight="1" x14ac:dyDescent="0.25">
      <c r="A244" s="134" t="s">
        <v>96</v>
      </c>
      <c r="B244" s="135" t="s">
        <v>1355</v>
      </c>
      <c r="C244" s="573" t="s">
        <v>52</v>
      </c>
      <c r="E244" s="36"/>
      <c r="F244" s="36"/>
      <c r="G244" s="36"/>
      <c r="H244" s="36"/>
      <c r="I244" s="89"/>
      <c r="J244" s="797"/>
    </row>
    <row r="245" spans="1:10" s="781" customFormat="1" ht="20.100000000000001" customHeight="1" x14ac:dyDescent="0.25">
      <c r="A245" s="90"/>
      <c r="B245" s="191" t="s">
        <v>201</v>
      </c>
      <c r="C245" s="780">
        <v>76602.12</v>
      </c>
      <c r="D245" s="780" t="s">
        <v>55</v>
      </c>
      <c r="E245" s="650" t="s">
        <v>1049</v>
      </c>
      <c r="F245" s="797"/>
      <c r="G245" s="797"/>
      <c r="H245" s="797"/>
      <c r="I245" s="797"/>
      <c r="J245" s="46"/>
    </row>
    <row r="246" spans="1:10" s="781" customFormat="1" ht="20.100000000000001" customHeight="1" x14ac:dyDescent="0.25">
      <c r="A246" s="90"/>
      <c r="B246" s="191" t="s">
        <v>201</v>
      </c>
      <c r="C246" s="780">
        <v>1181534.2</v>
      </c>
      <c r="D246" s="780" t="s">
        <v>55</v>
      </c>
      <c r="E246" s="650" t="s">
        <v>529</v>
      </c>
      <c r="F246" s="797"/>
      <c r="G246" s="797"/>
      <c r="H246" s="797"/>
      <c r="I246" s="797"/>
      <c r="J246" s="46"/>
    </row>
    <row r="247" spans="1:10" s="781" customFormat="1" ht="20.100000000000001" customHeight="1" x14ac:dyDescent="0.25">
      <c r="A247" s="90"/>
      <c r="B247" s="191" t="s">
        <v>201</v>
      </c>
      <c r="C247" s="780">
        <v>545203.29</v>
      </c>
      <c r="D247" s="780" t="s">
        <v>55</v>
      </c>
      <c r="E247" s="650" t="s">
        <v>1356</v>
      </c>
      <c r="F247" s="797"/>
      <c r="G247" s="797"/>
      <c r="H247" s="797"/>
      <c r="I247" s="797"/>
      <c r="J247" s="46"/>
    </row>
    <row r="248" spans="1:10" s="781" customFormat="1" ht="20.100000000000001" customHeight="1" x14ac:dyDescent="0.25">
      <c r="A248" s="90"/>
      <c r="B248" s="191" t="s">
        <v>201</v>
      </c>
      <c r="C248" s="780">
        <v>15960504.17</v>
      </c>
      <c r="D248" s="780" t="s">
        <v>55</v>
      </c>
      <c r="E248" s="797" t="s">
        <v>1357</v>
      </c>
      <c r="F248" s="797"/>
      <c r="G248" s="797"/>
      <c r="H248" s="797"/>
      <c r="I248" s="797"/>
      <c r="J248" s="46"/>
    </row>
    <row r="249" spans="1:10" s="781" customFormat="1" ht="20.100000000000001" customHeight="1" x14ac:dyDescent="0.25">
      <c r="A249" s="90"/>
      <c r="B249" s="755" t="s">
        <v>1047</v>
      </c>
      <c r="C249" s="780">
        <v>95959.74</v>
      </c>
      <c r="D249" s="780" t="s">
        <v>55</v>
      </c>
      <c r="E249" s="797" t="s">
        <v>1358</v>
      </c>
      <c r="F249" s="797"/>
      <c r="G249" s="797"/>
      <c r="H249" s="797"/>
      <c r="I249" s="797"/>
      <c r="J249" s="46"/>
    </row>
    <row r="250" spans="1:10" s="781" customFormat="1" ht="20.100000000000001" customHeight="1" x14ac:dyDescent="0.25">
      <c r="B250" s="755" t="s">
        <v>50</v>
      </c>
      <c r="C250" s="780">
        <v>14381359.15</v>
      </c>
      <c r="D250" s="780" t="s">
        <v>55</v>
      </c>
      <c r="E250" s="797" t="s">
        <v>1488</v>
      </c>
      <c r="F250" s="780"/>
      <c r="G250" s="780"/>
      <c r="H250" s="780"/>
      <c r="I250" s="780"/>
      <c r="J250" s="797"/>
    </row>
    <row r="251" spans="1:10" s="781" customFormat="1" ht="20.100000000000001" customHeight="1" thickBot="1" x14ac:dyDescent="0.3">
      <c r="B251" s="755"/>
      <c r="C251" s="795">
        <f>SUM(C245:C250)</f>
        <v>32241162.670000002</v>
      </c>
      <c r="D251" s="769" t="s">
        <v>55</v>
      </c>
      <c r="E251" s="780"/>
      <c r="F251" s="780"/>
      <c r="G251" s="780"/>
      <c r="H251" s="782"/>
      <c r="I251" s="780"/>
      <c r="J251" s="780"/>
    </row>
    <row r="252" spans="1:10" s="781" customFormat="1" ht="20.100000000000001" customHeight="1" thickTop="1" x14ac:dyDescent="0.25">
      <c r="B252" s="755"/>
      <c r="C252" s="769"/>
      <c r="D252" s="769"/>
      <c r="E252" s="780"/>
      <c r="F252" s="780"/>
      <c r="G252" s="780"/>
      <c r="H252" s="782"/>
      <c r="I252" s="780"/>
      <c r="J252" s="780"/>
    </row>
    <row r="253" spans="1:10" s="781" customFormat="1" ht="16.5" x14ac:dyDescent="0.25">
      <c r="A253" s="31" t="s">
        <v>176</v>
      </c>
      <c r="B253" s="135" t="s">
        <v>1359</v>
      </c>
      <c r="C253" s="36" t="s">
        <v>52</v>
      </c>
      <c r="D253" s="769"/>
      <c r="F253" s="780"/>
      <c r="G253" s="780"/>
      <c r="H253" s="782"/>
      <c r="I253" s="769"/>
      <c r="J253" s="48"/>
    </row>
    <row r="254" spans="1:10" s="781" customFormat="1" ht="20.100000000000001" customHeight="1" x14ac:dyDescent="0.25">
      <c r="A254" s="90"/>
      <c r="B254" s="191" t="s">
        <v>1048</v>
      </c>
      <c r="C254" s="780">
        <v>77900.789999999994</v>
      </c>
      <c r="D254" s="780" t="s">
        <v>55</v>
      </c>
      <c r="E254" s="797" t="s">
        <v>1049</v>
      </c>
      <c r="F254" s="797"/>
      <c r="G254" s="797"/>
      <c r="H254" s="797"/>
      <c r="I254" s="797"/>
      <c r="J254" s="46"/>
    </row>
    <row r="255" spans="1:10" s="781" customFormat="1" ht="20.100000000000001" customHeight="1" x14ac:dyDescent="0.25">
      <c r="A255" s="90"/>
      <c r="B255" s="191" t="s">
        <v>1048</v>
      </c>
      <c r="C255" s="780">
        <v>152924.38999999998</v>
      </c>
      <c r="D255" s="780" t="s">
        <v>55</v>
      </c>
      <c r="E255" s="797" t="s">
        <v>1360</v>
      </c>
      <c r="F255" s="797"/>
      <c r="G255" s="797"/>
      <c r="H255" s="797"/>
      <c r="I255" s="797"/>
      <c r="J255" s="46"/>
    </row>
    <row r="256" spans="1:10" s="781" customFormat="1" ht="20.100000000000001" customHeight="1" x14ac:dyDescent="0.25">
      <c r="A256" s="90"/>
      <c r="B256" s="190" t="s">
        <v>214</v>
      </c>
      <c r="C256" s="780">
        <v>1658.91</v>
      </c>
      <c r="D256" s="780" t="s">
        <v>55</v>
      </c>
      <c r="E256" s="797" t="s">
        <v>1049</v>
      </c>
      <c r="F256" s="797"/>
      <c r="G256" s="797"/>
      <c r="H256" s="797"/>
      <c r="I256" s="797"/>
      <c r="J256" s="46"/>
    </row>
    <row r="257" spans="1:10" s="781" customFormat="1" ht="16.5" x14ac:dyDescent="0.25">
      <c r="B257" s="190" t="s">
        <v>214</v>
      </c>
      <c r="C257" s="780">
        <v>256477.27000000002</v>
      </c>
      <c r="D257" s="780" t="s">
        <v>55</v>
      </c>
      <c r="E257" s="797" t="s">
        <v>1361</v>
      </c>
      <c r="F257" s="780"/>
      <c r="G257" s="780"/>
      <c r="H257" s="782"/>
      <c r="I257" s="780"/>
      <c r="J257" s="780"/>
    </row>
    <row r="258" spans="1:10" ht="20.100000000000001" customHeight="1" thickBot="1" x14ac:dyDescent="0.3">
      <c r="C258" s="795">
        <f>SUM(C254:C257)</f>
        <v>488961.36</v>
      </c>
      <c r="D258" s="769" t="s">
        <v>55</v>
      </c>
    </row>
    <row r="259" spans="1:10" ht="20.100000000000001" customHeight="1" thickTop="1" x14ac:dyDescent="0.25"/>
    <row r="261" spans="1:10" s="330" customFormat="1" ht="20.100000000000001" customHeight="1" x14ac:dyDescent="0.25">
      <c r="A261" s="899" t="s">
        <v>1480</v>
      </c>
      <c r="B261" s="899"/>
      <c r="C261" s="899"/>
      <c r="D261" s="899"/>
      <c r="E261" s="899"/>
      <c r="F261" s="899"/>
      <c r="G261" s="899"/>
      <c r="H261" s="899"/>
      <c r="I261" s="899"/>
      <c r="J261" s="899"/>
    </row>
    <row r="262" spans="1:10" s="781" customFormat="1" ht="20.100000000000001" customHeight="1" thickBot="1" x14ac:dyDescent="0.3">
      <c r="A262" s="900"/>
      <c r="B262" s="900"/>
      <c r="C262" s="900"/>
      <c r="D262" s="900"/>
      <c r="E262" s="900"/>
      <c r="F262" s="900"/>
      <c r="G262" s="900"/>
      <c r="H262" s="900"/>
      <c r="I262" s="900"/>
      <c r="J262" s="900"/>
    </row>
    <row r="263" spans="1:10" s="42" customFormat="1" ht="50.25" thickBot="1" x14ac:dyDescent="0.3">
      <c r="A263" s="783" t="s">
        <v>1481</v>
      </c>
      <c r="B263" s="784" t="s">
        <v>14</v>
      </c>
      <c r="C263" s="338" t="s">
        <v>1327</v>
      </c>
      <c r="D263" s="785" t="s">
        <v>17</v>
      </c>
      <c r="E263" s="785" t="s">
        <v>18</v>
      </c>
      <c r="F263" s="784" t="s">
        <v>19</v>
      </c>
      <c r="G263" s="784" t="s">
        <v>59</v>
      </c>
      <c r="H263" s="784" t="s">
        <v>60</v>
      </c>
      <c r="I263" s="339" t="s">
        <v>61</v>
      </c>
      <c r="J263" s="340" t="s">
        <v>23</v>
      </c>
    </row>
    <row r="264" spans="1:10" s="781" customFormat="1" ht="20.100000000000001" customHeight="1" x14ac:dyDescent="0.25">
      <c r="A264" s="231" t="s">
        <v>201</v>
      </c>
      <c r="B264" s="341">
        <f>SUM(I236)</f>
        <v>17763843.779998869</v>
      </c>
      <c r="C264" s="342">
        <f>110804602.48+13684444.04+617460.58+2446.61+939615.79</f>
        <v>126048569.50000001</v>
      </c>
      <c r="D264" s="179">
        <f>45892066.85+22886.4+10248.23</f>
        <v>45925201.479999997</v>
      </c>
      <c r="E264" s="179">
        <f>287276.1+1.26</f>
        <v>287277.36</v>
      </c>
      <c r="F264" s="342">
        <f>B264+C264-D264-E264</f>
        <v>97599934.43999891</v>
      </c>
      <c r="G264" s="343">
        <f>80585762.44+594574.18+929367.56</f>
        <v>82109704.180000007</v>
      </c>
      <c r="H264" s="343">
        <f>G264/F264*100</f>
        <v>84.128851777537037</v>
      </c>
      <c r="I264" s="179">
        <f>F264-G264</f>
        <v>15490230.259998903</v>
      </c>
      <c r="J264" s="343">
        <f>I264/F264*100</f>
        <v>15.87114822246296</v>
      </c>
    </row>
    <row r="265" spans="1:10" s="781" customFormat="1" ht="20.100000000000001" customHeight="1" x14ac:dyDescent="0.25">
      <c r="A265" s="344" t="s">
        <v>50</v>
      </c>
      <c r="B265" s="341">
        <f>SUM(I237)</f>
        <v>14477318.890000179</v>
      </c>
      <c r="C265" s="345">
        <f>48142205.72+7875387.29</f>
        <v>56017593.009999998</v>
      </c>
      <c r="D265" s="531">
        <v>15100676.84</v>
      </c>
      <c r="E265" s="531">
        <f>7421.52-0.65</f>
        <v>7420.8700000000008</v>
      </c>
      <c r="F265" s="342">
        <f t="shared" ref="F265" si="66">B265+C265-D265-E265</f>
        <v>55386814.190000184</v>
      </c>
      <c r="G265" s="346">
        <v>47511426.899999999</v>
      </c>
      <c r="H265" s="343">
        <f t="shared" ref="H265" si="67">G265/F265*100</f>
        <v>85.781115225395922</v>
      </c>
      <c r="I265" s="179">
        <f t="shared" ref="I265" si="68">F265-G265</f>
        <v>7875387.2900001854</v>
      </c>
      <c r="J265" s="343">
        <f t="shared" ref="J265" si="69">I265/F265*100</f>
        <v>14.218884774604074</v>
      </c>
    </row>
    <row r="266" spans="1:10" s="43" customFormat="1" ht="33" x14ac:dyDescent="0.25">
      <c r="A266" s="347"/>
      <c r="B266" s="348" t="s">
        <v>202</v>
      </c>
      <c r="C266" s="349" t="s">
        <v>1427</v>
      </c>
      <c r="D266" s="348" t="s">
        <v>2</v>
      </c>
      <c r="E266" s="348" t="s">
        <v>3</v>
      </c>
      <c r="F266" s="348" t="s">
        <v>4</v>
      </c>
      <c r="G266" s="348" t="s">
        <v>204</v>
      </c>
      <c r="H266" s="348" t="s">
        <v>205</v>
      </c>
      <c r="I266" s="348" t="s">
        <v>206</v>
      </c>
      <c r="J266" s="348" t="s">
        <v>207</v>
      </c>
    </row>
    <row r="267" spans="1:10" s="43" customFormat="1" ht="20.100000000000001" customHeight="1" x14ac:dyDescent="0.25">
      <c r="A267" s="888" t="s">
        <v>821</v>
      </c>
      <c r="B267" s="658">
        <f>SUM(I239)</f>
        <v>230825.18</v>
      </c>
      <c r="C267" s="659">
        <v>14385.94</v>
      </c>
      <c r="D267" s="875">
        <v>0</v>
      </c>
      <c r="E267" s="875">
        <v>0</v>
      </c>
      <c r="F267" s="342">
        <f>B267+C267-D267-E267</f>
        <v>245211.12</v>
      </c>
      <c r="G267" s="658">
        <v>0</v>
      </c>
      <c r="H267" s="343">
        <f>G267/F267*100</f>
        <v>0</v>
      </c>
      <c r="I267" s="179">
        <f>F267-G267</f>
        <v>245211.12</v>
      </c>
      <c r="J267" s="343">
        <f>I267/F267*100</f>
        <v>100</v>
      </c>
    </row>
    <row r="268" spans="1:10" s="781" customFormat="1" ht="20.100000000000001" customHeight="1" thickBot="1" x14ac:dyDescent="0.3">
      <c r="A268" s="888" t="s">
        <v>208</v>
      </c>
      <c r="B268" s="658">
        <f>SUM(I240)</f>
        <v>258136.18000300135</v>
      </c>
      <c r="C268" s="345">
        <f>2349636.63+548601.02</f>
        <v>2898237.65</v>
      </c>
      <c r="D268" s="531">
        <v>1578709.23</v>
      </c>
      <c r="E268" s="531">
        <v>0</v>
      </c>
      <c r="F268" s="342">
        <f>B268+C268-D268-E268</f>
        <v>1577664.6000030013</v>
      </c>
      <c r="G268" s="346">
        <v>1027404.67</v>
      </c>
      <c r="H268" s="343">
        <f>G268/F268*100</f>
        <v>65.121868741812776</v>
      </c>
      <c r="I268" s="179">
        <f>F268-G268</f>
        <v>550259.93000300124</v>
      </c>
      <c r="J268" s="343">
        <f>I268/F268*100</f>
        <v>34.878131258187224</v>
      </c>
    </row>
    <row r="269" spans="1:10" s="798" customFormat="1" ht="20.100000000000001" customHeight="1" thickTop="1" thickBot="1" x14ac:dyDescent="0.3">
      <c r="A269" s="351" t="s">
        <v>36</v>
      </c>
      <c r="B269" s="352">
        <f t="shared" ref="B269" si="70">SUM(B264:B268)</f>
        <v>32730124.03000205</v>
      </c>
      <c r="C269" s="352">
        <f t="shared" ref="C269:G269" si="71">SUM(C264:C268)</f>
        <v>184978786.10000002</v>
      </c>
      <c r="D269" s="352">
        <f t="shared" si="71"/>
        <v>62604587.54999999</v>
      </c>
      <c r="E269" s="352">
        <f t="shared" si="71"/>
        <v>294698.23</v>
      </c>
      <c r="F269" s="352">
        <f t="shared" si="71"/>
        <v>154809624.35000211</v>
      </c>
      <c r="G269" s="352">
        <f t="shared" si="71"/>
        <v>130648535.75000001</v>
      </c>
      <c r="H269" s="352">
        <f>G269/F269*100</f>
        <v>84.393031956865045</v>
      </c>
      <c r="I269" s="352">
        <f>SUM(I264:I268)</f>
        <v>24161088.600002091</v>
      </c>
      <c r="J269" s="352">
        <f>I269/F269*100</f>
        <v>15.60696804313495</v>
      </c>
    </row>
    <row r="270" spans="1:10" s="781" customFormat="1" ht="20.100000000000001" customHeight="1" thickTop="1" x14ac:dyDescent="0.25">
      <c r="A270" s="369"/>
      <c r="B270" s="794"/>
      <c r="C270" s="794"/>
      <c r="D270" s="362"/>
      <c r="E270" s="362"/>
      <c r="F270" s="794"/>
      <c r="G270" s="362"/>
      <c r="H270" s="362"/>
      <c r="I270" s="362"/>
      <c r="J270" s="362"/>
    </row>
    <row r="271" spans="1:10" s="781" customFormat="1" ht="20.100000000000001" customHeight="1" x14ac:dyDescent="0.25">
      <c r="A271" s="767" t="s">
        <v>37</v>
      </c>
      <c r="B271" s="45"/>
      <c r="C271" s="780"/>
      <c r="D271" s="780"/>
      <c r="E271" s="780"/>
      <c r="F271" s="780"/>
      <c r="G271" s="780"/>
      <c r="H271" s="780"/>
      <c r="I271" s="782"/>
    </row>
    <row r="272" spans="1:10" s="781" customFormat="1" ht="20.100000000000001" customHeight="1" x14ac:dyDescent="0.25">
      <c r="A272" s="134" t="s">
        <v>96</v>
      </c>
      <c r="B272" s="135" t="s">
        <v>1359</v>
      </c>
      <c r="C272" s="573" t="s">
        <v>52</v>
      </c>
      <c r="E272" s="36"/>
      <c r="F272" s="36"/>
      <c r="G272" s="36"/>
      <c r="H272" s="36"/>
      <c r="I272" s="89"/>
      <c r="J272" s="797"/>
    </row>
    <row r="273" spans="1:10" s="781" customFormat="1" ht="20.100000000000001" customHeight="1" x14ac:dyDescent="0.25">
      <c r="A273" s="90"/>
      <c r="B273" s="191" t="s">
        <v>201</v>
      </c>
      <c r="C273" s="780">
        <v>76602.12000000001</v>
      </c>
      <c r="D273" s="780" t="s">
        <v>55</v>
      </c>
      <c r="E273" s="650" t="s">
        <v>1049</v>
      </c>
      <c r="F273" s="797"/>
      <c r="G273" s="797"/>
      <c r="H273" s="797"/>
      <c r="I273" s="797"/>
      <c r="J273" s="46"/>
    </row>
    <row r="274" spans="1:10" s="781" customFormat="1" ht="20.100000000000001" customHeight="1" x14ac:dyDescent="0.25">
      <c r="A274" s="90"/>
      <c r="B274" s="191" t="s">
        <v>201</v>
      </c>
      <c r="C274" s="780">
        <f>548488.91+8938.69</f>
        <v>557427.6</v>
      </c>
      <c r="D274" s="780" t="s">
        <v>55</v>
      </c>
      <c r="E274" s="650" t="s">
        <v>529</v>
      </c>
      <c r="F274" s="797"/>
      <c r="G274" s="797"/>
      <c r="H274" s="797"/>
      <c r="I274" s="797"/>
      <c r="J274" s="46"/>
    </row>
    <row r="275" spans="1:10" s="781" customFormat="1" ht="20.100000000000001" customHeight="1" x14ac:dyDescent="0.25">
      <c r="A275" s="90"/>
      <c r="B275" s="191" t="s">
        <v>201</v>
      </c>
      <c r="C275" s="780">
        <v>1169309.8899999999</v>
      </c>
      <c r="D275" s="780" t="s">
        <v>55</v>
      </c>
      <c r="E275" s="650" t="s">
        <v>1482</v>
      </c>
      <c r="F275" s="797"/>
      <c r="G275" s="797"/>
      <c r="H275" s="797"/>
      <c r="I275" s="797"/>
      <c r="J275" s="46"/>
    </row>
    <row r="276" spans="1:10" s="781" customFormat="1" ht="20.100000000000001" customHeight="1" x14ac:dyDescent="0.25">
      <c r="A276" s="90"/>
      <c r="B276" s="191" t="s">
        <v>201</v>
      </c>
      <c r="C276" s="780">
        <f>13684444.04+2446.61</f>
        <v>13686890.649999999</v>
      </c>
      <c r="D276" s="780" t="s">
        <v>55</v>
      </c>
      <c r="E276" s="797" t="s">
        <v>1483</v>
      </c>
      <c r="F276" s="797"/>
      <c r="G276" s="797"/>
      <c r="H276" s="797"/>
      <c r="I276" s="797"/>
      <c r="J276" s="46"/>
    </row>
    <row r="277" spans="1:10" s="781" customFormat="1" ht="20.100000000000001" customHeight="1" x14ac:dyDescent="0.25">
      <c r="B277" s="755" t="s">
        <v>50</v>
      </c>
      <c r="C277" s="780">
        <v>7875387.29</v>
      </c>
      <c r="D277" s="780" t="s">
        <v>55</v>
      </c>
      <c r="E277" s="797" t="s">
        <v>1484</v>
      </c>
      <c r="F277" s="780"/>
      <c r="G277" s="780"/>
      <c r="H277" s="780"/>
      <c r="I277" s="780"/>
      <c r="J277" s="797"/>
    </row>
    <row r="278" spans="1:10" s="781" customFormat="1" ht="20.100000000000001" customHeight="1" thickBot="1" x14ac:dyDescent="0.3">
      <c r="B278" s="755"/>
      <c r="C278" s="795">
        <f>SUM(C273:C277)</f>
        <v>23365617.549999997</v>
      </c>
      <c r="D278" s="769" t="s">
        <v>55</v>
      </c>
      <c r="E278" s="780"/>
      <c r="F278" s="780"/>
      <c r="G278" s="780"/>
      <c r="H278" s="782"/>
      <c r="I278" s="780"/>
      <c r="J278" s="780"/>
    </row>
    <row r="279" spans="1:10" s="781" customFormat="1" ht="20.100000000000001" customHeight="1" thickTop="1" x14ac:dyDescent="0.25">
      <c r="B279" s="755"/>
      <c r="C279" s="769"/>
      <c r="D279" s="769"/>
      <c r="E279" s="780"/>
      <c r="F279" s="780"/>
      <c r="G279" s="780"/>
      <c r="H279" s="782"/>
      <c r="I279" s="780"/>
      <c r="J279" s="780"/>
    </row>
    <row r="280" spans="1:10" s="781" customFormat="1" ht="16.5" x14ac:dyDescent="0.25">
      <c r="A280" s="31" t="s">
        <v>176</v>
      </c>
      <c r="B280" s="135" t="s">
        <v>1485</v>
      </c>
      <c r="C280" s="36" t="s">
        <v>52</v>
      </c>
      <c r="D280" s="769"/>
      <c r="F280" s="780"/>
      <c r="G280" s="780"/>
      <c r="H280" s="782"/>
      <c r="I280" s="769"/>
      <c r="J280" s="48"/>
    </row>
    <row r="281" spans="1:10" s="781" customFormat="1" ht="20.100000000000001" customHeight="1" x14ac:dyDescent="0.25">
      <c r="A281" s="90"/>
      <c r="B281" s="191" t="s">
        <v>1048</v>
      </c>
      <c r="C281" s="780">
        <v>245211.11999999997</v>
      </c>
      <c r="D281" s="780" t="s">
        <v>55</v>
      </c>
      <c r="E281" s="797" t="s">
        <v>1486</v>
      </c>
      <c r="F281" s="797"/>
      <c r="G281" s="797"/>
      <c r="H281" s="797"/>
      <c r="I281" s="797"/>
      <c r="J281" s="46"/>
    </row>
    <row r="282" spans="1:10" s="781" customFormat="1" ht="20.100000000000001" customHeight="1" x14ac:dyDescent="0.25">
      <c r="A282" s="90"/>
      <c r="B282" s="190" t="s">
        <v>214</v>
      </c>
      <c r="C282" s="780">
        <v>1658.91</v>
      </c>
      <c r="D282" s="780" t="s">
        <v>55</v>
      </c>
      <c r="E282" s="797" t="s">
        <v>1049</v>
      </c>
      <c r="F282" s="797"/>
      <c r="G282" s="797"/>
      <c r="H282" s="797"/>
      <c r="I282" s="797"/>
      <c r="J282" s="46"/>
    </row>
    <row r="283" spans="1:10" s="781" customFormat="1" ht="16.5" x14ac:dyDescent="0.25">
      <c r="B283" s="190" t="s">
        <v>214</v>
      </c>
      <c r="C283" s="780">
        <v>548601.02</v>
      </c>
      <c r="D283" s="780" t="s">
        <v>55</v>
      </c>
      <c r="E283" s="797" t="s">
        <v>1487</v>
      </c>
      <c r="F283" s="780"/>
      <c r="G283" s="780"/>
      <c r="H283" s="782"/>
      <c r="I283" s="780"/>
      <c r="J283" s="780"/>
    </row>
    <row r="284" spans="1:10" ht="20.100000000000001" customHeight="1" thickBot="1" x14ac:dyDescent="0.3">
      <c r="C284" s="795">
        <f>SUM(C281:C283)</f>
        <v>795471.05</v>
      </c>
      <c r="D284" s="769" t="s">
        <v>55</v>
      </c>
    </row>
    <row r="285" spans="1:10" ht="20.100000000000001" customHeight="1" thickTop="1" x14ac:dyDescent="0.25"/>
  </sheetData>
  <mergeCells count="12">
    <mergeCell ref="A261:J262"/>
    <mergeCell ref="A233:J234"/>
    <mergeCell ref="A1:J2"/>
    <mergeCell ref="A22:J23"/>
    <mergeCell ref="A44:J45"/>
    <mergeCell ref="A64:J65"/>
    <mergeCell ref="A86:J87"/>
    <mergeCell ref="A205:J206"/>
    <mergeCell ref="A179:J180"/>
    <mergeCell ref="A152:J153"/>
    <mergeCell ref="A129:J130"/>
    <mergeCell ref="A107:J10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opLeftCell="A176" workbookViewId="0">
      <selection activeCell="F194" sqref="F194"/>
    </sheetView>
  </sheetViews>
  <sheetFormatPr defaultRowHeight="20.100000000000001" customHeight="1" x14ac:dyDescent="0.3"/>
  <cols>
    <col min="1" max="1" width="26" style="801" customWidth="1"/>
    <col min="2" max="10" width="20.7109375" style="801" customWidth="1"/>
    <col min="11" max="16384" width="9.140625" style="801"/>
  </cols>
  <sheetData>
    <row r="1" spans="1:12" s="330" customFormat="1" ht="20.100000000000001" customHeight="1" x14ac:dyDescent="0.25">
      <c r="A1" s="899" t="s">
        <v>173</v>
      </c>
      <c r="B1" s="899"/>
      <c r="C1" s="899"/>
      <c r="D1" s="899"/>
      <c r="E1" s="899"/>
      <c r="F1" s="899"/>
      <c r="G1" s="899"/>
      <c r="H1" s="899"/>
      <c r="I1" s="899"/>
      <c r="J1" s="899"/>
    </row>
    <row r="2" spans="1:12" s="781" customFormat="1" ht="20.100000000000001" customHeight="1" thickBot="1" x14ac:dyDescent="0.3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41"/>
      <c r="L2" s="780"/>
    </row>
    <row r="3" spans="1:12" s="781" customFormat="1" ht="50.25" thickBot="1" x14ac:dyDescent="0.3">
      <c r="A3" s="783" t="s">
        <v>81</v>
      </c>
      <c r="B3" s="752" t="s">
        <v>40</v>
      </c>
      <c r="C3" s="830" t="s">
        <v>172</v>
      </c>
      <c r="D3" s="830" t="s">
        <v>42</v>
      </c>
      <c r="E3" s="830" t="s">
        <v>43</v>
      </c>
      <c r="F3" s="752" t="s">
        <v>44</v>
      </c>
      <c r="G3" s="752" t="s">
        <v>20</v>
      </c>
      <c r="H3" s="752" t="s">
        <v>174</v>
      </c>
      <c r="I3" s="784" t="s">
        <v>61</v>
      </c>
      <c r="J3" s="830" t="s">
        <v>46</v>
      </c>
    </row>
    <row r="4" spans="1:12" s="781" customFormat="1" ht="20.100000000000001" customHeight="1" x14ac:dyDescent="0.25">
      <c r="A4" s="786" t="s">
        <v>175</v>
      </c>
      <c r="B4" s="331">
        <f>SUM('[3]ปี 63'!I186)</f>
        <v>18314197.430012345</v>
      </c>
      <c r="C4" s="377">
        <f>310448762.030001+27530847.68</f>
        <v>337979609.71000099</v>
      </c>
      <c r="D4" s="789">
        <v>131683570.63</v>
      </c>
      <c r="E4" s="789">
        <f>527593.94-0.39</f>
        <v>527593.54999999993</v>
      </c>
      <c r="F4" s="377">
        <f>B4+C4-D4-E4</f>
        <v>224082642.96001333</v>
      </c>
      <c r="G4" s="332">
        <v>196476220</v>
      </c>
      <c r="H4" s="789">
        <f>G4/F4*100</f>
        <v>87.680249306529461</v>
      </c>
      <c r="I4" s="333">
        <f>F4-G4</f>
        <v>27606422.96001333</v>
      </c>
      <c r="J4" s="789">
        <f>I4/F4*100</f>
        <v>12.319750693470528</v>
      </c>
      <c r="K4" s="780"/>
    </row>
    <row r="5" spans="1:12" s="781" customFormat="1" ht="20.100000000000001" customHeight="1" x14ac:dyDescent="0.25">
      <c r="A5" s="334" t="s">
        <v>50</v>
      </c>
      <c r="B5" s="331">
        <f>SUM('[3]ปี 63'!I187)</f>
        <v>37534459.090000689</v>
      </c>
      <c r="C5" s="335">
        <f>355622055.55+30087791.91</f>
        <v>385709847.46000004</v>
      </c>
      <c r="D5" s="792">
        <v>56738667.899999999</v>
      </c>
      <c r="E5" s="792">
        <v>39751.230000000003</v>
      </c>
      <c r="F5" s="377">
        <f>B5+C5-D5-E5</f>
        <v>366465887.42000073</v>
      </c>
      <c r="G5" s="792">
        <v>336378095.51000005</v>
      </c>
      <c r="H5" s="789">
        <f>G5/F5*100</f>
        <v>91.789742799302473</v>
      </c>
      <c r="I5" s="788">
        <f>F5-G5</f>
        <v>30087791.910000682</v>
      </c>
      <c r="J5" s="789">
        <f>I5/F5*100</f>
        <v>8.2102572006975212</v>
      </c>
    </row>
    <row r="6" spans="1:12" s="33" customFormat="1" ht="20.100000000000001" customHeight="1" thickBot="1" x14ac:dyDescent="0.3">
      <c r="A6" s="336" t="s">
        <v>36</v>
      </c>
      <c r="B6" s="239">
        <f t="shared" ref="B6" si="0">SUM(B4:B5)</f>
        <v>55848656.520013034</v>
      </c>
      <c r="C6" s="239">
        <f t="shared" ref="C6:G6" si="1">SUM(C4:C5)</f>
        <v>723689457.17000103</v>
      </c>
      <c r="D6" s="766">
        <f t="shared" si="1"/>
        <v>188422238.53</v>
      </c>
      <c r="E6" s="766">
        <f t="shared" si="1"/>
        <v>567344.77999999991</v>
      </c>
      <c r="F6" s="239">
        <f t="shared" si="1"/>
        <v>590548530.38001406</v>
      </c>
      <c r="G6" s="766">
        <f t="shared" si="1"/>
        <v>532854315.51000005</v>
      </c>
      <c r="H6" s="766">
        <f>G6/F6*100</f>
        <v>90.230402430620188</v>
      </c>
      <c r="I6" s="765">
        <f>SUM(I4:I5)</f>
        <v>57694214.870014012</v>
      </c>
      <c r="J6" s="766">
        <f>I6/F6*100</f>
        <v>9.7695975693798047</v>
      </c>
    </row>
    <row r="7" spans="1:12" s="781" customFormat="1" ht="20.100000000000001" customHeight="1" thickTop="1" x14ac:dyDescent="0.25">
      <c r="A7" s="793"/>
      <c r="B7" s="34"/>
      <c r="C7" s="34"/>
      <c r="D7" s="365"/>
      <c r="E7" s="365"/>
      <c r="F7" s="34"/>
      <c r="G7" s="365"/>
      <c r="H7" s="365"/>
      <c r="I7" s="362"/>
      <c r="J7" s="365"/>
    </row>
    <row r="8" spans="1:12" s="781" customFormat="1" ht="20.100000000000001" customHeight="1" x14ac:dyDescent="0.25">
      <c r="A8" s="767" t="s">
        <v>37</v>
      </c>
      <c r="B8" s="798"/>
      <c r="C8" s="797"/>
      <c r="D8" s="797"/>
      <c r="E8" s="797"/>
      <c r="F8" s="797"/>
      <c r="G8" s="797"/>
      <c r="H8" s="797"/>
      <c r="I8" s="782"/>
      <c r="J8" s="755"/>
    </row>
    <row r="9" spans="1:12" s="781" customFormat="1" ht="20.100000000000001" customHeight="1" x14ac:dyDescent="0.25">
      <c r="A9" s="31" t="s">
        <v>176</v>
      </c>
      <c r="B9" s="36" t="s">
        <v>52</v>
      </c>
      <c r="D9" s="797"/>
      <c r="E9" s="797"/>
      <c r="F9" s="797"/>
      <c r="G9" s="797"/>
      <c r="H9" s="797"/>
      <c r="I9" s="782"/>
      <c r="J9" s="755"/>
    </row>
    <row r="10" spans="1:12" s="781" customFormat="1" ht="20.100000000000001" customHeight="1" x14ac:dyDescent="0.25">
      <c r="B10" s="755" t="s">
        <v>47</v>
      </c>
      <c r="C10" s="797">
        <v>3708.01</v>
      </c>
      <c r="D10" s="797" t="s">
        <v>136</v>
      </c>
      <c r="E10" s="797" t="s">
        <v>177</v>
      </c>
      <c r="F10" s="797"/>
      <c r="G10" s="797"/>
      <c r="H10" s="754"/>
      <c r="J10" s="755"/>
    </row>
    <row r="11" spans="1:12" s="781" customFormat="1" ht="20.100000000000001" customHeight="1" x14ac:dyDescent="0.25">
      <c r="B11" s="755" t="s">
        <v>47</v>
      </c>
      <c r="C11" s="797">
        <v>75575.28</v>
      </c>
      <c r="D11" s="797" t="s">
        <v>136</v>
      </c>
      <c r="E11" s="797" t="s">
        <v>178</v>
      </c>
      <c r="F11" s="797"/>
      <c r="G11" s="797"/>
      <c r="H11" s="754"/>
      <c r="J11" s="755"/>
    </row>
    <row r="12" spans="1:12" s="781" customFormat="1" ht="20.100000000000001" customHeight="1" x14ac:dyDescent="0.25">
      <c r="B12" s="755" t="s">
        <v>47</v>
      </c>
      <c r="C12" s="797">
        <v>27527139.669999994</v>
      </c>
      <c r="D12" s="797" t="s">
        <v>136</v>
      </c>
      <c r="E12" s="797" t="s">
        <v>179</v>
      </c>
      <c r="F12" s="797"/>
      <c r="G12" s="797"/>
      <c r="H12" s="754"/>
      <c r="J12" s="755"/>
    </row>
    <row r="13" spans="1:12" s="781" customFormat="1" ht="20.100000000000001" customHeight="1" x14ac:dyDescent="0.25">
      <c r="B13" s="755" t="s">
        <v>50</v>
      </c>
      <c r="C13" s="797">
        <v>30087791.909999993</v>
      </c>
      <c r="D13" s="797" t="s">
        <v>136</v>
      </c>
      <c r="E13" s="797" t="s">
        <v>179</v>
      </c>
      <c r="G13" s="797"/>
      <c r="H13" s="754"/>
      <c r="J13" s="755"/>
    </row>
    <row r="14" spans="1:12" s="781" customFormat="1" ht="20.100000000000001" customHeight="1" thickBot="1" x14ac:dyDescent="0.3">
      <c r="B14" s="755"/>
      <c r="C14" s="337">
        <f>SUM(C10:C13)</f>
        <v>57694214.86999999</v>
      </c>
      <c r="D14" s="36" t="s">
        <v>136</v>
      </c>
      <c r="E14" s="797"/>
      <c r="F14" s="797"/>
      <c r="G14" s="797"/>
      <c r="H14" s="754"/>
      <c r="J14" s="755"/>
    </row>
    <row r="15" spans="1:12" ht="20.100000000000001" customHeight="1" thickTop="1" x14ac:dyDescent="0.3"/>
    <row r="17" spans="1:12" s="330" customFormat="1" ht="20.100000000000001" customHeight="1" x14ac:dyDescent="0.25">
      <c r="A17" s="899" t="s">
        <v>288</v>
      </c>
      <c r="B17" s="899"/>
      <c r="C17" s="899"/>
      <c r="D17" s="899"/>
      <c r="E17" s="899"/>
      <c r="F17" s="899"/>
      <c r="G17" s="899"/>
      <c r="H17" s="899"/>
      <c r="I17" s="899"/>
      <c r="J17" s="899"/>
    </row>
    <row r="18" spans="1:12" s="781" customFormat="1" ht="20.100000000000001" customHeight="1" thickBot="1" x14ac:dyDescent="0.3">
      <c r="A18" s="900"/>
      <c r="B18" s="900"/>
      <c r="C18" s="900"/>
      <c r="D18" s="900"/>
      <c r="E18" s="900"/>
      <c r="F18" s="900"/>
      <c r="G18" s="900"/>
      <c r="H18" s="900"/>
      <c r="I18" s="900"/>
      <c r="J18" s="900"/>
      <c r="K18" s="41"/>
      <c r="L18" s="780"/>
    </row>
    <row r="19" spans="1:12" s="781" customFormat="1" ht="50.25" thickBot="1" x14ac:dyDescent="0.3">
      <c r="A19" s="783" t="s">
        <v>282</v>
      </c>
      <c r="B19" s="752" t="s">
        <v>40</v>
      </c>
      <c r="C19" s="830" t="s">
        <v>289</v>
      </c>
      <c r="D19" s="830" t="s">
        <v>42</v>
      </c>
      <c r="E19" s="830" t="s">
        <v>43</v>
      </c>
      <c r="F19" s="752" t="s">
        <v>44</v>
      </c>
      <c r="G19" s="752" t="s">
        <v>20</v>
      </c>
      <c r="H19" s="752" t="s">
        <v>174</v>
      </c>
      <c r="I19" s="784" t="s">
        <v>61</v>
      </c>
      <c r="J19" s="830" t="s">
        <v>46</v>
      </c>
    </row>
    <row r="20" spans="1:12" s="781" customFormat="1" ht="20.100000000000001" customHeight="1" x14ac:dyDescent="0.25">
      <c r="A20" s="786" t="s">
        <v>175</v>
      </c>
      <c r="B20" s="331">
        <f>SUM(I4)</f>
        <v>27606422.96001333</v>
      </c>
      <c r="C20" s="377">
        <f>310438715.99+12050697.31</f>
        <v>322489413.30000001</v>
      </c>
      <c r="D20" s="789">
        <v>3398772.87</v>
      </c>
      <c r="E20" s="789">
        <v>1104144.01</v>
      </c>
      <c r="F20" s="377">
        <f>B20+C20-D20-E20</f>
        <v>345592919.38001335</v>
      </c>
      <c r="G20" s="332">
        <f>333458864.39+30977.06</f>
        <v>333489841.44999999</v>
      </c>
      <c r="H20" s="789">
        <f>G20/F20*100</f>
        <v>96.497880236746155</v>
      </c>
      <c r="I20" s="333">
        <f>F20-G20</f>
        <v>12103077.930013359</v>
      </c>
      <c r="J20" s="789">
        <f>I20/F20*100</f>
        <v>3.5021197632538401</v>
      </c>
      <c r="K20" s="780"/>
    </row>
    <row r="21" spans="1:12" s="781" customFormat="1" ht="20.100000000000001" customHeight="1" x14ac:dyDescent="0.25">
      <c r="A21" s="334" t="s">
        <v>50</v>
      </c>
      <c r="B21" s="331">
        <f>SUM(I5)</f>
        <v>30087791.910000682</v>
      </c>
      <c r="C21" s="335">
        <f>402373998.98+26265850.2</f>
        <v>428639849.18000001</v>
      </c>
      <c r="D21" s="792">
        <v>10434048.470000001</v>
      </c>
      <c r="E21" s="792">
        <v>354256.62</v>
      </c>
      <c r="F21" s="377">
        <f>B21+C21-D21-E21</f>
        <v>447939336.00000066</v>
      </c>
      <c r="G21" s="792">
        <v>421673485.80000001</v>
      </c>
      <c r="H21" s="789">
        <f>G21/F21*100</f>
        <v>94.136293000175229</v>
      </c>
      <c r="I21" s="788">
        <f>F21-G21</f>
        <v>26265850.200000644</v>
      </c>
      <c r="J21" s="789">
        <f>I21/F21*100</f>
        <v>5.8637069998247719</v>
      </c>
    </row>
    <row r="22" spans="1:12" s="33" customFormat="1" ht="20.100000000000001" customHeight="1" thickBot="1" x14ac:dyDescent="0.3">
      <c r="A22" s="336" t="s">
        <v>36</v>
      </c>
      <c r="B22" s="239">
        <f t="shared" ref="B22" si="2">SUM(B20:B21)</f>
        <v>57694214.870014012</v>
      </c>
      <c r="C22" s="239">
        <f t="shared" ref="C22:G22" si="3">SUM(C20:C21)</f>
        <v>751129262.48000002</v>
      </c>
      <c r="D22" s="766">
        <f t="shared" si="3"/>
        <v>13832821.34</v>
      </c>
      <c r="E22" s="766">
        <f t="shared" si="3"/>
        <v>1458400.63</v>
      </c>
      <c r="F22" s="239">
        <f t="shared" si="3"/>
        <v>793532255.38001394</v>
      </c>
      <c r="G22" s="766">
        <f t="shared" si="3"/>
        <v>755163327.25</v>
      </c>
      <c r="H22" s="766">
        <f>G22/F22*100</f>
        <v>95.164792877683396</v>
      </c>
      <c r="I22" s="765">
        <f>SUM(I20:I21)</f>
        <v>38368928.130014002</v>
      </c>
      <c r="J22" s="766">
        <f>I22/F22*100</f>
        <v>4.8352071223166027</v>
      </c>
    </row>
    <row r="23" spans="1:12" s="781" customFormat="1" ht="20.100000000000001" customHeight="1" thickTop="1" x14ac:dyDescent="0.25">
      <c r="A23" s="793"/>
      <c r="B23" s="34"/>
      <c r="C23" s="34"/>
      <c r="D23" s="365"/>
      <c r="E23" s="365"/>
      <c r="F23" s="34"/>
      <c r="G23" s="365"/>
      <c r="H23" s="365"/>
      <c r="I23" s="362"/>
      <c r="J23" s="365"/>
    </row>
    <row r="24" spans="1:12" s="781" customFormat="1" ht="20.100000000000001" customHeight="1" x14ac:dyDescent="0.25">
      <c r="A24" s="767" t="s">
        <v>37</v>
      </c>
      <c r="B24" s="798"/>
      <c r="C24" s="797"/>
      <c r="D24" s="797"/>
      <c r="E24" s="797"/>
      <c r="F24" s="797"/>
      <c r="G24" s="797"/>
      <c r="H24" s="797"/>
      <c r="I24" s="782"/>
      <c r="J24" s="755"/>
    </row>
    <row r="25" spans="1:12" s="781" customFormat="1" ht="20.100000000000001" customHeight="1" x14ac:dyDescent="0.25">
      <c r="A25" s="31" t="s">
        <v>176</v>
      </c>
      <c r="B25" s="36" t="s">
        <v>52</v>
      </c>
      <c r="D25" s="797"/>
      <c r="E25" s="797"/>
      <c r="F25" s="797"/>
      <c r="G25" s="797"/>
      <c r="H25" s="797"/>
      <c r="I25" s="782"/>
      <c r="J25" s="755"/>
    </row>
    <row r="26" spans="1:12" s="781" customFormat="1" ht="20.100000000000001" customHeight="1" x14ac:dyDescent="0.25">
      <c r="B26" s="755" t="s">
        <v>47</v>
      </c>
      <c r="C26" s="797">
        <v>3708.01</v>
      </c>
      <c r="D26" s="797" t="s">
        <v>136</v>
      </c>
      <c r="E26" s="797" t="s">
        <v>177</v>
      </c>
      <c r="F26" s="797"/>
      <c r="G26" s="797"/>
      <c r="H26" s="754"/>
      <c r="J26" s="755"/>
    </row>
    <row r="27" spans="1:12" s="781" customFormat="1" ht="20.100000000000001" customHeight="1" x14ac:dyDescent="0.25">
      <c r="B27" s="755" t="s">
        <v>47</v>
      </c>
      <c r="C27" s="797">
        <v>48672.610000000008</v>
      </c>
      <c r="D27" s="797" t="s">
        <v>136</v>
      </c>
      <c r="E27" s="797" t="s">
        <v>178</v>
      </c>
      <c r="F27" s="797"/>
      <c r="G27" s="797"/>
      <c r="H27" s="754"/>
      <c r="J27" s="755"/>
    </row>
    <row r="28" spans="1:12" s="781" customFormat="1" ht="20.100000000000001" customHeight="1" x14ac:dyDescent="0.25">
      <c r="B28" s="755" t="s">
        <v>47</v>
      </c>
      <c r="C28" s="797">
        <v>12050697.309999997</v>
      </c>
      <c r="D28" s="797" t="s">
        <v>136</v>
      </c>
      <c r="E28" s="797" t="s">
        <v>290</v>
      </c>
      <c r="F28" s="797"/>
      <c r="G28" s="797"/>
      <c r="H28" s="754"/>
      <c r="J28" s="755"/>
    </row>
    <row r="29" spans="1:12" s="781" customFormat="1" ht="20.100000000000001" customHeight="1" x14ac:dyDescent="0.25">
      <c r="B29" s="755" t="s">
        <v>291</v>
      </c>
      <c r="C29" s="797">
        <v>4307170.3800000008</v>
      </c>
      <c r="D29" s="797" t="s">
        <v>136</v>
      </c>
      <c r="E29" s="797" t="s">
        <v>292</v>
      </c>
      <c r="G29" s="797"/>
      <c r="H29" s="754"/>
      <c r="J29" s="755"/>
    </row>
    <row r="30" spans="1:12" s="781" customFormat="1" ht="20.100000000000001" customHeight="1" x14ac:dyDescent="0.25">
      <c r="B30" s="755" t="s">
        <v>50</v>
      </c>
      <c r="C30" s="797">
        <v>21958679.82</v>
      </c>
      <c r="D30" s="797" t="s">
        <v>136</v>
      </c>
      <c r="E30" s="797" t="s">
        <v>293</v>
      </c>
      <c r="G30" s="797"/>
      <c r="H30" s="754"/>
      <c r="J30" s="755"/>
    </row>
    <row r="31" spans="1:12" s="781" customFormat="1" ht="20.100000000000001" customHeight="1" thickBot="1" x14ac:dyDescent="0.3">
      <c r="B31" s="755"/>
      <c r="C31" s="337">
        <f>SUM(C26:C30)</f>
        <v>38368928.129999995</v>
      </c>
      <c r="D31" s="36" t="s">
        <v>136</v>
      </c>
      <c r="E31" s="797"/>
      <c r="F31" s="797"/>
      <c r="G31" s="797"/>
      <c r="H31" s="754"/>
      <c r="J31" s="755"/>
    </row>
    <row r="32" spans="1:12" ht="20.100000000000001" customHeight="1" thickTop="1" x14ac:dyDescent="0.3"/>
    <row r="33" spans="1:12" ht="21.75" customHeight="1" x14ac:dyDescent="0.3"/>
    <row r="34" spans="1:12" s="330" customFormat="1" ht="20.100000000000001" customHeight="1" x14ac:dyDescent="0.25">
      <c r="A34" s="899" t="s">
        <v>458</v>
      </c>
      <c r="B34" s="899"/>
      <c r="C34" s="899"/>
      <c r="D34" s="899"/>
      <c r="E34" s="899"/>
      <c r="F34" s="899"/>
      <c r="G34" s="899"/>
      <c r="H34" s="899"/>
      <c r="I34" s="899"/>
      <c r="J34" s="899"/>
    </row>
    <row r="35" spans="1:12" s="781" customFormat="1" ht="20.100000000000001" customHeight="1" thickBot="1" x14ac:dyDescent="0.3">
      <c r="A35" s="900"/>
      <c r="B35" s="900"/>
      <c r="C35" s="900"/>
      <c r="D35" s="900"/>
      <c r="E35" s="900"/>
      <c r="F35" s="900"/>
      <c r="G35" s="900"/>
      <c r="H35" s="900"/>
      <c r="I35" s="900"/>
      <c r="J35" s="900"/>
      <c r="K35" s="41"/>
      <c r="L35" s="780"/>
    </row>
    <row r="36" spans="1:12" s="781" customFormat="1" ht="50.25" thickBot="1" x14ac:dyDescent="0.3">
      <c r="A36" s="783" t="s">
        <v>436</v>
      </c>
      <c r="B36" s="752" t="s">
        <v>40</v>
      </c>
      <c r="C36" s="830" t="s">
        <v>400</v>
      </c>
      <c r="D36" s="830" t="s">
        <v>42</v>
      </c>
      <c r="E36" s="830" t="s">
        <v>43</v>
      </c>
      <c r="F36" s="752" t="s">
        <v>44</v>
      </c>
      <c r="G36" s="752" t="s">
        <v>20</v>
      </c>
      <c r="H36" s="752" t="s">
        <v>174</v>
      </c>
      <c r="I36" s="784" t="s">
        <v>61</v>
      </c>
      <c r="J36" s="830" t="s">
        <v>46</v>
      </c>
    </row>
    <row r="37" spans="1:12" s="781" customFormat="1" ht="20.100000000000001" customHeight="1" x14ac:dyDescent="0.25">
      <c r="A37" s="786" t="s">
        <v>175</v>
      </c>
      <c r="B37" s="331">
        <f>SUM(I20)</f>
        <v>12103077.930013359</v>
      </c>
      <c r="C37" s="377">
        <f>360563608.35+17422903.57</f>
        <v>377986511.92000002</v>
      </c>
      <c r="D37" s="789">
        <v>129024878.25</v>
      </c>
      <c r="E37" s="789">
        <v>916661.42</v>
      </c>
      <c r="F37" s="377">
        <f>B37+C37-D37-E37</f>
        <v>260148050.18001339</v>
      </c>
      <c r="G37" s="332">
        <v>242708877.41999999</v>
      </c>
      <c r="H37" s="789">
        <f>G37/F37*100</f>
        <v>93.296443026212913</v>
      </c>
      <c r="I37" s="333">
        <f>F37-G37</f>
        <v>17439172.760013402</v>
      </c>
      <c r="J37" s="789">
        <f>I37/F37*100</f>
        <v>6.703556973787081</v>
      </c>
      <c r="K37" s="780"/>
    </row>
    <row r="38" spans="1:12" s="781" customFormat="1" ht="20.100000000000001" customHeight="1" x14ac:dyDescent="0.25">
      <c r="A38" s="334" t="s">
        <v>50</v>
      </c>
      <c r="B38" s="331">
        <f>SUM(I21)</f>
        <v>26265850.200000644</v>
      </c>
      <c r="C38" s="335">
        <f>191220343.36+1682870.86</f>
        <v>192903214.22000003</v>
      </c>
      <c r="D38" s="792">
        <v>48464713.369999997</v>
      </c>
      <c r="E38" s="792">
        <v>88569.49</v>
      </c>
      <c r="F38" s="377">
        <f>B38+C38-D38-E38</f>
        <v>170615781.56000066</v>
      </c>
      <c r="G38" s="792">
        <v>168932910.69999999</v>
      </c>
      <c r="H38" s="789">
        <f>G38/F38*100</f>
        <v>99.013648769994433</v>
      </c>
      <c r="I38" s="788">
        <f>F38-G38</f>
        <v>1682870.86000067</v>
      </c>
      <c r="J38" s="789">
        <f>I38/F38*100</f>
        <v>0.98635123000556235</v>
      </c>
    </row>
    <row r="39" spans="1:12" s="33" customFormat="1" ht="20.100000000000001" customHeight="1" thickBot="1" x14ac:dyDescent="0.3">
      <c r="A39" s="336" t="s">
        <v>36</v>
      </c>
      <c r="B39" s="239">
        <f t="shared" ref="B39" si="4">SUM(B37:B38)</f>
        <v>38368928.130014002</v>
      </c>
      <c r="C39" s="239">
        <f>SUM(C37:C38)</f>
        <v>570889726.1400001</v>
      </c>
      <c r="D39" s="766">
        <f t="shared" ref="D39:G39" si="5">SUM(D37:D38)</f>
        <v>177489591.62</v>
      </c>
      <c r="E39" s="766">
        <f t="shared" si="5"/>
        <v>1005230.91</v>
      </c>
      <c r="F39" s="239">
        <f t="shared" si="5"/>
        <v>430763831.74001408</v>
      </c>
      <c r="G39" s="766">
        <f t="shared" si="5"/>
        <v>411641788.12</v>
      </c>
      <c r="H39" s="766">
        <f>G39/F39*100</f>
        <v>95.560898522335762</v>
      </c>
      <c r="I39" s="765">
        <f>SUM(I37:I38)</f>
        <v>19122043.620014071</v>
      </c>
      <c r="J39" s="766">
        <f>I39/F39*100</f>
        <v>4.4391014776642415</v>
      </c>
    </row>
    <row r="40" spans="1:12" s="781" customFormat="1" ht="20.100000000000001" customHeight="1" thickTop="1" x14ac:dyDescent="0.25">
      <c r="A40" s="793"/>
      <c r="B40" s="34"/>
      <c r="C40" s="34"/>
      <c r="D40" s="365"/>
      <c r="E40" s="365"/>
      <c r="F40" s="34"/>
      <c r="G40" s="365"/>
      <c r="H40" s="365"/>
      <c r="I40" s="362"/>
      <c r="J40" s="365"/>
    </row>
    <row r="41" spans="1:12" s="781" customFormat="1" ht="20.100000000000001" customHeight="1" x14ac:dyDescent="0.25">
      <c r="A41" s="767" t="s">
        <v>37</v>
      </c>
      <c r="B41" s="798"/>
      <c r="C41" s="797"/>
      <c r="D41" s="797"/>
      <c r="E41" s="797"/>
      <c r="F41" s="797"/>
      <c r="G41" s="797"/>
      <c r="H41" s="797"/>
      <c r="I41" s="782"/>
      <c r="J41" s="755"/>
    </row>
    <row r="42" spans="1:12" s="781" customFormat="1" ht="20.100000000000001" customHeight="1" x14ac:dyDescent="0.25">
      <c r="A42" s="31" t="s">
        <v>176</v>
      </c>
      <c r="B42" s="36" t="s">
        <v>52</v>
      </c>
      <c r="D42" s="797"/>
      <c r="E42" s="797"/>
      <c r="F42" s="797"/>
      <c r="G42" s="797"/>
      <c r="H42" s="797"/>
      <c r="I42" s="782"/>
      <c r="J42" s="755"/>
    </row>
    <row r="43" spans="1:12" s="781" customFormat="1" ht="20.100000000000001" customHeight="1" x14ac:dyDescent="0.25">
      <c r="B43" s="755" t="s">
        <v>47</v>
      </c>
      <c r="C43" s="797">
        <v>3708.01</v>
      </c>
      <c r="D43" s="797" t="s">
        <v>136</v>
      </c>
      <c r="E43" s="797" t="s">
        <v>177</v>
      </c>
      <c r="F43" s="797"/>
      <c r="G43" s="797"/>
      <c r="H43" s="754"/>
      <c r="J43" s="755"/>
    </row>
    <row r="44" spans="1:12" s="781" customFormat="1" ht="20.100000000000001" customHeight="1" x14ac:dyDescent="0.25">
      <c r="B44" s="755" t="s">
        <v>47</v>
      </c>
      <c r="C44" s="797">
        <v>48672.610000000008</v>
      </c>
      <c r="D44" s="797" t="s">
        <v>136</v>
      </c>
      <c r="E44" s="797" t="s">
        <v>178</v>
      </c>
      <c r="F44" s="797"/>
      <c r="G44" s="797"/>
      <c r="H44" s="754"/>
      <c r="J44" s="755"/>
    </row>
    <row r="45" spans="1:12" s="781" customFormat="1" ht="20.100000000000001" customHeight="1" x14ac:dyDescent="0.25">
      <c r="B45" s="755" t="s">
        <v>47</v>
      </c>
      <c r="C45" s="797">
        <v>17386792.140000001</v>
      </c>
      <c r="D45" s="797" t="s">
        <v>136</v>
      </c>
      <c r="E45" s="797" t="s">
        <v>459</v>
      </c>
      <c r="F45" s="797"/>
      <c r="G45" s="797"/>
      <c r="H45" s="754"/>
      <c r="J45" s="755"/>
    </row>
    <row r="46" spans="1:12" s="781" customFormat="1" ht="20.100000000000001" customHeight="1" x14ac:dyDescent="0.25">
      <c r="B46" s="755" t="s">
        <v>50</v>
      </c>
      <c r="C46" s="797">
        <v>1682870.8599999999</v>
      </c>
      <c r="D46" s="797" t="s">
        <v>136</v>
      </c>
      <c r="E46" s="797" t="s">
        <v>460</v>
      </c>
      <c r="G46" s="797"/>
      <c r="H46" s="754"/>
      <c r="J46" s="755"/>
    </row>
    <row r="47" spans="1:12" s="781" customFormat="1" ht="20.100000000000001" customHeight="1" thickBot="1" x14ac:dyDescent="0.3">
      <c r="B47" s="755"/>
      <c r="C47" s="337">
        <f>SUM(C43:C46)</f>
        <v>19122043.620000001</v>
      </c>
      <c r="D47" s="36" t="s">
        <v>136</v>
      </c>
      <c r="E47" s="797"/>
      <c r="F47" s="797"/>
      <c r="G47" s="797"/>
      <c r="H47" s="754"/>
      <c r="J47" s="755"/>
    </row>
    <row r="48" spans="1:12" ht="20.100000000000001" customHeight="1" thickTop="1" x14ac:dyDescent="0.3"/>
    <row r="49" spans="1:12" ht="21.75" customHeight="1" x14ac:dyDescent="0.3"/>
    <row r="50" spans="1:12" s="330" customFormat="1" ht="20.100000000000001" customHeight="1" x14ac:dyDescent="0.25">
      <c r="A50" s="899" t="s">
        <v>514</v>
      </c>
      <c r="B50" s="899"/>
      <c r="C50" s="899"/>
      <c r="D50" s="899"/>
      <c r="E50" s="899"/>
      <c r="F50" s="899"/>
      <c r="G50" s="899"/>
      <c r="H50" s="899"/>
      <c r="I50" s="899"/>
      <c r="J50" s="899"/>
    </row>
    <row r="51" spans="1:12" s="781" customFormat="1" ht="20.100000000000001" customHeight="1" thickBot="1" x14ac:dyDescent="0.3">
      <c r="A51" s="900"/>
      <c r="B51" s="900"/>
      <c r="C51" s="900"/>
      <c r="D51" s="900"/>
      <c r="E51" s="900"/>
      <c r="F51" s="900"/>
      <c r="G51" s="900"/>
      <c r="H51" s="900"/>
      <c r="I51" s="900"/>
      <c r="J51" s="900"/>
      <c r="K51" s="41"/>
      <c r="L51" s="780"/>
    </row>
    <row r="52" spans="1:12" s="781" customFormat="1" ht="50.25" thickBot="1" x14ac:dyDescent="0.3">
      <c r="A52" s="783" t="s">
        <v>480</v>
      </c>
      <c r="B52" s="752" t="s">
        <v>40</v>
      </c>
      <c r="C52" s="830" t="s">
        <v>515</v>
      </c>
      <c r="D52" s="830" t="s">
        <v>42</v>
      </c>
      <c r="E52" s="830" t="s">
        <v>43</v>
      </c>
      <c r="F52" s="752" t="s">
        <v>44</v>
      </c>
      <c r="G52" s="752" t="s">
        <v>20</v>
      </c>
      <c r="H52" s="752" t="s">
        <v>174</v>
      </c>
      <c r="I52" s="784" t="s">
        <v>61</v>
      </c>
      <c r="J52" s="830" t="s">
        <v>46</v>
      </c>
    </row>
    <row r="53" spans="1:12" s="781" customFormat="1" ht="20.100000000000001" customHeight="1" x14ac:dyDescent="0.25">
      <c r="A53" s="786" t="s">
        <v>175</v>
      </c>
      <c r="B53" s="331">
        <f>SUM(I37)</f>
        <v>17439172.760013402</v>
      </c>
      <c r="C53" s="377">
        <f>313736193.42+22626083.78</f>
        <v>336362277.20000005</v>
      </c>
      <c r="D53" s="789">
        <v>50681997.399999999</v>
      </c>
      <c r="E53" s="789">
        <v>925203.1</v>
      </c>
      <c r="F53" s="377">
        <f>B53+C53-D53-E53</f>
        <v>302194249.46001345</v>
      </c>
      <c r="G53" s="332">
        <v>279150076.91000003</v>
      </c>
      <c r="H53" s="789">
        <f>G53/F53*100</f>
        <v>92.374384161448901</v>
      </c>
      <c r="I53" s="333">
        <f>F53-G53</f>
        <v>23044172.550013423</v>
      </c>
      <c r="J53" s="789">
        <f>I53/F53*100</f>
        <v>7.6256158385511048</v>
      </c>
      <c r="K53" s="780"/>
    </row>
    <row r="54" spans="1:12" s="781" customFormat="1" ht="20.100000000000001" customHeight="1" x14ac:dyDescent="0.25">
      <c r="A54" s="334" t="s">
        <v>50</v>
      </c>
      <c r="B54" s="331">
        <f>SUM(I38)</f>
        <v>1682870.86000067</v>
      </c>
      <c r="C54" s="335">
        <f>250996079.27+22977758.95</f>
        <v>273973838.22000003</v>
      </c>
      <c r="D54" s="792">
        <v>9555462.4299999997</v>
      </c>
      <c r="E54" s="792">
        <v>403272.69</v>
      </c>
      <c r="F54" s="377">
        <f>B54+C54-D54-E54</f>
        <v>265697973.96000069</v>
      </c>
      <c r="G54" s="792">
        <v>242720215.00999999</v>
      </c>
      <c r="H54" s="789">
        <f>G54/F54*100</f>
        <v>91.35192541834742</v>
      </c>
      <c r="I54" s="788">
        <f>F54-G54</f>
        <v>22977758.950000703</v>
      </c>
      <c r="J54" s="789">
        <f>I54/F54*100</f>
        <v>8.6480745816525779</v>
      </c>
    </row>
    <row r="55" spans="1:12" s="33" customFormat="1" ht="20.100000000000001" customHeight="1" thickBot="1" x14ac:dyDescent="0.3">
      <c r="A55" s="336" t="s">
        <v>36</v>
      </c>
      <c r="B55" s="239">
        <f t="shared" ref="B55" si="6">SUM(B53:B54)</f>
        <v>19122043.620014071</v>
      </c>
      <c r="C55" s="239">
        <f>SUM(C53:C54)</f>
        <v>610336115.42000008</v>
      </c>
      <c r="D55" s="766">
        <f t="shared" ref="D55:G55" si="7">SUM(D53:D54)</f>
        <v>60237459.829999998</v>
      </c>
      <c r="E55" s="766">
        <f t="shared" si="7"/>
        <v>1328475.79</v>
      </c>
      <c r="F55" s="239">
        <f t="shared" si="7"/>
        <v>567892223.42001414</v>
      </c>
      <c r="G55" s="766">
        <f t="shared" si="7"/>
        <v>521870291.92000002</v>
      </c>
      <c r="H55" s="766">
        <f>G55/F55*100</f>
        <v>91.896009559198305</v>
      </c>
      <c r="I55" s="765">
        <f>SUM(I53:I54)</f>
        <v>46021931.500014126</v>
      </c>
      <c r="J55" s="766">
        <f>I55/F55*100</f>
        <v>8.1039904408016916</v>
      </c>
    </row>
    <row r="56" spans="1:12" s="781" customFormat="1" ht="20.100000000000001" customHeight="1" thickTop="1" x14ac:dyDescent="0.25">
      <c r="A56" s="793"/>
      <c r="B56" s="34"/>
      <c r="C56" s="34"/>
      <c r="D56" s="365"/>
      <c r="E56" s="365"/>
      <c r="F56" s="34"/>
      <c r="G56" s="365"/>
      <c r="H56" s="365"/>
      <c r="I56" s="362"/>
      <c r="J56" s="365"/>
    </row>
    <row r="57" spans="1:12" s="781" customFormat="1" ht="20.100000000000001" customHeight="1" x14ac:dyDescent="0.25">
      <c r="A57" s="767" t="s">
        <v>37</v>
      </c>
      <c r="B57" s="798"/>
      <c r="C57" s="797"/>
      <c r="D57" s="797"/>
      <c r="E57" s="797"/>
      <c r="F57" s="797"/>
      <c r="G57" s="797"/>
      <c r="H57" s="797"/>
      <c r="I57" s="782"/>
      <c r="J57" s="755"/>
    </row>
    <row r="58" spans="1:12" s="781" customFormat="1" ht="20.100000000000001" customHeight="1" x14ac:dyDescent="0.25">
      <c r="A58" s="31" t="s">
        <v>176</v>
      </c>
      <c r="B58" s="36" t="s">
        <v>52</v>
      </c>
      <c r="D58" s="797"/>
      <c r="E58" s="797"/>
      <c r="F58" s="797"/>
      <c r="G58" s="797"/>
      <c r="H58" s="797"/>
      <c r="I58" s="782"/>
      <c r="J58" s="755"/>
    </row>
    <row r="59" spans="1:12" s="781" customFormat="1" ht="20.100000000000001" customHeight="1" x14ac:dyDescent="0.25">
      <c r="B59" s="755" t="s">
        <v>47</v>
      </c>
      <c r="C59" s="797">
        <v>419556.36</v>
      </c>
      <c r="D59" s="797" t="s">
        <v>136</v>
      </c>
      <c r="E59" s="797" t="s">
        <v>177</v>
      </c>
      <c r="F59" s="797"/>
      <c r="G59" s="797"/>
      <c r="H59" s="754"/>
      <c r="J59" s="755"/>
    </row>
    <row r="60" spans="1:12" s="781" customFormat="1" ht="20.100000000000001" customHeight="1" x14ac:dyDescent="0.25">
      <c r="B60" s="755" t="s">
        <v>47</v>
      </c>
      <c r="C60" s="797">
        <v>48672.610000000008</v>
      </c>
      <c r="D60" s="797" t="s">
        <v>136</v>
      </c>
      <c r="E60" s="797" t="s">
        <v>178</v>
      </c>
      <c r="F60" s="797"/>
      <c r="G60" s="797"/>
      <c r="H60" s="754"/>
      <c r="J60" s="755"/>
    </row>
    <row r="61" spans="1:12" s="781" customFormat="1" ht="20.100000000000001" customHeight="1" x14ac:dyDescent="0.25">
      <c r="B61" s="755" t="s">
        <v>47</v>
      </c>
      <c r="C61" s="797">
        <v>22575943.579999998</v>
      </c>
      <c r="D61" s="797" t="s">
        <v>136</v>
      </c>
      <c r="E61" s="797" t="s">
        <v>516</v>
      </c>
      <c r="F61" s="797"/>
      <c r="G61" s="797"/>
      <c r="H61" s="754"/>
      <c r="J61" s="755"/>
    </row>
    <row r="62" spans="1:12" s="781" customFormat="1" ht="20.100000000000001" customHeight="1" x14ac:dyDescent="0.25">
      <c r="B62" s="755" t="s">
        <v>50</v>
      </c>
      <c r="C62" s="797">
        <v>22977758.949999996</v>
      </c>
      <c r="D62" s="797" t="s">
        <v>136</v>
      </c>
      <c r="E62" s="797" t="s">
        <v>516</v>
      </c>
      <c r="G62" s="797"/>
      <c r="H62" s="754"/>
      <c r="J62" s="755"/>
    </row>
    <row r="63" spans="1:12" s="781" customFormat="1" ht="20.100000000000001" customHeight="1" thickBot="1" x14ac:dyDescent="0.3">
      <c r="B63" s="755"/>
      <c r="C63" s="337">
        <f>SUM(C59:C62)</f>
        <v>46021931.499999993</v>
      </c>
      <c r="D63" s="36" t="s">
        <v>136</v>
      </c>
      <c r="E63" s="797"/>
      <c r="F63" s="797"/>
      <c r="G63" s="797"/>
      <c r="H63" s="754"/>
      <c r="J63" s="755"/>
    </row>
    <row r="64" spans="1:12" ht="20.100000000000001" customHeight="1" thickTop="1" x14ac:dyDescent="0.3"/>
    <row r="65" spans="1:12" ht="21.75" customHeight="1" x14ac:dyDescent="0.3"/>
    <row r="66" spans="1:12" s="330" customFormat="1" ht="20.100000000000001" customHeight="1" x14ac:dyDescent="0.25">
      <c r="A66" s="899" t="s">
        <v>624</v>
      </c>
      <c r="B66" s="899"/>
      <c r="C66" s="899"/>
      <c r="D66" s="899"/>
      <c r="E66" s="899"/>
      <c r="F66" s="899"/>
      <c r="G66" s="899"/>
      <c r="H66" s="899"/>
      <c r="I66" s="899"/>
      <c r="J66" s="899"/>
    </row>
    <row r="67" spans="1:12" s="781" customFormat="1" ht="20.100000000000001" customHeight="1" thickBot="1" x14ac:dyDescent="0.3">
      <c r="A67" s="900"/>
      <c r="B67" s="900"/>
      <c r="C67" s="900"/>
      <c r="D67" s="900"/>
      <c r="E67" s="900"/>
      <c r="F67" s="900"/>
      <c r="G67" s="900"/>
      <c r="H67" s="900"/>
      <c r="I67" s="900"/>
      <c r="J67" s="900"/>
      <c r="K67" s="41"/>
      <c r="L67" s="780"/>
    </row>
    <row r="68" spans="1:12" s="781" customFormat="1" ht="50.25" thickBot="1" x14ac:dyDescent="0.3">
      <c r="A68" s="783" t="s">
        <v>616</v>
      </c>
      <c r="B68" s="752" t="s">
        <v>40</v>
      </c>
      <c r="C68" s="830" t="s">
        <v>625</v>
      </c>
      <c r="D68" s="830" t="s">
        <v>42</v>
      </c>
      <c r="E68" s="830" t="s">
        <v>43</v>
      </c>
      <c r="F68" s="752" t="s">
        <v>44</v>
      </c>
      <c r="G68" s="752" t="s">
        <v>20</v>
      </c>
      <c r="H68" s="752" t="s">
        <v>174</v>
      </c>
      <c r="I68" s="784" t="s">
        <v>61</v>
      </c>
      <c r="J68" s="830" t="s">
        <v>46</v>
      </c>
    </row>
    <row r="69" spans="1:12" s="781" customFormat="1" ht="20.100000000000001" customHeight="1" x14ac:dyDescent="0.25">
      <c r="A69" s="786" t="s">
        <v>175</v>
      </c>
      <c r="B69" s="331">
        <f>SUM(I53)</f>
        <v>23044172.550013423</v>
      </c>
      <c r="C69" s="377">
        <f>371207653.72+30373007.4</f>
        <v>401580661.12</v>
      </c>
      <c r="D69" s="789">
        <v>52823844.420000002</v>
      </c>
      <c r="E69" s="789">
        <v>971369.62</v>
      </c>
      <c r="F69" s="377">
        <f>B69+C69-D69-E69</f>
        <v>370829619.63001341</v>
      </c>
      <c r="G69" s="332">
        <v>340038523.45999998</v>
      </c>
      <c r="H69" s="789">
        <f>G69/F69*100</f>
        <v>91.696699902037352</v>
      </c>
      <c r="I69" s="333">
        <f>F69-G69</f>
        <v>30791096.170013428</v>
      </c>
      <c r="J69" s="789">
        <f>I69/F69*100</f>
        <v>8.3033000979626497</v>
      </c>
      <c r="K69" s="780"/>
    </row>
    <row r="70" spans="1:12" s="781" customFormat="1" ht="20.100000000000001" customHeight="1" x14ac:dyDescent="0.25">
      <c r="A70" s="334" t="s">
        <v>50</v>
      </c>
      <c r="B70" s="331">
        <f>SUM(I54)</f>
        <v>22977758.950000703</v>
      </c>
      <c r="C70" s="335">
        <f>278510663.4+26794000.12</f>
        <v>305304663.51999998</v>
      </c>
      <c r="D70" s="792">
        <v>7647549.1399999997</v>
      </c>
      <c r="E70" s="792">
        <v>933577.33</v>
      </c>
      <c r="F70" s="377">
        <f>B70+C70-D70-E70</f>
        <v>319701296.00000072</v>
      </c>
      <c r="G70" s="792">
        <v>292907295.88</v>
      </c>
      <c r="H70" s="789">
        <f>G70/F70*100</f>
        <v>91.619051766371115</v>
      </c>
      <c r="I70" s="788">
        <f>F70-G70</f>
        <v>26794000.12000072</v>
      </c>
      <c r="J70" s="789">
        <f>I70/F70*100</f>
        <v>8.380948233628887</v>
      </c>
    </row>
    <row r="71" spans="1:12" s="33" customFormat="1" ht="20.100000000000001" customHeight="1" thickBot="1" x14ac:dyDescent="0.3">
      <c r="A71" s="336" t="s">
        <v>36</v>
      </c>
      <c r="B71" s="239">
        <f t="shared" ref="B71" si="8">SUM(B69:B70)</f>
        <v>46021931.500014126</v>
      </c>
      <c r="C71" s="239">
        <f>SUM(C69:C70)</f>
        <v>706885324.63999999</v>
      </c>
      <c r="D71" s="766">
        <f t="shared" ref="D71:G71" si="9">SUM(D69:D70)</f>
        <v>60471393.560000002</v>
      </c>
      <c r="E71" s="766">
        <f t="shared" si="9"/>
        <v>1904946.95</v>
      </c>
      <c r="F71" s="239">
        <f t="shared" si="9"/>
        <v>690530915.63001418</v>
      </c>
      <c r="G71" s="766">
        <f t="shared" si="9"/>
        <v>632945819.33999991</v>
      </c>
      <c r="H71" s="766">
        <f>G71/F71*100</f>
        <v>91.660750447722421</v>
      </c>
      <c r="I71" s="765">
        <f>SUM(I69:I70)</f>
        <v>57585096.290014148</v>
      </c>
      <c r="J71" s="766">
        <f>I71/F71*100</f>
        <v>8.3392495522775683</v>
      </c>
    </row>
    <row r="72" spans="1:12" s="781" customFormat="1" ht="20.100000000000001" customHeight="1" thickTop="1" x14ac:dyDescent="0.25">
      <c r="A72" s="793"/>
      <c r="B72" s="34"/>
      <c r="C72" s="34"/>
      <c r="D72" s="365"/>
      <c r="E72" s="365"/>
      <c r="F72" s="34"/>
      <c r="G72" s="365"/>
      <c r="H72" s="365"/>
      <c r="I72" s="362"/>
      <c r="J72" s="365"/>
    </row>
    <row r="73" spans="1:12" s="781" customFormat="1" ht="20.100000000000001" customHeight="1" x14ac:dyDescent="0.25">
      <c r="A73" s="767" t="s">
        <v>37</v>
      </c>
      <c r="B73" s="798"/>
      <c r="C73" s="797"/>
      <c r="D73" s="797"/>
      <c r="E73" s="797"/>
      <c r="F73" s="797"/>
      <c r="G73" s="797"/>
      <c r="H73" s="797"/>
      <c r="I73" s="782"/>
      <c r="J73" s="755"/>
    </row>
    <row r="74" spans="1:12" s="781" customFormat="1" ht="20.100000000000001" customHeight="1" x14ac:dyDescent="0.25">
      <c r="A74" s="31" t="s">
        <v>176</v>
      </c>
      <c r="B74" s="36" t="s">
        <v>52</v>
      </c>
      <c r="D74" s="797"/>
      <c r="E74" s="797"/>
      <c r="F74" s="797"/>
      <c r="G74" s="797"/>
      <c r="H74" s="797"/>
      <c r="I74" s="782"/>
      <c r="J74" s="755"/>
    </row>
    <row r="75" spans="1:12" s="781" customFormat="1" ht="20.100000000000001" customHeight="1" x14ac:dyDescent="0.25">
      <c r="B75" s="755" t="s">
        <v>47</v>
      </c>
      <c r="C75" s="797">
        <v>369416.16000000003</v>
      </c>
      <c r="D75" s="797" t="s">
        <v>136</v>
      </c>
      <c r="E75" s="797" t="s">
        <v>626</v>
      </c>
      <c r="F75" s="797"/>
      <c r="G75" s="797"/>
      <c r="H75" s="754"/>
      <c r="J75" s="755"/>
    </row>
    <row r="76" spans="1:12" s="781" customFormat="1" ht="20.100000000000001" customHeight="1" x14ac:dyDescent="0.25">
      <c r="B76" s="755" t="s">
        <v>47</v>
      </c>
      <c r="C76" s="797">
        <v>48672.610000000008</v>
      </c>
      <c r="D76" s="797" t="s">
        <v>136</v>
      </c>
      <c r="E76" s="797" t="s">
        <v>178</v>
      </c>
      <c r="F76" s="797"/>
      <c r="G76" s="797"/>
      <c r="H76" s="754"/>
      <c r="J76" s="755"/>
    </row>
    <row r="77" spans="1:12" s="781" customFormat="1" ht="20.100000000000001" customHeight="1" x14ac:dyDescent="0.25">
      <c r="B77" s="755" t="s">
        <v>47</v>
      </c>
      <c r="C77" s="797">
        <v>30373007.399999999</v>
      </c>
      <c r="D77" s="797" t="s">
        <v>136</v>
      </c>
      <c r="E77" s="797" t="s">
        <v>627</v>
      </c>
      <c r="F77" s="797"/>
      <c r="G77" s="797"/>
      <c r="H77" s="754"/>
      <c r="J77" s="755"/>
    </row>
    <row r="78" spans="1:12" s="781" customFormat="1" ht="20.100000000000001" customHeight="1" x14ac:dyDescent="0.25">
      <c r="B78" s="755" t="s">
        <v>50</v>
      </c>
      <c r="C78" s="797">
        <v>26794000.120000001</v>
      </c>
      <c r="D78" s="797" t="s">
        <v>136</v>
      </c>
      <c r="E78" s="797" t="s">
        <v>627</v>
      </c>
      <c r="G78" s="797"/>
      <c r="H78" s="754"/>
      <c r="J78" s="755"/>
    </row>
    <row r="79" spans="1:12" s="781" customFormat="1" ht="20.100000000000001" customHeight="1" thickBot="1" x14ac:dyDescent="0.3">
      <c r="B79" s="755"/>
      <c r="C79" s="337">
        <f>SUM(C75:C78)</f>
        <v>57585096.289999999</v>
      </c>
      <c r="D79" s="36" t="s">
        <v>136</v>
      </c>
      <c r="E79" s="797"/>
      <c r="F79" s="797"/>
      <c r="G79" s="797"/>
      <c r="H79" s="754"/>
      <c r="J79" s="755"/>
    </row>
    <row r="80" spans="1:12" ht="20.100000000000001" customHeight="1" thickTop="1" x14ac:dyDescent="0.3"/>
    <row r="81" spans="1:12" ht="21.75" customHeight="1" x14ac:dyDescent="0.3"/>
    <row r="82" spans="1:12" s="330" customFormat="1" ht="20.100000000000001" customHeight="1" x14ac:dyDescent="0.25">
      <c r="A82" s="899" t="s">
        <v>743</v>
      </c>
      <c r="B82" s="899"/>
      <c r="C82" s="899"/>
      <c r="D82" s="899"/>
      <c r="E82" s="899"/>
      <c r="F82" s="899"/>
      <c r="G82" s="899"/>
      <c r="H82" s="899"/>
      <c r="I82" s="899"/>
      <c r="J82" s="899"/>
    </row>
    <row r="83" spans="1:12" s="781" customFormat="1" ht="20.100000000000001" customHeight="1" thickBot="1" x14ac:dyDescent="0.3">
      <c r="A83" s="900"/>
      <c r="B83" s="900"/>
      <c r="C83" s="900"/>
      <c r="D83" s="900"/>
      <c r="E83" s="900"/>
      <c r="F83" s="900"/>
      <c r="G83" s="900"/>
      <c r="H83" s="900"/>
      <c r="I83" s="900"/>
      <c r="J83" s="900"/>
      <c r="K83" s="41"/>
      <c r="L83" s="780"/>
    </row>
    <row r="84" spans="1:12" s="781" customFormat="1" ht="50.25" thickBot="1" x14ac:dyDescent="0.3">
      <c r="A84" s="783" t="s">
        <v>726</v>
      </c>
      <c r="B84" s="752" t="s">
        <v>40</v>
      </c>
      <c r="C84" s="830" t="s">
        <v>691</v>
      </c>
      <c r="D84" s="830" t="s">
        <v>42</v>
      </c>
      <c r="E84" s="830" t="s">
        <v>43</v>
      </c>
      <c r="F84" s="752" t="s">
        <v>44</v>
      </c>
      <c r="G84" s="752" t="s">
        <v>20</v>
      </c>
      <c r="H84" s="752" t="s">
        <v>174</v>
      </c>
      <c r="I84" s="784" t="s">
        <v>61</v>
      </c>
      <c r="J84" s="830" t="s">
        <v>46</v>
      </c>
    </row>
    <row r="85" spans="1:12" s="781" customFormat="1" ht="20.100000000000001" customHeight="1" x14ac:dyDescent="0.25">
      <c r="A85" s="786" t="s">
        <v>175</v>
      </c>
      <c r="B85" s="331">
        <f>SUM(I69)</f>
        <v>30791096.170013428</v>
      </c>
      <c r="C85" s="377">
        <f>352992494.760001+31313014.31+4454.41</f>
        <v>384309963.48000103</v>
      </c>
      <c r="D85" s="789">
        <v>70977637.5</v>
      </c>
      <c r="E85" s="789">
        <v>1622159.31</v>
      </c>
      <c r="F85" s="377">
        <f>B85+C85-D85-E85</f>
        <v>342501262.84001446</v>
      </c>
      <c r="G85" s="332">
        <v>311025195.35000002</v>
      </c>
      <c r="H85" s="789">
        <f>G85/F85*100</f>
        <v>90.809941187073179</v>
      </c>
      <c r="I85" s="333">
        <f>F85-G85</f>
        <v>31476067.490014434</v>
      </c>
      <c r="J85" s="789">
        <f>I85/F85*100</f>
        <v>9.1900588129268304</v>
      </c>
      <c r="K85" s="780"/>
    </row>
    <row r="86" spans="1:12" s="781" customFormat="1" ht="20.100000000000001" customHeight="1" x14ac:dyDescent="0.25">
      <c r="A86" s="334" t="s">
        <v>50</v>
      </c>
      <c r="B86" s="331">
        <f>SUM(I70)</f>
        <v>26794000.12000072</v>
      </c>
      <c r="C86" s="335">
        <f>274690433.64+14542622.98</f>
        <v>289233056.62</v>
      </c>
      <c r="D86" s="792">
        <v>29315137.800000001</v>
      </c>
      <c r="E86" s="792">
        <v>13237007.9</v>
      </c>
      <c r="F86" s="377">
        <f>B86+C86-D86-E86</f>
        <v>273474911.04000074</v>
      </c>
      <c r="G86" s="792">
        <v>258932288.06000009</v>
      </c>
      <c r="H86" s="789">
        <f>G86/F86*100</f>
        <v>94.682282581354045</v>
      </c>
      <c r="I86" s="788">
        <f>F86-G86</f>
        <v>14542622.980000645</v>
      </c>
      <c r="J86" s="789">
        <f>I86/F86*100</f>
        <v>5.3177174186459535</v>
      </c>
    </row>
    <row r="87" spans="1:12" s="33" customFormat="1" ht="20.100000000000001" customHeight="1" thickBot="1" x14ac:dyDescent="0.3">
      <c r="A87" s="336" t="s">
        <v>36</v>
      </c>
      <c r="B87" s="239">
        <f t="shared" ref="B87" si="10">SUM(B85:B86)</f>
        <v>57585096.290014148</v>
      </c>
      <c r="C87" s="239">
        <f>SUM(C85:C86)</f>
        <v>673543020.1000011</v>
      </c>
      <c r="D87" s="766">
        <f t="shared" ref="D87:G87" si="11">SUM(D85:D86)</f>
        <v>100292775.3</v>
      </c>
      <c r="E87" s="766">
        <f t="shared" si="11"/>
        <v>14859167.210000001</v>
      </c>
      <c r="F87" s="239">
        <f t="shared" si="11"/>
        <v>615976173.88001513</v>
      </c>
      <c r="G87" s="766">
        <f t="shared" si="11"/>
        <v>569957483.41000009</v>
      </c>
      <c r="H87" s="766">
        <f>G87/F87*100</f>
        <v>92.529144401780229</v>
      </c>
      <c r="I87" s="765">
        <f>SUM(I85:I86)</f>
        <v>46018690.470015079</v>
      </c>
      <c r="J87" s="766">
        <f>I87/F87*100</f>
        <v>7.4708555982197735</v>
      </c>
    </row>
    <row r="88" spans="1:12" s="781" customFormat="1" ht="20.100000000000001" customHeight="1" thickTop="1" x14ac:dyDescent="0.25">
      <c r="A88" s="793"/>
      <c r="B88" s="34"/>
      <c r="C88" s="34"/>
      <c r="D88" s="365"/>
      <c r="E88" s="365"/>
      <c r="F88" s="34"/>
      <c r="G88" s="365"/>
      <c r="H88" s="365"/>
      <c r="I88" s="362"/>
      <c r="J88" s="365"/>
    </row>
    <row r="89" spans="1:12" s="781" customFormat="1" ht="20.100000000000001" customHeight="1" x14ac:dyDescent="0.25">
      <c r="A89" s="767" t="s">
        <v>37</v>
      </c>
      <c r="B89" s="798"/>
      <c r="C89" s="797"/>
      <c r="D89" s="797"/>
      <c r="E89" s="797"/>
      <c r="F89" s="797"/>
      <c r="G89" s="797"/>
      <c r="H89" s="797"/>
      <c r="I89" s="782"/>
      <c r="J89" s="755"/>
    </row>
    <row r="90" spans="1:12" s="781" customFormat="1" ht="20.100000000000001" customHeight="1" x14ac:dyDescent="0.25">
      <c r="A90" s="31" t="s">
        <v>176</v>
      </c>
      <c r="B90" s="36" t="s">
        <v>52</v>
      </c>
      <c r="D90" s="797"/>
      <c r="E90" s="797"/>
      <c r="F90" s="797"/>
      <c r="G90" s="797"/>
      <c r="H90" s="797"/>
      <c r="I90" s="782"/>
      <c r="J90" s="755"/>
    </row>
    <row r="91" spans="1:12" s="781" customFormat="1" ht="20.100000000000001" customHeight="1" x14ac:dyDescent="0.25">
      <c r="B91" s="755" t="s">
        <v>47</v>
      </c>
      <c r="C91" s="797">
        <v>114380.56999999999</v>
      </c>
      <c r="D91" s="797" t="s">
        <v>136</v>
      </c>
      <c r="E91" s="797" t="s">
        <v>744</v>
      </c>
      <c r="F91" s="797"/>
      <c r="G91" s="797"/>
      <c r="H91" s="754"/>
      <c r="J91" s="755"/>
    </row>
    <row r="92" spans="1:12" s="781" customFormat="1" ht="20.100000000000001" customHeight="1" x14ac:dyDescent="0.25">
      <c r="B92" s="755" t="s">
        <v>47</v>
      </c>
      <c r="C92" s="797">
        <v>48672.610000000008</v>
      </c>
      <c r="D92" s="797" t="s">
        <v>136</v>
      </c>
      <c r="E92" s="797" t="s">
        <v>178</v>
      </c>
      <c r="F92" s="797"/>
      <c r="G92" s="797"/>
      <c r="H92" s="754"/>
      <c r="J92" s="755"/>
    </row>
    <row r="93" spans="1:12" s="781" customFormat="1" ht="20.100000000000001" customHeight="1" x14ac:dyDescent="0.25">
      <c r="B93" s="755" t="s">
        <v>47</v>
      </c>
      <c r="C93" s="797">
        <v>31313014.309999976</v>
      </c>
      <c r="D93" s="797" t="s">
        <v>136</v>
      </c>
      <c r="E93" s="797" t="s">
        <v>745</v>
      </c>
      <c r="F93" s="797"/>
      <c r="G93" s="797"/>
      <c r="H93" s="754"/>
      <c r="J93" s="755"/>
    </row>
    <row r="94" spans="1:12" s="781" customFormat="1" ht="20.100000000000001" customHeight="1" x14ac:dyDescent="0.25">
      <c r="B94" s="755" t="s">
        <v>50</v>
      </c>
      <c r="C94" s="797">
        <v>14542622.979999997</v>
      </c>
      <c r="D94" s="797" t="s">
        <v>136</v>
      </c>
      <c r="E94" s="797" t="s">
        <v>746</v>
      </c>
      <c r="G94" s="797"/>
      <c r="H94" s="754"/>
      <c r="J94" s="755"/>
    </row>
    <row r="95" spans="1:12" s="781" customFormat="1" ht="20.100000000000001" customHeight="1" thickBot="1" x14ac:dyDescent="0.3">
      <c r="B95" s="755"/>
      <c r="C95" s="337">
        <f>SUM(C91:C94)</f>
        <v>46018690.469999969</v>
      </c>
      <c r="D95" s="36" t="s">
        <v>136</v>
      </c>
      <c r="E95" s="797"/>
      <c r="F95" s="797"/>
      <c r="G95" s="797"/>
      <c r="H95" s="754"/>
      <c r="J95" s="755"/>
    </row>
    <row r="96" spans="1:12" ht="20.100000000000001" customHeight="1" thickTop="1" x14ac:dyDescent="0.3"/>
    <row r="97" spans="1:12" ht="21.75" customHeight="1" x14ac:dyDescent="0.3"/>
    <row r="98" spans="1:12" s="330" customFormat="1" ht="20.100000000000001" customHeight="1" x14ac:dyDescent="0.25">
      <c r="A98" s="899" t="s">
        <v>833</v>
      </c>
      <c r="B98" s="899"/>
      <c r="C98" s="899"/>
      <c r="D98" s="899"/>
      <c r="E98" s="899"/>
      <c r="F98" s="899"/>
      <c r="G98" s="899"/>
      <c r="H98" s="899"/>
      <c r="I98" s="899"/>
      <c r="J98" s="899"/>
    </row>
    <row r="99" spans="1:12" s="781" customFormat="1" ht="20.100000000000001" customHeight="1" thickBot="1" x14ac:dyDescent="0.3">
      <c r="A99" s="900"/>
      <c r="B99" s="900"/>
      <c r="C99" s="900"/>
      <c r="D99" s="900"/>
      <c r="E99" s="900"/>
      <c r="F99" s="900"/>
      <c r="G99" s="900"/>
      <c r="H99" s="900"/>
      <c r="I99" s="900"/>
      <c r="J99" s="900"/>
      <c r="K99" s="41"/>
      <c r="L99" s="780"/>
    </row>
    <row r="100" spans="1:12" s="781" customFormat="1" ht="50.25" thickBot="1" x14ac:dyDescent="0.3">
      <c r="A100" s="783" t="s">
        <v>819</v>
      </c>
      <c r="B100" s="752" t="s">
        <v>40</v>
      </c>
      <c r="C100" s="830" t="s">
        <v>834</v>
      </c>
      <c r="D100" s="830" t="s">
        <v>42</v>
      </c>
      <c r="E100" s="830" t="s">
        <v>43</v>
      </c>
      <c r="F100" s="752" t="s">
        <v>44</v>
      </c>
      <c r="G100" s="752" t="s">
        <v>20</v>
      </c>
      <c r="H100" s="752" t="s">
        <v>174</v>
      </c>
      <c r="I100" s="784" t="s">
        <v>61</v>
      </c>
      <c r="J100" s="830" t="s">
        <v>46</v>
      </c>
    </row>
    <row r="101" spans="1:12" s="781" customFormat="1" ht="20.100000000000001" customHeight="1" x14ac:dyDescent="0.25">
      <c r="A101" s="786" t="s">
        <v>175</v>
      </c>
      <c r="B101" s="331">
        <f>SUM(I85)</f>
        <v>31476067.490014434</v>
      </c>
      <c r="C101" s="377">
        <f>316037363.14+20758659.22</f>
        <v>336796022.36000001</v>
      </c>
      <c r="D101" s="789">
        <v>102042028.48</v>
      </c>
      <c r="E101" s="789">
        <v>566762.69999999995</v>
      </c>
      <c r="F101" s="377">
        <f>B101+C101-D101-E101</f>
        <v>265663298.67001444</v>
      </c>
      <c r="G101" s="332">
        <v>244681241.27000001</v>
      </c>
      <c r="H101" s="789">
        <f>G101/F101*100</f>
        <v>92.102011265742561</v>
      </c>
      <c r="I101" s="333">
        <f>F101-G101</f>
        <v>20982057.40001443</v>
      </c>
      <c r="J101" s="789">
        <f>I101/F101*100</f>
        <v>7.8979887342574386</v>
      </c>
      <c r="K101" s="780"/>
    </row>
    <row r="102" spans="1:12" s="781" customFormat="1" ht="20.100000000000001" customHeight="1" x14ac:dyDescent="0.25">
      <c r="A102" s="334" t="s">
        <v>50</v>
      </c>
      <c r="B102" s="331">
        <f>SUM(I86)</f>
        <v>14542622.980000645</v>
      </c>
      <c r="C102" s="335">
        <f>200221732.46+14100899.45</f>
        <v>214322631.91</v>
      </c>
      <c r="D102" s="792">
        <v>13501188.26</v>
      </c>
      <c r="E102" s="792">
        <v>777932.89</v>
      </c>
      <c r="F102" s="377">
        <f>B102+C102-D102-E102</f>
        <v>214586133.74000067</v>
      </c>
      <c r="G102" s="792">
        <v>200485234.28999999</v>
      </c>
      <c r="H102" s="789">
        <f>G102/F102*100</f>
        <v>93.428792809564399</v>
      </c>
      <c r="I102" s="788">
        <f>F102-G102</f>
        <v>14100899.450000674</v>
      </c>
      <c r="J102" s="789">
        <f>I102/F102*100</f>
        <v>6.5712071904355991</v>
      </c>
    </row>
    <row r="103" spans="1:12" s="33" customFormat="1" ht="20.100000000000001" customHeight="1" thickBot="1" x14ac:dyDescent="0.3">
      <c r="A103" s="336" t="s">
        <v>36</v>
      </c>
      <c r="B103" s="239">
        <f t="shared" ref="B103" si="12">SUM(B101:B102)</f>
        <v>46018690.470015079</v>
      </c>
      <c r="C103" s="239">
        <f>SUM(C101:C102)</f>
        <v>551118654.26999998</v>
      </c>
      <c r="D103" s="766">
        <f t="shared" ref="D103:G103" si="13">SUM(D101:D102)</f>
        <v>115543216.74000001</v>
      </c>
      <c r="E103" s="766">
        <f t="shared" si="13"/>
        <v>1344695.5899999999</v>
      </c>
      <c r="F103" s="239">
        <f t="shared" si="13"/>
        <v>480249432.41001511</v>
      </c>
      <c r="G103" s="766">
        <f t="shared" si="13"/>
        <v>445166475.56</v>
      </c>
      <c r="H103" s="766">
        <f>G103/F103*100</f>
        <v>92.694846785354883</v>
      </c>
      <c r="I103" s="765">
        <f>SUM(I101:I102)</f>
        <v>35082956.850015104</v>
      </c>
      <c r="J103" s="766">
        <f>I103/F103*100</f>
        <v>7.3051532146451077</v>
      </c>
    </row>
    <row r="104" spans="1:12" s="781" customFormat="1" ht="20.100000000000001" customHeight="1" thickTop="1" x14ac:dyDescent="0.25">
      <c r="A104" s="793"/>
      <c r="B104" s="34"/>
      <c r="C104" s="34"/>
      <c r="D104" s="365"/>
      <c r="E104" s="365"/>
      <c r="F104" s="34"/>
      <c r="G104" s="365"/>
      <c r="H104" s="365"/>
      <c r="I104" s="362"/>
      <c r="J104" s="365"/>
    </row>
    <row r="105" spans="1:12" s="781" customFormat="1" ht="20.100000000000001" customHeight="1" x14ac:dyDescent="0.25">
      <c r="A105" s="767" t="s">
        <v>37</v>
      </c>
      <c r="B105" s="798"/>
      <c r="C105" s="797"/>
      <c r="D105" s="797"/>
      <c r="E105" s="797"/>
      <c r="F105" s="797"/>
      <c r="G105" s="797"/>
      <c r="H105" s="797"/>
      <c r="I105" s="782"/>
      <c r="J105" s="755"/>
    </row>
    <row r="106" spans="1:12" s="781" customFormat="1" ht="20.100000000000001" customHeight="1" x14ac:dyDescent="0.25">
      <c r="A106" s="31" t="s">
        <v>176</v>
      </c>
      <c r="B106" s="36" t="s">
        <v>52</v>
      </c>
      <c r="D106" s="797"/>
      <c r="E106" s="797"/>
      <c r="F106" s="797"/>
      <c r="G106" s="797"/>
      <c r="H106" s="797"/>
      <c r="I106" s="782"/>
      <c r="J106" s="755"/>
    </row>
    <row r="107" spans="1:12" s="781" customFormat="1" ht="20.100000000000001" customHeight="1" x14ac:dyDescent="0.25">
      <c r="B107" s="755" t="s">
        <v>47</v>
      </c>
      <c r="C107" s="797">
        <v>174725.57</v>
      </c>
      <c r="D107" s="797" t="s">
        <v>136</v>
      </c>
      <c r="E107" s="797" t="s">
        <v>744</v>
      </c>
      <c r="F107" s="797"/>
      <c r="G107" s="797"/>
      <c r="H107" s="754"/>
      <c r="J107" s="755"/>
    </row>
    <row r="108" spans="1:12" s="781" customFormat="1" ht="20.100000000000001" customHeight="1" x14ac:dyDescent="0.25">
      <c r="B108" s="755" t="s">
        <v>47</v>
      </c>
      <c r="C108" s="797">
        <v>48672.610000000008</v>
      </c>
      <c r="D108" s="797" t="s">
        <v>136</v>
      </c>
      <c r="E108" s="797" t="s">
        <v>178</v>
      </c>
      <c r="F108" s="797"/>
      <c r="G108" s="797"/>
      <c r="H108" s="754"/>
      <c r="J108" s="755"/>
    </row>
    <row r="109" spans="1:12" s="781" customFormat="1" ht="20.100000000000001" customHeight="1" x14ac:dyDescent="0.25">
      <c r="B109" s="755" t="s">
        <v>47</v>
      </c>
      <c r="C109" s="797">
        <v>20758659.219999999</v>
      </c>
      <c r="D109" s="797" t="s">
        <v>136</v>
      </c>
      <c r="E109" s="797" t="s">
        <v>835</v>
      </c>
      <c r="F109" s="797"/>
      <c r="G109" s="797"/>
      <c r="H109" s="754"/>
      <c r="J109" s="755"/>
    </row>
    <row r="110" spans="1:12" s="781" customFormat="1" ht="20.100000000000001" customHeight="1" x14ac:dyDescent="0.25">
      <c r="B110" s="755" t="s">
        <v>50</v>
      </c>
      <c r="C110" s="797">
        <v>839350.94</v>
      </c>
      <c r="D110" s="797" t="s">
        <v>136</v>
      </c>
      <c r="E110" s="797" t="s">
        <v>836</v>
      </c>
      <c r="G110" s="797"/>
      <c r="H110" s="754"/>
      <c r="J110" s="755"/>
    </row>
    <row r="111" spans="1:12" s="781" customFormat="1" ht="20.100000000000001" customHeight="1" x14ac:dyDescent="0.25">
      <c r="B111" s="755" t="s">
        <v>50</v>
      </c>
      <c r="C111" s="797">
        <v>13261548.509999998</v>
      </c>
      <c r="D111" s="797" t="s">
        <v>136</v>
      </c>
      <c r="E111" s="797" t="s">
        <v>835</v>
      </c>
      <c r="G111" s="797"/>
      <c r="H111" s="754"/>
      <c r="J111" s="755"/>
    </row>
    <row r="112" spans="1:12" s="781" customFormat="1" ht="20.100000000000001" customHeight="1" thickBot="1" x14ac:dyDescent="0.3">
      <c r="B112" s="755"/>
      <c r="C112" s="337">
        <f>SUM(C107:C111)</f>
        <v>35082956.849999994</v>
      </c>
      <c r="D112" s="36" t="s">
        <v>136</v>
      </c>
      <c r="E112" s="797"/>
      <c r="F112" s="797"/>
      <c r="G112" s="797"/>
      <c r="H112" s="754"/>
      <c r="J112" s="755"/>
    </row>
    <row r="113" spans="1:12" ht="20.100000000000001" customHeight="1" thickTop="1" x14ac:dyDescent="0.3"/>
    <row r="114" spans="1:12" ht="21.75" customHeight="1" x14ac:dyDescent="0.3"/>
    <row r="115" spans="1:12" s="330" customFormat="1" ht="20.100000000000001" customHeight="1" x14ac:dyDescent="0.25">
      <c r="A115" s="899" t="s">
        <v>1051</v>
      </c>
      <c r="B115" s="899"/>
      <c r="C115" s="899"/>
      <c r="D115" s="899"/>
      <c r="E115" s="899"/>
      <c r="F115" s="899"/>
      <c r="G115" s="899"/>
      <c r="H115" s="899"/>
      <c r="I115" s="899"/>
      <c r="J115" s="899"/>
    </row>
    <row r="116" spans="1:12" s="781" customFormat="1" ht="20.100000000000001" customHeight="1" thickBot="1" x14ac:dyDescent="0.3">
      <c r="A116" s="900"/>
      <c r="B116" s="900"/>
      <c r="C116" s="900"/>
      <c r="D116" s="900"/>
      <c r="E116" s="900"/>
      <c r="F116" s="900"/>
      <c r="G116" s="900"/>
      <c r="H116" s="900"/>
      <c r="I116" s="900"/>
      <c r="J116" s="900"/>
      <c r="K116" s="41"/>
      <c r="L116" s="780"/>
    </row>
    <row r="117" spans="1:12" s="781" customFormat="1" ht="50.25" thickBot="1" x14ac:dyDescent="0.3">
      <c r="A117" s="783" t="s">
        <v>1014</v>
      </c>
      <c r="B117" s="752" t="s">
        <v>40</v>
      </c>
      <c r="C117" s="830" t="s">
        <v>1052</v>
      </c>
      <c r="D117" s="830" t="s">
        <v>42</v>
      </c>
      <c r="E117" s="830" t="s">
        <v>43</v>
      </c>
      <c r="F117" s="752" t="s">
        <v>44</v>
      </c>
      <c r="G117" s="752" t="s">
        <v>20</v>
      </c>
      <c r="H117" s="752" t="s">
        <v>174</v>
      </c>
      <c r="I117" s="784" t="s">
        <v>61</v>
      </c>
      <c r="J117" s="830" t="s">
        <v>46</v>
      </c>
    </row>
    <row r="118" spans="1:12" s="781" customFormat="1" ht="20.100000000000001" customHeight="1" x14ac:dyDescent="0.25">
      <c r="A118" s="786" t="s">
        <v>175</v>
      </c>
      <c r="B118" s="331">
        <f>SUM(I101)</f>
        <v>20982057.40001443</v>
      </c>
      <c r="C118" s="377">
        <f>337897143.200001+26329232.46</f>
        <v>364226375.66000098</v>
      </c>
      <c r="D118" s="789">
        <v>44837393.039999999</v>
      </c>
      <c r="E118" s="789">
        <v>836188.15999999992</v>
      </c>
      <c r="F118" s="377">
        <f>B118+C118-D118-E118</f>
        <v>339534851.86001539</v>
      </c>
      <c r="G118" s="332">
        <v>312948985.77999997</v>
      </c>
      <c r="H118" s="789">
        <f>G118/F118*100</f>
        <v>92.16991541976482</v>
      </c>
      <c r="I118" s="333">
        <f>F118-G118</f>
        <v>26585866.080015421</v>
      </c>
      <c r="J118" s="789">
        <f>I118/F118*100</f>
        <v>7.8300845802351793</v>
      </c>
      <c r="K118" s="780"/>
    </row>
    <row r="119" spans="1:12" s="781" customFormat="1" ht="20.100000000000001" customHeight="1" x14ac:dyDescent="0.25">
      <c r="A119" s="334" t="s">
        <v>50</v>
      </c>
      <c r="B119" s="331">
        <f>SUM(I102)</f>
        <v>14100899.450000674</v>
      </c>
      <c r="C119" s="335">
        <f>192814069.72+21344431.89</f>
        <v>214158501.61000001</v>
      </c>
      <c r="D119" s="792">
        <v>13041601.5</v>
      </c>
      <c r="E119" s="792">
        <v>138684.07999999999</v>
      </c>
      <c r="F119" s="377">
        <f>B119+C119-D119-E119</f>
        <v>215079115.48000067</v>
      </c>
      <c r="G119" s="792">
        <v>193734683.59</v>
      </c>
      <c r="H119" s="789">
        <f>G119/F119*100</f>
        <v>90.076009080488618</v>
      </c>
      <c r="I119" s="788">
        <f>F119-G119</f>
        <v>21344431.890000671</v>
      </c>
      <c r="J119" s="789">
        <f>I119/F119*100</f>
        <v>9.9239909195113842</v>
      </c>
    </row>
    <row r="120" spans="1:12" s="33" customFormat="1" ht="20.100000000000001" customHeight="1" thickBot="1" x14ac:dyDescent="0.3">
      <c r="A120" s="336" t="s">
        <v>36</v>
      </c>
      <c r="B120" s="239">
        <f t="shared" ref="B120" si="14">SUM(B118:B119)</f>
        <v>35082956.850015104</v>
      </c>
      <c r="C120" s="239">
        <f>SUM(C118:C119)</f>
        <v>578384877.27000093</v>
      </c>
      <c r="D120" s="766">
        <f t="shared" ref="D120:G120" si="15">SUM(D118:D119)</f>
        <v>57878994.539999999</v>
      </c>
      <c r="E120" s="766">
        <f t="shared" si="15"/>
        <v>974872.23999999987</v>
      </c>
      <c r="F120" s="239">
        <f t="shared" si="15"/>
        <v>554613967.34001613</v>
      </c>
      <c r="G120" s="766">
        <f t="shared" si="15"/>
        <v>506683669.37</v>
      </c>
      <c r="H120" s="766">
        <f>G120/F120*100</f>
        <v>91.357899224951979</v>
      </c>
      <c r="I120" s="765">
        <f>SUM(I118:I119)</f>
        <v>47930297.970016092</v>
      </c>
      <c r="J120" s="766">
        <f>I120/F120*100</f>
        <v>8.6421007750480179</v>
      </c>
    </row>
    <row r="121" spans="1:12" s="781" customFormat="1" ht="20.100000000000001" customHeight="1" thickTop="1" x14ac:dyDescent="0.25">
      <c r="A121" s="793"/>
      <c r="B121" s="34"/>
      <c r="C121" s="34"/>
      <c r="D121" s="365"/>
      <c r="E121" s="365"/>
      <c r="F121" s="34"/>
      <c r="G121" s="365"/>
      <c r="H121" s="365"/>
      <c r="I121" s="362"/>
      <c r="J121" s="365"/>
    </row>
    <row r="122" spans="1:12" s="781" customFormat="1" ht="20.100000000000001" customHeight="1" x14ac:dyDescent="0.25">
      <c r="A122" s="767" t="s">
        <v>37</v>
      </c>
      <c r="B122" s="798"/>
      <c r="C122" s="797"/>
      <c r="D122" s="797"/>
      <c r="E122" s="797"/>
      <c r="F122" s="797"/>
      <c r="G122" s="797"/>
      <c r="H122" s="797"/>
      <c r="I122" s="782"/>
      <c r="J122" s="755"/>
    </row>
    <row r="123" spans="1:12" s="781" customFormat="1" ht="20.100000000000001" customHeight="1" x14ac:dyDescent="0.25">
      <c r="A123" s="31" t="s">
        <v>176</v>
      </c>
      <c r="B123" s="36" t="s">
        <v>52</v>
      </c>
      <c r="D123" s="797"/>
      <c r="E123" s="797"/>
      <c r="F123" s="797"/>
      <c r="G123" s="797"/>
      <c r="H123" s="797"/>
      <c r="I123" s="782"/>
      <c r="J123" s="755"/>
    </row>
    <row r="124" spans="1:12" s="781" customFormat="1" ht="20.100000000000001" customHeight="1" x14ac:dyDescent="0.25">
      <c r="B124" s="755" t="s">
        <v>47</v>
      </c>
      <c r="C124" s="797">
        <v>306337.94</v>
      </c>
      <c r="D124" s="797" t="s">
        <v>136</v>
      </c>
      <c r="E124" s="797" t="s">
        <v>744</v>
      </c>
      <c r="F124" s="797"/>
      <c r="G124" s="797"/>
      <c r="H124" s="754"/>
      <c r="J124" s="755"/>
    </row>
    <row r="125" spans="1:12" s="781" customFormat="1" ht="20.100000000000001" customHeight="1" x14ac:dyDescent="0.25">
      <c r="B125" s="755" t="s">
        <v>47</v>
      </c>
      <c r="C125" s="797">
        <v>26279528.139999982</v>
      </c>
      <c r="D125" s="797" t="s">
        <v>136</v>
      </c>
      <c r="E125" s="797" t="s">
        <v>1053</v>
      </c>
      <c r="F125" s="797"/>
      <c r="G125" s="797"/>
      <c r="H125" s="754"/>
      <c r="J125" s="755"/>
    </row>
    <row r="126" spans="1:12" s="781" customFormat="1" ht="20.100000000000001" customHeight="1" x14ac:dyDescent="0.25">
      <c r="B126" s="755" t="s">
        <v>50</v>
      </c>
      <c r="C126" s="797">
        <v>21344431.889999997</v>
      </c>
      <c r="D126" s="797" t="s">
        <v>136</v>
      </c>
      <c r="E126" s="797" t="s">
        <v>1054</v>
      </c>
      <c r="G126" s="797"/>
      <c r="H126" s="754"/>
      <c r="J126" s="755"/>
    </row>
    <row r="127" spans="1:12" s="781" customFormat="1" ht="20.100000000000001" customHeight="1" thickBot="1" x14ac:dyDescent="0.3">
      <c r="B127" s="755"/>
      <c r="C127" s="337">
        <f>SUM(C124:C126)</f>
        <v>47930297.969999984</v>
      </c>
      <c r="D127" s="36" t="s">
        <v>136</v>
      </c>
      <c r="E127" s="797"/>
      <c r="F127" s="797"/>
      <c r="G127" s="797"/>
      <c r="H127" s="754"/>
      <c r="J127" s="755"/>
    </row>
    <row r="128" spans="1:12" ht="20.100000000000001" customHeight="1" thickTop="1" x14ac:dyDescent="0.3"/>
    <row r="129" spans="1:12" ht="21.75" customHeight="1" x14ac:dyDescent="0.3"/>
    <row r="130" spans="1:12" s="330" customFormat="1" ht="20.100000000000001" customHeight="1" x14ac:dyDescent="0.25">
      <c r="A130" s="899" t="s">
        <v>1148</v>
      </c>
      <c r="B130" s="899"/>
      <c r="C130" s="899"/>
      <c r="D130" s="899"/>
      <c r="E130" s="899"/>
      <c r="F130" s="899"/>
      <c r="G130" s="899"/>
      <c r="H130" s="899"/>
      <c r="I130" s="899"/>
      <c r="J130" s="899"/>
    </row>
    <row r="131" spans="1:12" s="781" customFormat="1" ht="20.100000000000001" customHeight="1" thickBot="1" x14ac:dyDescent="0.3">
      <c r="A131" s="900"/>
      <c r="B131" s="900"/>
      <c r="C131" s="900"/>
      <c r="D131" s="900"/>
      <c r="E131" s="900"/>
      <c r="F131" s="900"/>
      <c r="G131" s="900"/>
      <c r="H131" s="900"/>
      <c r="I131" s="900"/>
      <c r="J131" s="900"/>
      <c r="K131" s="41"/>
      <c r="L131" s="780"/>
    </row>
    <row r="132" spans="1:12" s="781" customFormat="1" ht="50.25" thickBot="1" x14ac:dyDescent="0.3">
      <c r="A132" s="783" t="s">
        <v>1117</v>
      </c>
      <c r="B132" s="752" t="s">
        <v>40</v>
      </c>
      <c r="C132" s="830" t="s">
        <v>1058</v>
      </c>
      <c r="D132" s="830" t="s">
        <v>42</v>
      </c>
      <c r="E132" s="830" t="s">
        <v>43</v>
      </c>
      <c r="F132" s="752" t="s">
        <v>44</v>
      </c>
      <c r="G132" s="752" t="s">
        <v>20</v>
      </c>
      <c r="H132" s="752" t="s">
        <v>174</v>
      </c>
      <c r="I132" s="784" t="s">
        <v>61</v>
      </c>
      <c r="J132" s="830" t="s">
        <v>46</v>
      </c>
    </row>
    <row r="133" spans="1:12" s="781" customFormat="1" ht="20.100000000000001" customHeight="1" x14ac:dyDescent="0.25">
      <c r="A133" s="786" t="s">
        <v>175</v>
      </c>
      <c r="B133" s="331">
        <f>SUM(I118)</f>
        <v>26585866.080015421</v>
      </c>
      <c r="C133" s="377">
        <f>341590359.600002+18559491.29</f>
        <v>360149850.89000201</v>
      </c>
      <c r="D133" s="788">
        <v>106549917.34999999</v>
      </c>
      <c r="E133" s="788">
        <v>680587.27</v>
      </c>
      <c r="F133" s="377">
        <f>B133+C133-D133-E133</f>
        <v>279505212.35001743</v>
      </c>
      <c r="G133" s="332">
        <v>260883820.88</v>
      </c>
      <c r="H133" s="789">
        <f>G133/F133*100</f>
        <v>93.337730157712301</v>
      </c>
      <c r="I133" s="333">
        <f>F133-G133</f>
        <v>18621391.470017433</v>
      </c>
      <c r="J133" s="789">
        <f>I133/F133*100</f>
        <v>6.6622698422877091</v>
      </c>
      <c r="K133" s="780"/>
    </row>
    <row r="134" spans="1:12" s="781" customFormat="1" ht="20.100000000000001" customHeight="1" x14ac:dyDescent="0.25">
      <c r="A134" s="334" t="s">
        <v>50</v>
      </c>
      <c r="B134" s="331">
        <f>SUM(I119)</f>
        <v>21344431.890000671</v>
      </c>
      <c r="C134" s="335">
        <f>233530516.81+14389227.59</f>
        <v>247919744.40000001</v>
      </c>
      <c r="D134" s="811">
        <v>23129556.449999999</v>
      </c>
      <c r="E134" s="811">
        <v>358118.02</v>
      </c>
      <c r="F134" s="377">
        <f>B134+C134-D134-E134</f>
        <v>245776501.82000068</v>
      </c>
      <c r="G134" s="792">
        <v>231299297.78</v>
      </c>
      <c r="H134" s="789">
        <f>G134/F134*100</f>
        <v>94.109606112547183</v>
      </c>
      <c r="I134" s="788">
        <f>F134-G134</f>
        <v>14477204.040000677</v>
      </c>
      <c r="J134" s="789">
        <f>I134/F134*100</f>
        <v>5.8903938874528157</v>
      </c>
    </row>
    <row r="135" spans="1:12" s="33" customFormat="1" ht="20.100000000000001" customHeight="1" thickBot="1" x14ac:dyDescent="0.3">
      <c r="A135" s="336" t="s">
        <v>36</v>
      </c>
      <c r="B135" s="239">
        <f t="shared" ref="B135" si="16">SUM(B133:B134)</f>
        <v>47930297.970016092</v>
      </c>
      <c r="C135" s="239">
        <f>SUM(C133:C134)</f>
        <v>608069595.29000199</v>
      </c>
      <c r="D135" s="766">
        <f t="shared" ref="D135:G135" si="17">SUM(D133:D134)</f>
        <v>129679473.8</v>
      </c>
      <c r="E135" s="766">
        <f t="shared" si="17"/>
        <v>1038705.29</v>
      </c>
      <c r="F135" s="239">
        <f t="shared" si="17"/>
        <v>525281714.17001808</v>
      </c>
      <c r="G135" s="766">
        <f t="shared" si="17"/>
        <v>492183118.65999997</v>
      </c>
      <c r="H135" s="766">
        <f>G135/F135*100</f>
        <v>93.698886784529293</v>
      </c>
      <c r="I135" s="765">
        <f>SUM(I133:I134)</f>
        <v>33098595.51001811</v>
      </c>
      <c r="J135" s="766">
        <f>I135/F135*100</f>
        <v>6.3011132154707132</v>
      </c>
    </row>
    <row r="136" spans="1:12" s="781" customFormat="1" ht="20.100000000000001" customHeight="1" thickTop="1" x14ac:dyDescent="0.25">
      <c r="A136" s="793"/>
      <c r="B136" s="34"/>
      <c r="C136" s="34"/>
      <c r="D136" s="365"/>
      <c r="E136" s="365"/>
      <c r="F136" s="34"/>
      <c r="G136" s="365"/>
      <c r="H136" s="365"/>
      <c r="I136" s="362"/>
      <c r="J136" s="365"/>
    </row>
    <row r="137" spans="1:12" s="781" customFormat="1" ht="20.100000000000001" customHeight="1" x14ac:dyDescent="0.25">
      <c r="A137" s="767" t="s">
        <v>37</v>
      </c>
      <c r="B137" s="798"/>
      <c r="C137" s="797"/>
      <c r="D137" s="797"/>
      <c r="E137" s="797"/>
      <c r="F137" s="797"/>
      <c r="G137" s="797"/>
      <c r="H137" s="797"/>
      <c r="I137" s="782"/>
      <c r="J137" s="755"/>
    </row>
    <row r="138" spans="1:12" s="781" customFormat="1" ht="20.100000000000001" customHeight="1" x14ac:dyDescent="0.25">
      <c r="A138" s="31" t="s">
        <v>176</v>
      </c>
      <c r="B138" s="36" t="s">
        <v>52</v>
      </c>
      <c r="D138" s="797"/>
      <c r="E138" s="797"/>
      <c r="F138" s="797"/>
      <c r="G138" s="797"/>
      <c r="H138" s="797"/>
      <c r="I138" s="782"/>
      <c r="J138" s="755"/>
    </row>
    <row r="139" spans="1:12" s="781" customFormat="1" ht="20.100000000000001" customHeight="1" x14ac:dyDescent="0.25">
      <c r="B139" s="755" t="s">
        <v>47</v>
      </c>
      <c r="C139" s="797">
        <v>61900.18</v>
      </c>
      <c r="D139" s="797" t="s">
        <v>136</v>
      </c>
      <c r="E139" s="797" t="s">
        <v>1149</v>
      </c>
      <c r="F139" s="797"/>
      <c r="G139" s="797"/>
      <c r="H139" s="754"/>
      <c r="J139" s="755"/>
    </row>
    <row r="140" spans="1:12" s="781" customFormat="1" ht="20.100000000000001" customHeight="1" x14ac:dyDescent="0.25">
      <c r="B140" s="755" t="s">
        <v>47</v>
      </c>
      <c r="C140" s="797">
        <v>18559491.290000007</v>
      </c>
      <c r="D140" s="797" t="s">
        <v>136</v>
      </c>
      <c r="E140" s="797" t="s">
        <v>1150</v>
      </c>
      <c r="F140" s="797"/>
      <c r="G140" s="797"/>
      <c r="H140" s="754"/>
      <c r="J140" s="755"/>
    </row>
    <row r="141" spans="1:12" s="781" customFormat="1" ht="20.100000000000001" customHeight="1" x14ac:dyDescent="0.25">
      <c r="B141" s="755" t="s">
        <v>50</v>
      </c>
      <c r="C141" s="797">
        <v>87976.45</v>
      </c>
      <c r="D141" s="797" t="s">
        <v>136</v>
      </c>
      <c r="E141" s="797" t="s">
        <v>1151</v>
      </c>
      <c r="F141" s="797"/>
      <c r="G141" s="797"/>
      <c r="H141" s="754"/>
      <c r="J141" s="755"/>
    </row>
    <row r="142" spans="1:12" s="781" customFormat="1" ht="20.100000000000001" customHeight="1" x14ac:dyDescent="0.25">
      <c r="B142" s="755" t="s">
        <v>50</v>
      </c>
      <c r="C142" s="797">
        <v>14389227.590000002</v>
      </c>
      <c r="D142" s="797" t="s">
        <v>136</v>
      </c>
      <c r="E142" s="797" t="s">
        <v>1152</v>
      </c>
      <c r="G142" s="797"/>
      <c r="H142" s="754"/>
      <c r="J142" s="755"/>
    </row>
    <row r="143" spans="1:12" s="781" customFormat="1" ht="20.100000000000001" customHeight="1" thickBot="1" x14ac:dyDescent="0.3">
      <c r="B143" s="755"/>
      <c r="C143" s="337">
        <f>SUM(C139:C142)</f>
        <v>33098595.510000005</v>
      </c>
      <c r="D143" s="36" t="s">
        <v>136</v>
      </c>
      <c r="E143" s="797"/>
      <c r="F143" s="797"/>
      <c r="G143" s="797"/>
      <c r="H143" s="754"/>
      <c r="J143" s="755"/>
    </row>
    <row r="144" spans="1:12" ht="20.100000000000001" customHeight="1" thickTop="1" x14ac:dyDescent="0.3">
      <c r="B144" s="802"/>
      <c r="C144" s="802"/>
      <c r="D144" s="329"/>
      <c r="E144" s="329"/>
    </row>
    <row r="145" spans="1:12" ht="21.75" customHeight="1" x14ac:dyDescent="0.3">
      <c r="B145" s="802"/>
      <c r="C145" s="802"/>
      <c r="D145" s="329"/>
      <c r="E145" s="329"/>
    </row>
    <row r="146" spans="1:12" s="330" customFormat="1" ht="20.100000000000001" customHeight="1" x14ac:dyDescent="0.25">
      <c r="A146" s="899" t="s">
        <v>1200</v>
      </c>
      <c r="B146" s="899"/>
      <c r="C146" s="899"/>
      <c r="D146" s="899"/>
      <c r="E146" s="899"/>
      <c r="F146" s="899"/>
      <c r="G146" s="899"/>
      <c r="H146" s="899"/>
      <c r="I146" s="899"/>
      <c r="J146" s="899"/>
    </row>
    <row r="147" spans="1:12" s="781" customFormat="1" ht="20.100000000000001" customHeight="1" thickBot="1" x14ac:dyDescent="0.3">
      <c r="A147" s="900"/>
      <c r="B147" s="900"/>
      <c r="C147" s="900"/>
      <c r="D147" s="900"/>
      <c r="E147" s="900"/>
      <c r="F147" s="900"/>
      <c r="G147" s="900"/>
      <c r="H147" s="900"/>
      <c r="I147" s="900"/>
      <c r="J147" s="900"/>
      <c r="K147" s="41"/>
      <c r="L147" s="780"/>
    </row>
    <row r="148" spans="1:12" s="781" customFormat="1" ht="50.25" thickBot="1" x14ac:dyDescent="0.3">
      <c r="A148" s="783" t="s">
        <v>1201</v>
      </c>
      <c r="B148" s="752" t="s">
        <v>40</v>
      </c>
      <c r="C148" s="830" t="s">
        <v>1202</v>
      </c>
      <c r="D148" s="830" t="s">
        <v>42</v>
      </c>
      <c r="E148" s="830" t="s">
        <v>43</v>
      </c>
      <c r="F148" s="752" t="s">
        <v>44</v>
      </c>
      <c r="G148" s="752" t="s">
        <v>20</v>
      </c>
      <c r="H148" s="752" t="s">
        <v>174</v>
      </c>
      <c r="I148" s="784" t="s">
        <v>61</v>
      </c>
      <c r="J148" s="830" t="s">
        <v>46</v>
      </c>
    </row>
    <row r="149" spans="1:12" s="781" customFormat="1" ht="20.100000000000001" customHeight="1" x14ac:dyDescent="0.25">
      <c r="A149" s="786" t="s">
        <v>175</v>
      </c>
      <c r="B149" s="331">
        <f>SUM(I133)</f>
        <v>18621391.470017433</v>
      </c>
      <c r="C149" s="377">
        <f>352763337.86+26233202.01</f>
        <v>378996539.87</v>
      </c>
      <c r="D149" s="788">
        <v>60759087.189999998</v>
      </c>
      <c r="E149" s="788">
        <v>452055.75</v>
      </c>
      <c r="F149" s="377">
        <f>B149+C149-D149-E149</f>
        <v>336406788.40001744</v>
      </c>
      <c r="G149" s="332">
        <v>310105819.52999997</v>
      </c>
      <c r="H149" s="789">
        <f>G149/F149*100</f>
        <v>92.181796034762741</v>
      </c>
      <c r="I149" s="333">
        <f>F149-G149</f>
        <v>26300968.870017469</v>
      </c>
      <c r="J149" s="789">
        <f>I149/F149*100</f>
        <v>7.818203965237255</v>
      </c>
      <c r="K149" s="780"/>
    </row>
    <row r="150" spans="1:12" s="781" customFormat="1" ht="20.100000000000001" customHeight="1" x14ac:dyDescent="0.25">
      <c r="A150" s="334" t="s">
        <v>50</v>
      </c>
      <c r="B150" s="331">
        <f>SUM(I134)</f>
        <v>14477204.040000677</v>
      </c>
      <c r="C150" s="335">
        <f>198436791.07+6929999.73</f>
        <v>205366790.79999998</v>
      </c>
      <c r="D150" s="811">
        <v>18766362.940000001</v>
      </c>
      <c r="E150" s="811">
        <v>19153.13</v>
      </c>
      <c r="F150" s="377">
        <f>B150+C150-D150-E150</f>
        <v>201058478.77000067</v>
      </c>
      <c r="G150" s="792">
        <v>194128479.04000002</v>
      </c>
      <c r="H150" s="789">
        <f>G150/F150*100</f>
        <v>96.553241737232</v>
      </c>
      <c r="I150" s="788">
        <f>F150-G150</f>
        <v>6929999.7300006449</v>
      </c>
      <c r="J150" s="789">
        <f>I150/F150*100</f>
        <v>3.4467582627680007</v>
      </c>
    </row>
    <row r="151" spans="1:12" s="33" customFormat="1" ht="20.100000000000001" customHeight="1" thickBot="1" x14ac:dyDescent="0.3">
      <c r="A151" s="336" t="s">
        <v>36</v>
      </c>
      <c r="B151" s="239">
        <f t="shared" ref="B151" si="18">SUM(B149:B150)</f>
        <v>33098595.51001811</v>
      </c>
      <c r="C151" s="239">
        <f>SUM(C149:C150)</f>
        <v>584363330.66999996</v>
      </c>
      <c r="D151" s="766">
        <f t="shared" ref="D151:G151" si="19">SUM(D149:D150)</f>
        <v>79525450.129999995</v>
      </c>
      <c r="E151" s="766">
        <f t="shared" si="19"/>
        <v>471208.88</v>
      </c>
      <c r="F151" s="239">
        <f t="shared" si="19"/>
        <v>537465267.17001808</v>
      </c>
      <c r="G151" s="766">
        <f t="shared" si="19"/>
        <v>504234298.56999999</v>
      </c>
      <c r="H151" s="766">
        <f>G151/F151*100</f>
        <v>93.817094679439805</v>
      </c>
      <c r="I151" s="765">
        <f>SUM(I149:I150)</f>
        <v>33230968.600018114</v>
      </c>
      <c r="J151" s="766">
        <f>I151/F151*100</f>
        <v>6.1829053205601952</v>
      </c>
    </row>
    <row r="152" spans="1:12" s="781" customFormat="1" ht="20.100000000000001" customHeight="1" thickTop="1" x14ac:dyDescent="0.25">
      <c r="A152" s="793"/>
      <c r="B152" s="34"/>
      <c r="C152" s="34"/>
      <c r="D152" s="365"/>
      <c r="E152" s="365"/>
      <c r="F152" s="34"/>
      <c r="G152" s="365"/>
      <c r="H152" s="365"/>
      <c r="I152" s="362"/>
      <c r="J152" s="365"/>
    </row>
    <row r="153" spans="1:12" s="781" customFormat="1" ht="20.100000000000001" customHeight="1" x14ac:dyDescent="0.25">
      <c r="A153" s="767" t="s">
        <v>37</v>
      </c>
      <c r="B153" s="798"/>
      <c r="C153" s="797"/>
      <c r="D153" s="797"/>
      <c r="E153" s="797"/>
      <c r="F153" s="797"/>
      <c r="G153" s="797"/>
      <c r="H153" s="797"/>
      <c r="I153" s="782"/>
      <c r="J153" s="755"/>
    </row>
    <row r="154" spans="1:12" s="781" customFormat="1" ht="20.100000000000001" customHeight="1" x14ac:dyDescent="0.25">
      <c r="A154" s="31" t="s">
        <v>176</v>
      </c>
      <c r="B154" s="36" t="s">
        <v>52</v>
      </c>
      <c r="D154" s="797"/>
      <c r="E154" s="797"/>
      <c r="F154" s="797"/>
      <c r="G154" s="797"/>
      <c r="H154" s="797"/>
      <c r="I154" s="782"/>
      <c r="J154" s="755"/>
    </row>
    <row r="155" spans="1:12" s="781" customFormat="1" ht="20.100000000000001" customHeight="1" x14ac:dyDescent="0.25">
      <c r="B155" s="755" t="s">
        <v>47</v>
      </c>
      <c r="C155" s="797">
        <v>76838.960000000006</v>
      </c>
      <c r="D155" s="797" t="s">
        <v>136</v>
      </c>
      <c r="E155" s="797" t="s">
        <v>1203</v>
      </c>
      <c r="F155" s="797"/>
      <c r="G155" s="797"/>
      <c r="H155" s="754"/>
      <c r="J155" s="755"/>
    </row>
    <row r="156" spans="1:12" s="781" customFormat="1" ht="20.100000000000001" customHeight="1" x14ac:dyDescent="0.25">
      <c r="B156" s="755" t="s">
        <v>47</v>
      </c>
      <c r="C156" s="797">
        <v>67468.37999999999</v>
      </c>
      <c r="D156" s="797" t="s">
        <v>136</v>
      </c>
      <c r="E156" s="797" t="s">
        <v>1204</v>
      </c>
      <c r="F156" s="797"/>
      <c r="G156" s="797"/>
      <c r="H156" s="754"/>
      <c r="J156" s="755"/>
    </row>
    <row r="157" spans="1:12" s="781" customFormat="1" ht="20.100000000000001" customHeight="1" x14ac:dyDescent="0.25">
      <c r="B157" s="755" t="s">
        <v>47</v>
      </c>
      <c r="C157" s="797">
        <v>26156661.529999994</v>
      </c>
      <c r="D157" s="797" t="s">
        <v>136</v>
      </c>
      <c r="E157" s="797" t="s">
        <v>1205</v>
      </c>
      <c r="F157" s="797"/>
      <c r="G157" s="797"/>
      <c r="H157" s="754"/>
      <c r="J157" s="755"/>
    </row>
    <row r="158" spans="1:12" s="781" customFormat="1" ht="20.100000000000001" customHeight="1" x14ac:dyDescent="0.25">
      <c r="B158" s="755" t="s">
        <v>50</v>
      </c>
      <c r="C158" s="797">
        <v>6929999.7299999995</v>
      </c>
      <c r="D158" s="797" t="s">
        <v>136</v>
      </c>
      <c r="E158" s="797" t="s">
        <v>1206</v>
      </c>
      <c r="G158" s="797"/>
      <c r="H158" s="754"/>
      <c r="J158" s="755"/>
    </row>
    <row r="159" spans="1:12" s="781" customFormat="1" ht="20.100000000000001" customHeight="1" thickBot="1" x14ac:dyDescent="0.3">
      <c r="B159" s="755"/>
      <c r="C159" s="337">
        <f>SUM(C155:C158)</f>
        <v>33230968.599999994</v>
      </c>
      <c r="D159" s="36" t="s">
        <v>136</v>
      </c>
      <c r="E159" s="797"/>
      <c r="F159" s="797"/>
      <c r="G159" s="797"/>
      <c r="H159" s="754"/>
      <c r="J159" s="755"/>
    </row>
    <row r="160" spans="1:12" ht="20.100000000000001" customHeight="1" thickTop="1" x14ac:dyDescent="0.3"/>
    <row r="161" spans="1:14" ht="21.75" customHeight="1" x14ac:dyDescent="0.3"/>
    <row r="162" spans="1:14" s="330" customFormat="1" ht="20.100000000000001" customHeight="1" x14ac:dyDescent="0.25">
      <c r="A162" s="899" t="s">
        <v>1325</v>
      </c>
      <c r="B162" s="899"/>
      <c r="C162" s="899"/>
      <c r="D162" s="899"/>
      <c r="E162" s="899"/>
      <c r="F162" s="899"/>
      <c r="G162" s="899"/>
      <c r="H162" s="899"/>
      <c r="I162" s="899"/>
      <c r="J162" s="899"/>
    </row>
    <row r="163" spans="1:14" s="781" customFormat="1" ht="20.100000000000001" customHeight="1" thickBot="1" x14ac:dyDescent="0.3">
      <c r="A163" s="900"/>
      <c r="B163" s="900"/>
      <c r="C163" s="900"/>
      <c r="D163" s="900"/>
      <c r="E163" s="900"/>
      <c r="F163" s="900"/>
      <c r="G163" s="900"/>
      <c r="H163" s="900"/>
      <c r="I163" s="900"/>
      <c r="J163" s="900"/>
      <c r="K163" s="803"/>
      <c r="L163" s="780"/>
      <c r="M163" s="41"/>
      <c r="N163" s="780"/>
    </row>
    <row r="164" spans="1:14" s="781" customFormat="1" ht="50.25" thickBot="1" x14ac:dyDescent="0.3">
      <c r="A164" s="783" t="s">
        <v>1326</v>
      </c>
      <c r="B164" s="752" t="s">
        <v>40</v>
      </c>
      <c r="C164" s="830" t="s">
        <v>1327</v>
      </c>
      <c r="D164" s="830" t="s">
        <v>42</v>
      </c>
      <c r="E164" s="830" t="s">
        <v>43</v>
      </c>
      <c r="F164" s="752" t="s">
        <v>44</v>
      </c>
      <c r="G164" s="752" t="s">
        <v>20</v>
      </c>
      <c r="H164" s="752" t="s">
        <v>174</v>
      </c>
      <c r="I164" s="784" t="s">
        <v>61</v>
      </c>
      <c r="J164" s="830" t="s">
        <v>46</v>
      </c>
    </row>
    <row r="165" spans="1:14" s="781" customFormat="1" ht="20.100000000000001" customHeight="1" x14ac:dyDescent="0.25">
      <c r="A165" s="786" t="s">
        <v>175</v>
      </c>
      <c r="B165" s="331">
        <f>SUM(I149)</f>
        <v>26300968.870017469</v>
      </c>
      <c r="C165" s="377">
        <f>356743005.06+23772508.64</f>
        <v>380515513.69999999</v>
      </c>
      <c r="D165" s="788">
        <v>60470118.329999998</v>
      </c>
      <c r="E165" s="788">
        <v>3381431.5100000002</v>
      </c>
      <c r="F165" s="377">
        <f>B165+C165-D165-E165</f>
        <v>342964932.73001748</v>
      </c>
      <c r="G165" s="332">
        <v>319115585.13</v>
      </c>
      <c r="H165" s="789">
        <f>G165/F165*100</f>
        <v>93.046126491657461</v>
      </c>
      <c r="I165" s="333">
        <f>F165-G165</f>
        <v>23849347.600017488</v>
      </c>
      <c r="J165" s="789">
        <f>I165/F165*100</f>
        <v>6.9538735083425367</v>
      </c>
    </row>
    <row r="166" spans="1:14" s="781" customFormat="1" ht="20.100000000000001" customHeight="1" x14ac:dyDescent="0.25">
      <c r="A166" s="334" t="s">
        <v>50</v>
      </c>
      <c r="B166" s="331">
        <f>SUM(I150)</f>
        <v>6929999.7300006449</v>
      </c>
      <c r="C166" s="335">
        <f>186568449.97+20017126.03</f>
        <v>206585576</v>
      </c>
      <c r="D166" s="811">
        <v>14314177.539999999</v>
      </c>
      <c r="E166" s="811">
        <v>116140</v>
      </c>
      <c r="F166" s="377">
        <f>B166+C166-D166-E166</f>
        <v>199085258.19000065</v>
      </c>
      <c r="G166" s="792">
        <v>179068132.15999997</v>
      </c>
      <c r="H166" s="789">
        <f>G166/F166*100</f>
        <v>89.945450400502793</v>
      </c>
      <c r="I166" s="788">
        <f>F166-G166</f>
        <v>20017126.030000687</v>
      </c>
      <c r="J166" s="789">
        <f>I166/F166*100</f>
        <v>10.054549599497205</v>
      </c>
    </row>
    <row r="167" spans="1:14" s="33" customFormat="1" ht="20.100000000000001" customHeight="1" thickBot="1" x14ac:dyDescent="0.3">
      <c r="A167" s="336" t="s">
        <v>36</v>
      </c>
      <c r="B167" s="239">
        <f t="shared" ref="B167" si="20">SUM(B165:B166)</f>
        <v>33230968.600018114</v>
      </c>
      <c r="C167" s="239">
        <f>SUM(C165:C166)</f>
        <v>587101089.70000005</v>
      </c>
      <c r="D167" s="766">
        <f t="shared" ref="D167:G167" si="21">SUM(D165:D166)</f>
        <v>74784295.870000005</v>
      </c>
      <c r="E167" s="766">
        <f t="shared" si="21"/>
        <v>3497571.5100000002</v>
      </c>
      <c r="F167" s="239">
        <f t="shared" si="21"/>
        <v>542050190.9200182</v>
      </c>
      <c r="G167" s="766">
        <f t="shared" si="21"/>
        <v>498183717.28999996</v>
      </c>
      <c r="H167" s="766">
        <f>G167/F167*100</f>
        <v>91.907304090131589</v>
      </c>
      <c r="I167" s="765">
        <f>SUM(I165:I166)</f>
        <v>43866473.630018175</v>
      </c>
      <c r="J167" s="766">
        <f>I167/F167*100</f>
        <v>8.0926959098684019</v>
      </c>
    </row>
    <row r="168" spans="1:14" s="781" customFormat="1" ht="20.100000000000001" customHeight="1" thickTop="1" x14ac:dyDescent="0.25">
      <c r="A168" s="793"/>
      <c r="B168" s="34"/>
      <c r="C168" s="34"/>
      <c r="D168" s="365"/>
      <c r="E168" s="365"/>
      <c r="F168" s="34"/>
      <c r="G168" s="365"/>
      <c r="H168" s="365"/>
      <c r="I168" s="362"/>
      <c r="J168" s="365"/>
    </row>
    <row r="169" spans="1:14" s="781" customFormat="1" ht="20.100000000000001" customHeight="1" x14ac:dyDescent="0.25">
      <c r="A169" s="767" t="s">
        <v>37</v>
      </c>
      <c r="B169" s="798"/>
      <c r="C169" s="797"/>
      <c r="D169" s="797"/>
      <c r="E169" s="797"/>
      <c r="F169" s="797"/>
      <c r="G169" s="797"/>
      <c r="H169" s="797"/>
      <c r="I169" s="782"/>
      <c r="J169" s="755"/>
    </row>
    <row r="170" spans="1:14" s="781" customFormat="1" ht="20.100000000000001" customHeight="1" x14ac:dyDescent="0.25">
      <c r="A170" s="31" t="s">
        <v>176</v>
      </c>
      <c r="B170" s="36" t="s">
        <v>52</v>
      </c>
      <c r="D170" s="797"/>
      <c r="E170" s="797"/>
      <c r="F170" s="797"/>
      <c r="G170" s="797"/>
      <c r="H170" s="797"/>
      <c r="I170" s="782"/>
      <c r="J170" s="755"/>
    </row>
    <row r="171" spans="1:14" s="781" customFormat="1" ht="20.100000000000001" customHeight="1" x14ac:dyDescent="0.25">
      <c r="B171" s="755" t="s">
        <v>47</v>
      </c>
      <c r="C171" s="797">
        <v>76838.960000000006</v>
      </c>
      <c r="D171" s="797" t="s">
        <v>136</v>
      </c>
      <c r="E171" s="797" t="s">
        <v>1203</v>
      </c>
      <c r="F171" s="797"/>
      <c r="G171" s="797"/>
      <c r="H171" s="754"/>
      <c r="J171" s="755"/>
    </row>
    <row r="172" spans="1:14" s="781" customFormat="1" ht="20.100000000000001" customHeight="1" x14ac:dyDescent="0.25">
      <c r="B172" s="755" t="s">
        <v>47</v>
      </c>
      <c r="C172" s="797">
        <v>23772508.640000001</v>
      </c>
      <c r="D172" s="797" t="s">
        <v>136</v>
      </c>
      <c r="E172" s="797" t="s">
        <v>1328</v>
      </c>
      <c r="F172" s="797"/>
      <c r="G172" s="797"/>
      <c r="H172" s="754"/>
      <c r="J172" s="755"/>
    </row>
    <row r="173" spans="1:14" s="781" customFormat="1" ht="20.100000000000001" customHeight="1" x14ac:dyDescent="0.25">
      <c r="B173" s="755" t="s">
        <v>50</v>
      </c>
      <c r="C173" s="797">
        <v>20017126.030000001</v>
      </c>
      <c r="D173" s="797" t="s">
        <v>136</v>
      </c>
      <c r="E173" s="797" t="s">
        <v>1329</v>
      </c>
      <c r="G173" s="797"/>
      <c r="H173" s="754"/>
      <c r="J173" s="755"/>
    </row>
    <row r="174" spans="1:14" s="781" customFormat="1" ht="20.100000000000001" customHeight="1" thickBot="1" x14ac:dyDescent="0.3">
      <c r="B174" s="755"/>
      <c r="C174" s="337">
        <f>SUM(C171:C173)</f>
        <v>43866473.630000003</v>
      </c>
      <c r="D174" s="36" t="s">
        <v>136</v>
      </c>
      <c r="E174" s="797"/>
      <c r="F174" s="797"/>
      <c r="G174" s="797"/>
      <c r="H174" s="754"/>
      <c r="J174" s="755"/>
    </row>
    <row r="175" spans="1:14" ht="20.100000000000001" customHeight="1" thickTop="1" x14ac:dyDescent="0.3"/>
    <row r="176" spans="1:14" ht="21.75" customHeight="1" x14ac:dyDescent="0.3"/>
    <row r="177" spans="1:14" s="330" customFormat="1" ht="20.100000000000001" customHeight="1" x14ac:dyDescent="0.25">
      <c r="A177" s="899" t="s">
        <v>1489</v>
      </c>
      <c r="B177" s="899"/>
      <c r="C177" s="899"/>
      <c r="D177" s="899"/>
      <c r="E177" s="899"/>
      <c r="F177" s="899"/>
      <c r="G177" s="899"/>
      <c r="H177" s="899"/>
      <c r="I177" s="899"/>
      <c r="J177" s="899"/>
    </row>
    <row r="178" spans="1:14" s="781" customFormat="1" ht="20.100000000000001" customHeight="1" thickBot="1" x14ac:dyDescent="0.3">
      <c r="A178" s="900"/>
      <c r="B178" s="900"/>
      <c r="C178" s="900"/>
      <c r="D178" s="900"/>
      <c r="E178" s="900"/>
      <c r="F178" s="900"/>
      <c r="G178" s="900"/>
      <c r="H178" s="900"/>
      <c r="I178" s="900"/>
      <c r="J178" s="900"/>
      <c r="K178" s="803"/>
      <c r="L178" s="780"/>
      <c r="M178" s="41"/>
      <c r="N178" s="780"/>
    </row>
    <row r="179" spans="1:14" s="781" customFormat="1" ht="50.25" thickBot="1" x14ac:dyDescent="0.3">
      <c r="A179" s="783" t="s">
        <v>1481</v>
      </c>
      <c r="B179" s="752" t="s">
        <v>40</v>
      </c>
      <c r="C179" s="830" t="s">
        <v>1439</v>
      </c>
      <c r="D179" s="830" t="s">
        <v>42</v>
      </c>
      <c r="E179" s="830" t="s">
        <v>43</v>
      </c>
      <c r="F179" s="752" t="s">
        <v>44</v>
      </c>
      <c r="G179" s="752" t="s">
        <v>20</v>
      </c>
      <c r="H179" s="752" t="s">
        <v>174</v>
      </c>
      <c r="I179" s="784" t="s">
        <v>61</v>
      </c>
      <c r="J179" s="830" t="s">
        <v>46</v>
      </c>
    </row>
    <row r="180" spans="1:14" s="781" customFormat="1" ht="20.100000000000001" customHeight="1" x14ac:dyDescent="0.25">
      <c r="A180" s="786" t="s">
        <v>175</v>
      </c>
      <c r="B180" s="331">
        <f>SUM(I165)</f>
        <v>23849347.600017488</v>
      </c>
      <c r="C180" s="377">
        <f>330781266.480001+15955043.55</f>
        <v>346736310.03000098</v>
      </c>
      <c r="D180" s="788">
        <v>94266911.209999993</v>
      </c>
      <c r="E180" s="788">
        <v>581130.29</v>
      </c>
      <c r="F180" s="377">
        <f>B180+C180-D180-E180</f>
        <v>275737616.13001847</v>
      </c>
      <c r="G180" s="377">
        <v>259590200.24000001</v>
      </c>
      <c r="H180" s="789">
        <f>G180/F180*100</f>
        <v>94.143919818903328</v>
      </c>
      <c r="I180" s="333">
        <f>F180-G180</f>
        <v>16147415.890018463</v>
      </c>
      <c r="J180" s="789">
        <f>I180/F180*100</f>
        <v>5.8560801810966829</v>
      </c>
    </row>
    <row r="181" spans="1:14" s="781" customFormat="1" ht="20.100000000000001" customHeight="1" x14ac:dyDescent="0.25">
      <c r="A181" s="334" t="s">
        <v>50</v>
      </c>
      <c r="B181" s="331">
        <f>SUM(I166)</f>
        <v>20017126.030000687</v>
      </c>
      <c r="C181" s="335">
        <f>267504560.04+12960185.21</f>
        <v>280464745.25</v>
      </c>
      <c r="D181" s="811">
        <v>21890321.760000002</v>
      </c>
      <c r="E181" s="811">
        <v>183075.05</v>
      </c>
      <c r="F181" s="377">
        <f>B181+C181-D181-E181</f>
        <v>278408474.47000068</v>
      </c>
      <c r="G181" s="792">
        <v>265448289.25999999</v>
      </c>
      <c r="H181" s="789">
        <f>G181/F181*100</f>
        <v>95.344902760351431</v>
      </c>
      <c r="I181" s="788">
        <f>F181-G181</f>
        <v>12960185.210000694</v>
      </c>
      <c r="J181" s="789">
        <f>I181/F181*100</f>
        <v>4.655097239648569</v>
      </c>
    </row>
    <row r="182" spans="1:14" s="33" customFormat="1" ht="20.100000000000001" customHeight="1" thickBot="1" x14ac:dyDescent="0.3">
      <c r="A182" s="336" t="s">
        <v>36</v>
      </c>
      <c r="B182" s="239">
        <f t="shared" ref="B182" si="22">SUM(B180:B181)</f>
        <v>43866473.630018175</v>
      </c>
      <c r="C182" s="239">
        <f>SUM(C180:C181)</f>
        <v>627201055.28000093</v>
      </c>
      <c r="D182" s="766">
        <f t="shared" ref="D182:G182" si="23">SUM(D180:D181)</f>
        <v>116157232.97</v>
      </c>
      <c r="E182" s="766">
        <f t="shared" si="23"/>
        <v>764205.34000000008</v>
      </c>
      <c r="F182" s="239">
        <f t="shared" si="23"/>
        <v>554146090.60001922</v>
      </c>
      <c r="G182" s="766">
        <f t="shared" si="23"/>
        <v>525038489.5</v>
      </c>
      <c r="H182" s="766">
        <f>G182/F182*100</f>
        <v>94.747305522177001</v>
      </c>
      <c r="I182" s="765">
        <f>SUM(I180:I181)</f>
        <v>29107601.100019157</v>
      </c>
      <c r="J182" s="766">
        <f>I182/F182*100</f>
        <v>5.2526944778229829</v>
      </c>
    </row>
    <row r="183" spans="1:14" s="781" customFormat="1" ht="20.100000000000001" customHeight="1" thickTop="1" x14ac:dyDescent="0.25">
      <c r="A183" s="793"/>
      <c r="B183" s="34"/>
      <c r="C183" s="34"/>
      <c r="D183" s="365"/>
      <c r="E183" s="365"/>
      <c r="F183" s="34"/>
      <c r="G183" s="365"/>
      <c r="H183" s="365"/>
      <c r="I183" s="362"/>
      <c r="J183" s="365"/>
    </row>
    <row r="184" spans="1:14" s="781" customFormat="1" ht="20.100000000000001" customHeight="1" x14ac:dyDescent="0.25">
      <c r="A184" s="767" t="s">
        <v>37</v>
      </c>
      <c r="B184" s="798"/>
      <c r="C184" s="797"/>
      <c r="D184" s="797"/>
      <c r="E184" s="797"/>
      <c r="F184" s="797"/>
      <c r="G184" s="797"/>
      <c r="H184" s="797"/>
      <c r="I184" s="782"/>
      <c r="J184" s="755"/>
    </row>
    <row r="185" spans="1:14" s="781" customFormat="1" ht="20.100000000000001" customHeight="1" x14ac:dyDescent="0.25">
      <c r="A185" s="31" t="s">
        <v>176</v>
      </c>
      <c r="B185" s="36" t="s">
        <v>52</v>
      </c>
      <c r="D185" s="797"/>
      <c r="E185" s="797"/>
      <c r="F185" s="797"/>
      <c r="G185" s="797"/>
      <c r="H185" s="797"/>
      <c r="I185" s="782"/>
      <c r="J185" s="755"/>
    </row>
    <row r="186" spans="1:14" s="781" customFormat="1" ht="20.100000000000001" customHeight="1" x14ac:dyDescent="0.25">
      <c r="B186" s="755" t="s">
        <v>47</v>
      </c>
      <c r="C186" s="797">
        <v>76838.960000000006</v>
      </c>
      <c r="D186" s="797" t="s">
        <v>136</v>
      </c>
      <c r="E186" s="797" t="s">
        <v>1490</v>
      </c>
      <c r="F186" s="797"/>
      <c r="G186" s="797"/>
      <c r="H186" s="754"/>
      <c r="J186" s="755"/>
    </row>
    <row r="187" spans="1:14" s="781" customFormat="1" ht="20.100000000000001" customHeight="1" x14ac:dyDescent="0.25">
      <c r="B187" s="755" t="s">
        <v>47</v>
      </c>
      <c r="C187" s="797">
        <v>115533.38</v>
      </c>
      <c r="D187" s="797" t="s">
        <v>136</v>
      </c>
      <c r="E187" s="797" t="s">
        <v>1491</v>
      </c>
      <c r="F187" s="797"/>
      <c r="G187" s="797"/>
      <c r="H187" s="754"/>
      <c r="J187" s="755"/>
      <c r="K187" s="780"/>
    </row>
    <row r="188" spans="1:14" s="781" customFormat="1" ht="20.100000000000001" customHeight="1" x14ac:dyDescent="0.25">
      <c r="B188" s="755" t="s">
        <v>47</v>
      </c>
      <c r="C188" s="797">
        <v>15955043.550000006</v>
      </c>
      <c r="D188" s="797" t="s">
        <v>136</v>
      </c>
      <c r="E188" s="797" t="s">
        <v>1492</v>
      </c>
      <c r="F188" s="797"/>
      <c r="G188" s="797"/>
      <c r="H188" s="754"/>
      <c r="J188" s="755"/>
      <c r="K188" s="780"/>
    </row>
    <row r="189" spans="1:14" s="781" customFormat="1" ht="20.100000000000001" customHeight="1" x14ac:dyDescent="0.25">
      <c r="B189" s="755" t="s">
        <v>50</v>
      </c>
      <c r="C189" s="797">
        <v>12960185.210000001</v>
      </c>
      <c r="D189" s="797" t="s">
        <v>136</v>
      </c>
      <c r="E189" s="797" t="s">
        <v>1492</v>
      </c>
      <c r="G189" s="797"/>
      <c r="H189" s="754"/>
      <c r="J189" s="755"/>
      <c r="K189" s="780"/>
    </row>
    <row r="190" spans="1:14" s="781" customFormat="1" ht="20.100000000000001" customHeight="1" thickBot="1" x14ac:dyDescent="0.3">
      <c r="B190" s="755"/>
      <c r="C190" s="337">
        <f>SUM(C186:C189)</f>
        <v>29107601.100000009</v>
      </c>
      <c r="D190" s="36" t="s">
        <v>136</v>
      </c>
      <c r="E190" s="797"/>
      <c r="F190" s="797"/>
      <c r="G190" s="797"/>
      <c r="H190" s="754"/>
      <c r="J190" s="755"/>
      <c r="K190" s="780"/>
    </row>
    <row r="191" spans="1:14" ht="20.100000000000001" customHeight="1" thickTop="1" x14ac:dyDescent="0.3"/>
    <row r="192" spans="1:14" ht="21.75" customHeight="1" x14ac:dyDescent="0.3"/>
    <row r="193" ht="21.75" customHeight="1" x14ac:dyDescent="0.3"/>
    <row r="194" ht="21.75" customHeight="1" x14ac:dyDescent="0.3"/>
    <row r="195" ht="21.75" customHeight="1" x14ac:dyDescent="0.3"/>
  </sheetData>
  <mergeCells count="12">
    <mergeCell ref="A98:J99"/>
    <mergeCell ref="A82:J83"/>
    <mergeCell ref="A1:J2"/>
    <mergeCell ref="A17:J18"/>
    <mergeCell ref="A34:J35"/>
    <mergeCell ref="A50:J51"/>
    <mergeCell ref="A66:J67"/>
    <mergeCell ref="A177:J178"/>
    <mergeCell ref="A162:J163"/>
    <mergeCell ref="A146:J147"/>
    <mergeCell ref="A130:J131"/>
    <mergeCell ref="A115:J1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2"/>
  <sheetViews>
    <sheetView topLeftCell="A241" zoomScaleNormal="100" workbookViewId="0">
      <selection activeCell="E252" sqref="E252"/>
    </sheetView>
  </sheetViews>
  <sheetFormatPr defaultRowHeight="24" customHeight="1" x14ac:dyDescent="0.3"/>
  <cols>
    <col min="1" max="1" width="29.5703125" style="78" customWidth="1"/>
    <col min="2" max="10" width="20.7109375" style="78" customWidth="1"/>
    <col min="11" max="11" width="28.140625" style="78" bestFit="1" customWidth="1"/>
    <col min="12" max="16384" width="9.140625" style="78"/>
  </cols>
  <sheetData>
    <row r="1" spans="1:14" s="18" customFormat="1" ht="30" customHeight="1" x14ac:dyDescent="0.25">
      <c r="A1" s="163"/>
      <c r="B1" s="166"/>
      <c r="C1" s="165" t="s">
        <v>57</v>
      </c>
      <c r="D1" s="165"/>
      <c r="E1" s="165"/>
      <c r="F1" s="165"/>
      <c r="G1" s="165"/>
      <c r="H1" s="192"/>
      <c r="I1" s="163"/>
      <c r="J1" s="163"/>
      <c r="K1" s="96"/>
      <c r="L1" s="97"/>
      <c r="M1" s="21"/>
    </row>
    <row r="2" spans="1:14" s="21" customFormat="1" ht="20.100000000000001" customHeight="1" thickBot="1" x14ac:dyDescent="0.3">
      <c r="K2" s="96"/>
      <c r="L2" s="96"/>
    </row>
    <row r="3" spans="1:14" s="18" customFormat="1" ht="50.25" thickBot="1" x14ac:dyDescent="0.3">
      <c r="A3" s="169" t="s">
        <v>13</v>
      </c>
      <c r="B3" s="170" t="s">
        <v>14</v>
      </c>
      <c r="C3" s="171" t="s">
        <v>58</v>
      </c>
      <c r="D3" s="171" t="s">
        <v>17</v>
      </c>
      <c r="E3" s="171" t="s">
        <v>18</v>
      </c>
      <c r="F3" s="170" t="s">
        <v>19</v>
      </c>
      <c r="G3" s="170" t="s">
        <v>59</v>
      </c>
      <c r="H3" s="170" t="s">
        <v>60</v>
      </c>
      <c r="I3" s="170" t="s">
        <v>61</v>
      </c>
      <c r="J3" s="171" t="s">
        <v>23</v>
      </c>
      <c r="K3" s="98"/>
      <c r="L3" s="97"/>
      <c r="M3" s="21"/>
    </row>
    <row r="4" spans="1:14" s="18" customFormat="1" ht="20.100000000000001" customHeight="1" x14ac:dyDescent="0.25">
      <c r="A4" s="193" t="s">
        <v>47</v>
      </c>
      <c r="B4" s="176">
        <v>6710709.1300000623</v>
      </c>
      <c r="C4" s="174">
        <v>14504288.380000001</v>
      </c>
      <c r="D4" s="194">
        <f>1710904.92+9631106.58</f>
        <v>11342011.5</v>
      </c>
      <c r="E4" s="177">
        <v>2395100.13</v>
      </c>
      <c r="F4" s="174">
        <f>B4+C4-D4-E4</f>
        <v>7477885.8800000651</v>
      </c>
      <c r="G4" s="177">
        <f>3534869.27+11023852.36-D4-E4</f>
        <v>821609.99999999907</v>
      </c>
      <c r="H4" s="177">
        <f t="shared" ref="H4:H6" si="0">G4/F4*100</f>
        <v>10.987196290296849</v>
      </c>
      <c r="I4" s="176">
        <f>F4-G4</f>
        <v>6656275.880000066</v>
      </c>
      <c r="J4" s="177">
        <f t="shared" ref="J4:J5" si="1">I4/F4*100</f>
        <v>89.012803709703149</v>
      </c>
      <c r="K4" s="57"/>
      <c r="L4" s="97"/>
      <c r="M4" s="21"/>
      <c r="N4" s="57"/>
    </row>
    <row r="5" spans="1:14" s="18" customFormat="1" ht="20.100000000000001" customHeight="1" thickBot="1" x14ac:dyDescent="0.3">
      <c r="A5" s="195" t="s">
        <v>50</v>
      </c>
      <c r="B5" s="196">
        <v>1.1175870895385742E-8</v>
      </c>
      <c r="C5" s="197">
        <v>8308378.1399999997</v>
      </c>
      <c r="D5" s="194"/>
      <c r="E5" s="198">
        <v>8137.14</v>
      </c>
      <c r="F5" s="197">
        <f t="shared" ref="F5" si="2">B5+C5-D5-E5</f>
        <v>8300241.0000000112</v>
      </c>
      <c r="G5" s="199">
        <f>1119304.14+7169584.42-E5-D5</f>
        <v>8280751.4199999999</v>
      </c>
      <c r="H5" s="198">
        <f t="shared" si="0"/>
        <v>99.765192601033988</v>
      </c>
      <c r="I5" s="196">
        <f t="shared" ref="I5" si="3">F5-G5</f>
        <v>19489.58000001125</v>
      </c>
      <c r="J5" s="198">
        <f t="shared" si="1"/>
        <v>0.23480739896602065</v>
      </c>
      <c r="K5" s="96"/>
      <c r="L5" s="97"/>
      <c r="M5" s="21"/>
    </row>
    <row r="6" spans="1:14" s="18" customFormat="1" ht="20.100000000000001" customHeight="1" thickTop="1" thickBot="1" x14ac:dyDescent="0.3">
      <c r="A6" s="200" t="s">
        <v>36</v>
      </c>
      <c r="B6" s="201">
        <f t="shared" ref="B6:G6" si="4">SUM(B4:B5)</f>
        <v>6710709.1300000735</v>
      </c>
      <c r="C6" s="202">
        <f t="shared" si="4"/>
        <v>22812666.52</v>
      </c>
      <c r="D6" s="203">
        <f t="shared" si="4"/>
        <v>11342011.5</v>
      </c>
      <c r="E6" s="203">
        <f t="shared" si="4"/>
        <v>2403237.27</v>
      </c>
      <c r="F6" s="202">
        <f t="shared" si="4"/>
        <v>15778126.880000077</v>
      </c>
      <c r="G6" s="203">
        <f t="shared" si="4"/>
        <v>9102361.4199999981</v>
      </c>
      <c r="H6" s="203">
        <f t="shared" si="0"/>
        <v>57.689746629797376</v>
      </c>
      <c r="I6" s="201">
        <f>SUM(I4:I5)</f>
        <v>6675765.4600000773</v>
      </c>
      <c r="J6" s="203">
        <f>I6/F6*100</f>
        <v>42.310253370202616</v>
      </c>
      <c r="K6" s="204"/>
      <c r="L6" s="97"/>
      <c r="M6" s="21"/>
    </row>
    <row r="7" spans="1:14" s="18" customFormat="1" ht="20.100000000000001" customHeight="1" thickTop="1" x14ac:dyDescent="0.25">
      <c r="A7" s="27"/>
      <c r="B7" s="28"/>
      <c r="C7" s="28"/>
      <c r="D7" s="29"/>
      <c r="E7" s="29"/>
      <c r="F7" s="28"/>
      <c r="G7" s="29"/>
      <c r="H7" s="29"/>
      <c r="I7" s="29"/>
      <c r="J7" s="29"/>
      <c r="K7" s="96"/>
      <c r="L7" s="97"/>
      <c r="M7" s="21"/>
    </row>
    <row r="8" spans="1:14" s="18" customFormat="1" ht="20.100000000000001" customHeight="1" x14ac:dyDescent="0.25">
      <c r="A8" s="123" t="s">
        <v>37</v>
      </c>
      <c r="B8" s="30"/>
      <c r="C8" s="21"/>
      <c r="D8" s="21"/>
      <c r="E8" s="21"/>
      <c r="F8" s="64"/>
      <c r="G8" s="64"/>
      <c r="H8" s="22"/>
      <c r="K8" s="96"/>
      <c r="L8" s="97"/>
      <c r="M8" s="21"/>
    </row>
    <row r="9" spans="1:14" s="18" customFormat="1" ht="20.100000000000001" customHeight="1" x14ac:dyDescent="0.25">
      <c r="B9" s="205" t="s">
        <v>62</v>
      </c>
      <c r="C9" s="206"/>
      <c r="D9" s="21"/>
      <c r="E9" s="21"/>
      <c r="F9" s="64"/>
      <c r="G9" s="64"/>
      <c r="H9" s="22"/>
      <c r="K9" s="96"/>
      <c r="L9" s="97"/>
      <c r="M9" s="21"/>
    </row>
    <row r="10" spans="1:14" s="18" customFormat="1" ht="20.100000000000001" customHeight="1" x14ac:dyDescent="0.2">
      <c r="A10" s="18" t="s">
        <v>63</v>
      </c>
      <c r="B10" s="18" t="s">
        <v>64</v>
      </c>
      <c r="D10" s="21">
        <v>5820.31</v>
      </c>
      <c r="E10" s="21" t="s">
        <v>55</v>
      </c>
      <c r="F10" s="207" t="s">
        <v>65</v>
      </c>
      <c r="H10" s="21"/>
      <c r="K10" s="96"/>
      <c r="L10" s="96"/>
      <c r="M10" s="21"/>
    </row>
    <row r="11" spans="1:14" s="18" customFormat="1" ht="20.100000000000001" customHeight="1" x14ac:dyDescent="0.25">
      <c r="A11" s="18" t="s">
        <v>63</v>
      </c>
      <c r="B11" s="18" t="s">
        <v>66</v>
      </c>
      <c r="D11" s="21">
        <v>626734.56999999995</v>
      </c>
      <c r="E11" s="21" t="s">
        <v>55</v>
      </c>
      <c r="F11" s="21" t="s">
        <v>67</v>
      </c>
      <c r="H11" s="21"/>
      <c r="K11" s="96"/>
      <c r="L11" s="96"/>
      <c r="M11" s="21"/>
    </row>
    <row r="12" spans="1:14" s="18" customFormat="1" ht="20.100000000000001" customHeight="1" x14ac:dyDescent="0.25">
      <c r="B12" s="18" t="s">
        <v>68</v>
      </c>
      <c r="D12" s="21">
        <f>5326141.99+655.78</f>
        <v>5326797.7700000005</v>
      </c>
      <c r="E12" s="21" t="s">
        <v>55</v>
      </c>
      <c r="F12" s="21" t="s">
        <v>69</v>
      </c>
      <c r="H12" s="21"/>
      <c r="K12" s="96"/>
      <c r="L12" s="96"/>
      <c r="M12" s="21"/>
    </row>
    <row r="13" spans="1:14" s="18" customFormat="1" ht="20.100000000000001" customHeight="1" x14ac:dyDescent="0.25">
      <c r="B13" s="18" t="s">
        <v>76</v>
      </c>
      <c r="D13" s="21">
        <v>11026.06</v>
      </c>
      <c r="E13" s="21" t="s">
        <v>55</v>
      </c>
      <c r="F13" s="21" t="s">
        <v>77</v>
      </c>
      <c r="H13" s="21"/>
      <c r="K13" s="96"/>
      <c r="L13" s="96"/>
      <c r="M13" s="21"/>
    </row>
    <row r="14" spans="1:14" s="18" customFormat="1" ht="20.100000000000001" customHeight="1" x14ac:dyDescent="0.25">
      <c r="B14" s="18" t="s">
        <v>78</v>
      </c>
      <c r="D14" s="21">
        <v>683262.9</v>
      </c>
      <c r="E14" s="21" t="s">
        <v>55</v>
      </c>
      <c r="F14" s="21" t="s">
        <v>70</v>
      </c>
      <c r="H14" s="21"/>
      <c r="K14" s="96"/>
      <c r="L14" s="97"/>
      <c r="M14" s="21"/>
    </row>
    <row r="15" spans="1:14" s="18" customFormat="1" ht="20.100000000000001" customHeight="1" x14ac:dyDescent="0.25">
      <c r="B15" s="18" t="s">
        <v>79</v>
      </c>
      <c r="D15" s="21">
        <v>2634.27</v>
      </c>
      <c r="E15" s="21" t="s">
        <v>55</v>
      </c>
      <c r="F15" s="21" t="s">
        <v>71</v>
      </c>
      <c r="H15" s="21"/>
      <c r="K15" s="96"/>
      <c r="L15" s="97"/>
      <c r="M15" s="21"/>
    </row>
    <row r="16" spans="1:14" s="27" customFormat="1" ht="20.100000000000001" customHeight="1" x14ac:dyDescent="0.25">
      <c r="B16" s="27" t="s">
        <v>72</v>
      </c>
      <c r="D16" s="129">
        <f>SUM(D10:D15)</f>
        <v>6656275.8799999999</v>
      </c>
      <c r="E16" s="28"/>
      <c r="F16" s="28"/>
      <c r="H16" s="28"/>
      <c r="K16" s="116"/>
      <c r="L16" s="128"/>
      <c r="M16" s="28"/>
    </row>
    <row r="17" spans="1:14" customFormat="1" ht="15" x14ac:dyDescent="0.25">
      <c r="B17" s="226"/>
      <c r="C17" s="226"/>
      <c r="D17" s="226"/>
      <c r="E17" s="226"/>
      <c r="F17" s="226"/>
      <c r="G17" s="226"/>
      <c r="H17" s="226"/>
      <c r="I17" s="226"/>
      <c r="J17" s="226"/>
      <c r="K17" s="208"/>
      <c r="L17" s="208"/>
    </row>
    <row r="18" spans="1:14" s="18" customFormat="1" ht="20.100000000000001" customHeight="1" x14ac:dyDescent="0.25">
      <c r="B18" s="205" t="s">
        <v>73</v>
      </c>
      <c r="C18" s="209"/>
      <c r="D18" s="21"/>
      <c r="E18" s="21"/>
      <c r="F18" s="21"/>
      <c r="H18" s="21"/>
      <c r="K18" s="96"/>
      <c r="L18" s="97"/>
      <c r="M18" s="21"/>
    </row>
    <row r="19" spans="1:14" s="210" customFormat="1" ht="16.5" x14ac:dyDescent="0.3">
      <c r="A19" s="18"/>
      <c r="B19" s="18" t="s">
        <v>74</v>
      </c>
      <c r="D19" s="211">
        <v>19489.580000000002</v>
      </c>
      <c r="E19" s="21" t="s">
        <v>55</v>
      </c>
      <c r="F19" s="19" t="s">
        <v>75</v>
      </c>
      <c r="K19" s="212"/>
      <c r="L19" s="212"/>
      <c r="M19" s="211"/>
    </row>
    <row r="20" spans="1:14" s="18" customFormat="1" ht="20.100000000000001" customHeight="1" thickBot="1" x14ac:dyDescent="0.3">
      <c r="D20" s="189">
        <f>SUM(D19:D19)</f>
        <v>19489.580000000002</v>
      </c>
      <c r="E20" s="21"/>
      <c r="F20" s="21"/>
      <c r="G20" s="21"/>
      <c r="H20" s="21"/>
      <c r="K20" s="96"/>
      <c r="L20" s="97"/>
      <c r="M20" s="21"/>
    </row>
    <row r="21" spans="1:14" s="18" customFormat="1" ht="20.100000000000001" customHeight="1" thickTop="1" x14ac:dyDescent="0.25">
      <c r="C21" s="21"/>
      <c r="D21" s="21"/>
      <c r="E21" s="21"/>
      <c r="G21" s="21"/>
      <c r="H21" s="22"/>
      <c r="K21" s="96"/>
      <c r="L21" s="97"/>
      <c r="M21" s="21"/>
    </row>
    <row r="22" spans="1:14" s="18" customFormat="1" ht="20.100000000000001" customHeight="1" x14ac:dyDescent="0.25">
      <c r="C22" s="21"/>
      <c r="D22" s="21"/>
      <c r="E22" s="21"/>
      <c r="G22" s="21"/>
      <c r="H22" s="22"/>
      <c r="K22" s="96"/>
      <c r="L22" s="96"/>
      <c r="M22" s="21"/>
    </row>
    <row r="23" spans="1:14" s="354" customFormat="1" ht="30" customHeight="1" x14ac:dyDescent="0.25">
      <c r="A23" s="163"/>
      <c r="B23" s="166"/>
      <c r="C23" s="165" t="s">
        <v>308</v>
      </c>
      <c r="D23" s="165"/>
      <c r="E23" s="165"/>
      <c r="F23" s="165"/>
      <c r="G23" s="165"/>
      <c r="H23" s="192"/>
      <c r="I23" s="163"/>
      <c r="J23" s="163"/>
      <c r="K23" s="96"/>
      <c r="L23" s="97"/>
      <c r="M23" s="357"/>
    </row>
    <row r="24" spans="1:14" s="357" customFormat="1" ht="20.100000000000001" customHeight="1" thickBot="1" x14ac:dyDescent="0.3">
      <c r="K24" s="96"/>
      <c r="L24" s="96"/>
    </row>
    <row r="25" spans="1:14" s="354" customFormat="1" ht="50.25" thickBot="1" x14ac:dyDescent="0.3">
      <c r="A25" s="169" t="s">
        <v>263</v>
      </c>
      <c r="B25" s="170" t="s">
        <v>14</v>
      </c>
      <c r="C25" s="171" t="s">
        <v>253</v>
      </c>
      <c r="D25" s="171" t="s">
        <v>17</v>
      </c>
      <c r="E25" s="171" t="s">
        <v>18</v>
      </c>
      <c r="F25" s="170" t="s">
        <v>19</v>
      </c>
      <c r="G25" s="170" t="s">
        <v>59</v>
      </c>
      <c r="H25" s="170" t="s">
        <v>60</v>
      </c>
      <c r="I25" s="170" t="s">
        <v>61</v>
      </c>
      <c r="J25" s="171" t="s">
        <v>23</v>
      </c>
      <c r="K25" s="98"/>
      <c r="L25" s="97"/>
      <c r="M25" s="357"/>
    </row>
    <row r="26" spans="1:14" s="354" customFormat="1" ht="20.100000000000001" customHeight="1" x14ac:dyDescent="0.25">
      <c r="A26" s="378" t="s">
        <v>47</v>
      </c>
      <c r="B26" s="373">
        <v>6656275.880000066</v>
      </c>
      <c r="C26" s="372">
        <v>15981045.75</v>
      </c>
      <c r="D26" s="194">
        <v>3701789.67</v>
      </c>
      <c r="E26" s="374">
        <v>805050.29</v>
      </c>
      <c r="F26" s="372">
        <f>B26+C26-D26-E26</f>
        <v>18130481.670000069</v>
      </c>
      <c r="G26" s="374">
        <f>19973889.51-D26-E26</f>
        <v>15467049.550000001</v>
      </c>
      <c r="H26" s="374">
        <f t="shared" ref="H26:H28" si="5">G26/F26*100</f>
        <v>85.309645002939078</v>
      </c>
      <c r="I26" s="373">
        <f>F26-G26</f>
        <v>2663432.1200000681</v>
      </c>
      <c r="J26" s="374">
        <f t="shared" ref="J26:J28" si="6">I26/F26*100</f>
        <v>14.690354997060915</v>
      </c>
      <c r="K26" s="57"/>
      <c r="L26" s="97"/>
      <c r="M26" s="357"/>
      <c r="N26" s="57"/>
    </row>
    <row r="27" spans="1:14" s="354" customFormat="1" ht="20.100000000000001" customHeight="1" thickBot="1" x14ac:dyDescent="0.3">
      <c r="A27" s="381" t="s">
        <v>50</v>
      </c>
      <c r="B27" s="382">
        <v>19489.58000001125</v>
      </c>
      <c r="C27" s="197">
        <v>7739175.3899999997</v>
      </c>
      <c r="D27" s="194"/>
      <c r="E27" s="198"/>
      <c r="F27" s="197">
        <f t="shared" ref="F27" si="7">B27+C27-D27-E27</f>
        <v>7758664.9700000109</v>
      </c>
      <c r="G27" s="199">
        <f>7077077.11-E27-D27</f>
        <v>7077077.1100000003</v>
      </c>
      <c r="H27" s="198">
        <f t="shared" si="5"/>
        <v>91.215139941788081</v>
      </c>
      <c r="I27" s="382">
        <f t="shared" ref="I27" si="8">F27-G27</f>
        <v>681587.86000001058</v>
      </c>
      <c r="J27" s="198">
        <f t="shared" si="6"/>
        <v>8.7848600582119172</v>
      </c>
      <c r="K27" s="96"/>
      <c r="L27" s="97"/>
      <c r="M27" s="357"/>
    </row>
    <row r="28" spans="1:14" s="354" customFormat="1" ht="20.100000000000001" customHeight="1" thickTop="1" thickBot="1" x14ac:dyDescent="0.3">
      <c r="A28" s="200" t="s">
        <v>36</v>
      </c>
      <c r="B28" s="201">
        <f t="shared" ref="B28:G28" si="9">SUM(B26:B27)</f>
        <v>6675765.4600000773</v>
      </c>
      <c r="C28" s="202">
        <f t="shared" si="9"/>
        <v>23720221.140000001</v>
      </c>
      <c r="D28" s="203">
        <f t="shared" si="9"/>
        <v>3701789.67</v>
      </c>
      <c r="E28" s="203">
        <f t="shared" si="9"/>
        <v>805050.29</v>
      </c>
      <c r="F28" s="202">
        <f t="shared" si="9"/>
        <v>25889146.640000079</v>
      </c>
      <c r="G28" s="203">
        <f t="shared" si="9"/>
        <v>22544126.66</v>
      </c>
      <c r="H28" s="203">
        <f t="shared" si="5"/>
        <v>87.079450603320197</v>
      </c>
      <c r="I28" s="201">
        <f>SUM(I26:I27)</f>
        <v>3345019.9800000787</v>
      </c>
      <c r="J28" s="203">
        <f t="shared" si="6"/>
        <v>12.920549396679798</v>
      </c>
      <c r="K28" s="204"/>
      <c r="L28" s="97"/>
      <c r="M28" s="357"/>
    </row>
    <row r="29" spans="1:14" s="226" customFormat="1" ht="15.75" thickTop="1" x14ac:dyDescent="0.25">
      <c r="K29" s="498"/>
      <c r="L29" s="498"/>
    </row>
    <row r="30" spans="1:14" s="354" customFormat="1" ht="20.100000000000001" customHeight="1" x14ac:dyDescent="0.25">
      <c r="A30" s="398" t="s">
        <v>37</v>
      </c>
      <c r="B30" s="364"/>
      <c r="C30" s="357"/>
      <c r="D30" s="357"/>
      <c r="E30" s="357"/>
      <c r="F30" s="64"/>
      <c r="G30" s="64"/>
      <c r="H30" s="22"/>
      <c r="K30" s="96"/>
      <c r="L30" s="97"/>
      <c r="M30" s="357"/>
    </row>
    <row r="31" spans="1:14" s="354" customFormat="1" ht="20.100000000000001" customHeight="1" x14ac:dyDescent="0.25">
      <c r="B31" s="205" t="s">
        <v>62</v>
      </c>
      <c r="C31" s="206"/>
      <c r="D31" s="357"/>
      <c r="E31" s="357"/>
      <c r="F31" s="64"/>
      <c r="G31" s="64"/>
      <c r="H31" s="22"/>
      <c r="K31" s="96"/>
      <c r="L31" s="97"/>
      <c r="M31" s="357"/>
    </row>
    <row r="32" spans="1:14" s="354" customFormat="1" ht="20.100000000000001" customHeight="1" x14ac:dyDescent="0.2">
      <c r="A32" s="354" t="s">
        <v>63</v>
      </c>
      <c r="B32" s="354" t="s">
        <v>64</v>
      </c>
      <c r="D32" s="357">
        <v>5820.31</v>
      </c>
      <c r="E32" s="357" t="s">
        <v>55</v>
      </c>
      <c r="F32" s="207" t="s">
        <v>65</v>
      </c>
      <c r="H32" s="357"/>
      <c r="K32" s="96"/>
      <c r="L32" s="96"/>
      <c r="M32" s="357"/>
    </row>
    <row r="33" spans="1:13" s="354" customFormat="1" ht="20.100000000000001" customHeight="1" x14ac:dyDescent="0.25">
      <c r="A33" s="354" t="s">
        <v>63</v>
      </c>
      <c r="B33" s="354" t="s">
        <v>309</v>
      </c>
      <c r="D33" s="357">
        <v>695765.62</v>
      </c>
      <c r="E33" s="357" t="s">
        <v>55</v>
      </c>
      <c r="F33" s="357" t="s">
        <v>67</v>
      </c>
      <c r="H33" s="357"/>
      <c r="K33" s="96"/>
      <c r="L33" s="96"/>
      <c r="M33" s="357"/>
    </row>
    <row r="34" spans="1:13" s="354" customFormat="1" ht="20.100000000000001" customHeight="1" x14ac:dyDescent="0.25">
      <c r="B34" s="354" t="s">
        <v>310</v>
      </c>
      <c r="D34" s="357">
        <v>620902.88</v>
      </c>
      <c r="E34" s="357" t="s">
        <v>55</v>
      </c>
      <c r="F34" s="357" t="s">
        <v>69</v>
      </c>
      <c r="H34" s="357"/>
      <c r="K34" s="96"/>
      <c r="L34" s="96"/>
      <c r="M34" s="357"/>
    </row>
    <row r="35" spans="1:13" s="354" customFormat="1" ht="20.100000000000001" customHeight="1" x14ac:dyDescent="0.25">
      <c r="B35" s="354" t="s">
        <v>311</v>
      </c>
      <c r="D35" s="357">
        <v>280466.43</v>
      </c>
      <c r="E35" s="357" t="s">
        <v>55</v>
      </c>
      <c r="F35" s="357" t="s">
        <v>70</v>
      </c>
      <c r="H35" s="357"/>
      <c r="K35" s="96"/>
      <c r="L35" s="97"/>
      <c r="M35" s="357"/>
    </row>
    <row r="36" spans="1:13" s="354" customFormat="1" ht="20.100000000000001" customHeight="1" x14ac:dyDescent="0.25">
      <c r="B36" s="354" t="s">
        <v>312</v>
      </c>
      <c r="D36" s="357">
        <v>5110.46</v>
      </c>
      <c r="E36" s="357" t="s">
        <v>55</v>
      </c>
      <c r="F36" s="357" t="s">
        <v>71</v>
      </c>
      <c r="H36" s="357"/>
      <c r="K36" s="96"/>
      <c r="L36" s="97"/>
      <c r="M36" s="357"/>
    </row>
    <row r="37" spans="1:13" s="354" customFormat="1" ht="20.100000000000001" customHeight="1" x14ac:dyDescent="0.25">
      <c r="B37" s="354" t="s">
        <v>368</v>
      </c>
      <c r="D37" s="357">
        <v>10503.87</v>
      </c>
      <c r="E37" s="357" t="s">
        <v>55</v>
      </c>
      <c r="F37" s="357" t="s">
        <v>313</v>
      </c>
      <c r="H37" s="357"/>
      <c r="K37" s="96"/>
      <c r="L37" s="97"/>
      <c r="M37" s="357"/>
    </row>
    <row r="38" spans="1:13" s="354" customFormat="1" ht="20.100000000000001" customHeight="1" x14ac:dyDescent="0.25">
      <c r="B38" s="354" t="s">
        <v>369</v>
      </c>
      <c r="D38" s="357">
        <v>967691.54</v>
      </c>
      <c r="E38" s="357" t="s">
        <v>55</v>
      </c>
      <c r="F38" s="357" t="s">
        <v>314</v>
      </c>
      <c r="H38" s="357"/>
      <c r="K38" s="96"/>
      <c r="L38" s="97"/>
      <c r="M38" s="357"/>
    </row>
    <row r="39" spans="1:13" s="354" customFormat="1" ht="20.100000000000001" customHeight="1" x14ac:dyDescent="0.25">
      <c r="B39" s="354" t="s">
        <v>370</v>
      </c>
      <c r="D39" s="357">
        <v>77171.009999999995</v>
      </c>
      <c r="E39" s="357" t="s">
        <v>55</v>
      </c>
      <c r="F39" s="355" t="s">
        <v>315</v>
      </c>
      <c r="H39" s="357"/>
      <c r="J39" s="26"/>
      <c r="K39" s="96"/>
      <c r="L39" s="96"/>
      <c r="M39" s="357"/>
    </row>
    <row r="40" spans="1:13" s="360" customFormat="1" ht="20.100000000000001" customHeight="1" x14ac:dyDescent="0.25">
      <c r="B40" s="360" t="s">
        <v>72</v>
      </c>
      <c r="D40" s="129">
        <f>SUM(D32:D39)</f>
        <v>2663432.12</v>
      </c>
      <c r="E40" s="361"/>
      <c r="F40" s="361"/>
      <c r="H40" s="361"/>
      <c r="K40" s="116"/>
      <c r="L40" s="128"/>
      <c r="M40" s="361"/>
    </row>
    <row r="41" spans="1:13" s="226" customFormat="1" ht="15" x14ac:dyDescent="0.25">
      <c r="K41" s="498"/>
      <c r="L41" s="498"/>
    </row>
    <row r="42" spans="1:13" s="354" customFormat="1" ht="20.100000000000001" customHeight="1" x14ac:dyDescent="0.25">
      <c r="B42" s="205" t="s">
        <v>73</v>
      </c>
      <c r="C42" s="209"/>
      <c r="D42" s="357"/>
      <c r="E42" s="357"/>
      <c r="F42" s="357"/>
      <c r="H42" s="357"/>
      <c r="K42" s="96"/>
      <c r="L42" s="97"/>
      <c r="M42" s="357"/>
    </row>
    <row r="43" spans="1:13" s="210" customFormat="1" ht="16.5" x14ac:dyDescent="0.3">
      <c r="A43" s="354"/>
      <c r="B43" s="354" t="s">
        <v>316</v>
      </c>
      <c r="D43" s="211">
        <v>681587.86</v>
      </c>
      <c r="E43" s="357" t="s">
        <v>55</v>
      </c>
      <c r="F43" s="357" t="s">
        <v>317</v>
      </c>
      <c r="K43" s="212"/>
      <c r="L43" s="212"/>
      <c r="M43" s="211"/>
    </row>
    <row r="44" spans="1:13" s="354" customFormat="1" ht="20.100000000000001" customHeight="1" thickBot="1" x14ac:dyDescent="0.3">
      <c r="D44" s="189">
        <f>SUM(D43:D43)</f>
        <v>681587.86</v>
      </c>
      <c r="E44" s="357"/>
      <c r="F44" s="357"/>
      <c r="G44" s="357"/>
      <c r="H44" s="357"/>
      <c r="K44" s="96"/>
      <c r="L44" s="97"/>
      <c r="M44" s="357"/>
    </row>
    <row r="45" spans="1:13" ht="17.25" thickTop="1" x14ac:dyDescent="0.3">
      <c r="A45" s="18"/>
      <c r="B45" s="18"/>
      <c r="C45" s="79"/>
      <c r="D45" s="21"/>
      <c r="E45" s="21"/>
      <c r="K45" s="151"/>
      <c r="L45" s="151"/>
      <c r="M45" s="79"/>
    </row>
    <row r="46" spans="1:13" s="18" customFormat="1" ht="20.100000000000001" customHeight="1" x14ac:dyDescent="0.25">
      <c r="C46" s="21"/>
      <c r="D46" s="21"/>
      <c r="E46" s="21"/>
      <c r="G46" s="21"/>
      <c r="H46" s="22"/>
      <c r="K46" s="96"/>
      <c r="L46" s="97"/>
      <c r="M46" s="21"/>
    </row>
    <row r="47" spans="1:13" s="354" customFormat="1" ht="30" customHeight="1" x14ac:dyDescent="0.25">
      <c r="A47" s="163"/>
      <c r="B47" s="166"/>
      <c r="C47" s="165" t="s">
        <v>439</v>
      </c>
      <c r="D47" s="165"/>
      <c r="E47" s="165"/>
      <c r="F47" s="165"/>
      <c r="G47" s="165"/>
      <c r="H47" s="192"/>
      <c r="I47" s="163"/>
      <c r="J47" s="163"/>
      <c r="K47" s="96"/>
      <c r="L47" s="97"/>
      <c r="M47" s="357"/>
    </row>
    <row r="48" spans="1:13" s="357" customFormat="1" ht="20.100000000000001" customHeight="1" thickBot="1" x14ac:dyDescent="0.3">
      <c r="K48" s="96"/>
      <c r="L48" s="96"/>
    </row>
    <row r="49" spans="1:14" s="354" customFormat="1" ht="50.25" thickBot="1" x14ac:dyDescent="0.3">
      <c r="A49" s="169" t="s">
        <v>373</v>
      </c>
      <c r="B49" s="170" t="s">
        <v>14</v>
      </c>
      <c r="C49" s="171" t="s">
        <v>335</v>
      </c>
      <c r="D49" s="171" t="s">
        <v>17</v>
      </c>
      <c r="E49" s="171" t="s">
        <v>18</v>
      </c>
      <c r="F49" s="170" t="s">
        <v>19</v>
      </c>
      <c r="G49" s="170" t="s">
        <v>59</v>
      </c>
      <c r="H49" s="170" t="s">
        <v>60</v>
      </c>
      <c r="I49" s="170" t="s">
        <v>61</v>
      </c>
      <c r="J49" s="171" t="s">
        <v>23</v>
      </c>
      <c r="K49" s="98"/>
      <c r="L49" s="97"/>
      <c r="M49" s="357"/>
    </row>
    <row r="50" spans="1:14" s="354" customFormat="1" ht="20.100000000000001" customHeight="1" x14ac:dyDescent="0.25">
      <c r="A50" s="378" t="s">
        <v>47</v>
      </c>
      <c r="B50" s="373">
        <v>2663432.1200000681</v>
      </c>
      <c r="C50" s="372">
        <v>10270872.18</v>
      </c>
      <c r="D50" s="194">
        <v>4212908.5199999996</v>
      </c>
      <c r="E50" s="374">
        <v>780870.49</v>
      </c>
      <c r="F50" s="372">
        <f>B50+C50-D50-E50</f>
        <v>7940525.290000068</v>
      </c>
      <c r="G50" s="374">
        <f>11348175.84-D50-E50</f>
        <v>6354396.8300000001</v>
      </c>
      <c r="H50" s="374">
        <f t="shared" ref="H50:H52" si="10">G50/F50*100</f>
        <v>80.024892534533393</v>
      </c>
      <c r="I50" s="373">
        <f>F50-G50</f>
        <v>1586128.4600000679</v>
      </c>
      <c r="J50" s="374">
        <f t="shared" ref="J50:J52" si="11">I50/F50*100</f>
        <v>19.975107465466614</v>
      </c>
      <c r="K50" s="57"/>
      <c r="L50" s="97"/>
      <c r="M50" s="357"/>
      <c r="N50" s="57"/>
    </row>
    <row r="51" spans="1:14" s="354" customFormat="1" ht="20.100000000000001" customHeight="1" thickBot="1" x14ac:dyDescent="0.3">
      <c r="A51" s="381" t="s">
        <v>50</v>
      </c>
      <c r="B51" s="382">
        <v>681587.86000001058</v>
      </c>
      <c r="C51" s="197">
        <v>5029115.3</v>
      </c>
      <c r="D51" s="194"/>
      <c r="E51" s="198"/>
      <c r="F51" s="197">
        <f t="shared" ref="F51" si="12">B51+C51-D51-E51</f>
        <v>5710703.1600000104</v>
      </c>
      <c r="G51" s="199">
        <f>4950011.61-E51-D51</f>
        <v>4950011.6100000003</v>
      </c>
      <c r="H51" s="198">
        <f t="shared" si="10"/>
        <v>86.679546656737642</v>
      </c>
      <c r="I51" s="382">
        <f t="shared" ref="I51" si="13">F51-G51</f>
        <v>760691.55000001006</v>
      </c>
      <c r="J51" s="198">
        <f t="shared" si="11"/>
        <v>13.320453343262351</v>
      </c>
      <c r="K51" s="96"/>
      <c r="L51" s="97"/>
      <c r="M51" s="357"/>
    </row>
    <row r="52" spans="1:14" s="354" customFormat="1" ht="20.100000000000001" customHeight="1" thickTop="1" thickBot="1" x14ac:dyDescent="0.3">
      <c r="A52" s="200" t="s">
        <v>36</v>
      </c>
      <c r="B52" s="201">
        <f t="shared" ref="B52:G52" si="14">SUM(B50:B51)</f>
        <v>3345019.9800000787</v>
      </c>
      <c r="C52" s="202">
        <f t="shared" si="14"/>
        <v>15299987.48</v>
      </c>
      <c r="D52" s="203">
        <f t="shared" si="14"/>
        <v>4212908.5199999996</v>
      </c>
      <c r="E52" s="203">
        <f t="shared" si="14"/>
        <v>780870.49</v>
      </c>
      <c r="F52" s="202">
        <f t="shared" si="14"/>
        <v>13651228.450000077</v>
      </c>
      <c r="G52" s="203">
        <f t="shared" si="14"/>
        <v>11304408.440000001</v>
      </c>
      <c r="H52" s="203">
        <f t="shared" si="10"/>
        <v>82.808726565556356</v>
      </c>
      <c r="I52" s="201">
        <f>SUM(I50:I51)</f>
        <v>2346820.010000078</v>
      </c>
      <c r="J52" s="203">
        <f t="shared" si="11"/>
        <v>17.191273434443659</v>
      </c>
      <c r="K52" s="204"/>
      <c r="L52" s="97"/>
      <c r="M52" s="357"/>
    </row>
    <row r="53" spans="1:14" s="226" customFormat="1" ht="15.75" thickTop="1" x14ac:dyDescent="0.25">
      <c r="K53" s="498"/>
      <c r="L53" s="498"/>
    </row>
    <row r="54" spans="1:14" s="354" customFormat="1" ht="20.100000000000001" customHeight="1" x14ac:dyDescent="0.25">
      <c r="A54" s="398" t="s">
        <v>37</v>
      </c>
      <c r="B54" s="364"/>
      <c r="C54" s="357"/>
      <c r="D54" s="357"/>
      <c r="E54" s="357"/>
      <c r="F54" s="64"/>
      <c r="G54" s="64"/>
      <c r="H54" s="22"/>
      <c r="K54" s="96"/>
      <c r="L54" s="97"/>
      <c r="M54" s="357"/>
    </row>
    <row r="55" spans="1:14" s="354" customFormat="1" ht="20.100000000000001" customHeight="1" x14ac:dyDescent="0.25">
      <c r="B55" s="205" t="s">
        <v>62</v>
      </c>
      <c r="C55" s="206"/>
      <c r="D55" s="357"/>
      <c r="E55" s="357"/>
      <c r="F55" s="64"/>
      <c r="G55" s="64"/>
      <c r="H55" s="22"/>
      <c r="K55" s="96"/>
      <c r="L55" s="97"/>
      <c r="M55" s="357"/>
    </row>
    <row r="56" spans="1:14" s="354" customFormat="1" ht="20.100000000000001" customHeight="1" x14ac:dyDescent="0.2">
      <c r="A56" s="354" t="s">
        <v>63</v>
      </c>
      <c r="B56" s="354" t="s">
        <v>64</v>
      </c>
      <c r="D56" s="357">
        <v>5820.31</v>
      </c>
      <c r="E56" s="357" t="s">
        <v>55</v>
      </c>
      <c r="F56" s="207" t="s">
        <v>65</v>
      </c>
      <c r="H56" s="357"/>
      <c r="K56" s="96"/>
      <c r="L56" s="96"/>
      <c r="M56" s="357"/>
    </row>
    <row r="57" spans="1:14" s="354" customFormat="1" ht="20.100000000000001" customHeight="1" x14ac:dyDescent="0.25">
      <c r="A57" s="354" t="s">
        <v>63</v>
      </c>
      <c r="B57" s="354" t="s">
        <v>440</v>
      </c>
      <c r="D57" s="357">
        <v>480264.99</v>
      </c>
      <c r="E57" s="357" t="s">
        <v>55</v>
      </c>
      <c r="F57" s="357" t="s">
        <v>67</v>
      </c>
      <c r="H57" s="357"/>
      <c r="K57" s="96"/>
      <c r="L57" s="96"/>
      <c r="M57" s="357"/>
    </row>
    <row r="58" spans="1:14" s="354" customFormat="1" ht="20.100000000000001" customHeight="1" x14ac:dyDescent="0.25">
      <c r="B58" s="354" t="s">
        <v>441</v>
      </c>
      <c r="D58" s="357">
        <v>281088.46000000002</v>
      </c>
      <c r="E58" s="357" t="s">
        <v>55</v>
      </c>
      <c r="F58" s="357" t="s">
        <v>69</v>
      </c>
      <c r="H58" s="357"/>
      <c r="K58" s="96"/>
      <c r="L58" s="96"/>
      <c r="M58" s="357"/>
    </row>
    <row r="59" spans="1:14" s="354" customFormat="1" ht="20.100000000000001" customHeight="1" x14ac:dyDescent="0.25">
      <c r="B59" s="354" t="s">
        <v>442</v>
      </c>
      <c r="D59" s="357">
        <v>81206.320000000007</v>
      </c>
      <c r="E59" s="357" t="s">
        <v>55</v>
      </c>
      <c r="F59" s="357" t="s">
        <v>70</v>
      </c>
      <c r="H59" s="357"/>
      <c r="K59" s="96"/>
      <c r="L59" s="97"/>
      <c r="M59" s="357"/>
    </row>
    <row r="60" spans="1:14" s="354" customFormat="1" ht="20.100000000000001" customHeight="1" x14ac:dyDescent="0.25">
      <c r="B60" s="354" t="s">
        <v>443</v>
      </c>
      <c r="D60" s="357">
        <v>147802.85999999999</v>
      </c>
      <c r="E60" s="357" t="s">
        <v>55</v>
      </c>
      <c r="F60" s="357" t="s">
        <v>314</v>
      </c>
      <c r="H60" s="357"/>
      <c r="K60" s="96"/>
      <c r="L60" s="97"/>
      <c r="M60" s="357"/>
    </row>
    <row r="61" spans="1:14" s="354" customFormat="1" ht="20.100000000000001" customHeight="1" x14ac:dyDescent="0.25">
      <c r="B61" s="354" t="s">
        <v>444</v>
      </c>
      <c r="D61" s="357">
        <v>589945.52</v>
      </c>
      <c r="E61" s="357" t="s">
        <v>55</v>
      </c>
      <c r="F61" s="355" t="s">
        <v>445</v>
      </c>
      <c r="H61" s="357"/>
      <c r="J61" s="26"/>
      <c r="K61" s="96"/>
      <c r="L61" s="96"/>
      <c r="M61" s="357"/>
    </row>
    <row r="62" spans="1:14" s="360" customFormat="1" ht="20.100000000000001" customHeight="1" x14ac:dyDescent="0.25">
      <c r="B62" s="360" t="s">
        <v>72</v>
      </c>
      <c r="D62" s="129">
        <f>SUM(D56:D61)</f>
        <v>1586128.46</v>
      </c>
      <c r="E62" s="361"/>
      <c r="F62" s="361"/>
      <c r="H62" s="361"/>
      <c r="K62" s="116"/>
      <c r="L62" s="128"/>
      <c r="M62" s="361"/>
    </row>
    <row r="63" spans="1:14" s="226" customFormat="1" ht="15" x14ac:dyDescent="0.25">
      <c r="K63" s="498"/>
      <c r="L63" s="498"/>
    </row>
    <row r="64" spans="1:14" s="354" customFormat="1" ht="20.100000000000001" customHeight="1" x14ac:dyDescent="0.25">
      <c r="B64" s="205" t="s">
        <v>73</v>
      </c>
      <c r="C64" s="209"/>
      <c r="D64" s="357"/>
      <c r="E64" s="357"/>
      <c r="F64" s="357"/>
      <c r="H64" s="357"/>
      <c r="K64" s="96"/>
      <c r="L64" s="97"/>
      <c r="M64" s="357"/>
    </row>
    <row r="65" spans="1:14" s="210" customFormat="1" ht="16.5" x14ac:dyDescent="0.3">
      <c r="A65" s="354"/>
      <c r="B65" s="354" t="s">
        <v>446</v>
      </c>
      <c r="D65" s="211">
        <v>760691.55</v>
      </c>
      <c r="E65" s="357" t="s">
        <v>55</v>
      </c>
      <c r="F65" s="355" t="s">
        <v>445</v>
      </c>
      <c r="K65" s="212"/>
      <c r="L65" s="212"/>
      <c r="M65" s="211"/>
    </row>
    <row r="66" spans="1:14" s="354" customFormat="1" ht="20.100000000000001" customHeight="1" thickBot="1" x14ac:dyDescent="0.3">
      <c r="D66" s="189">
        <f>SUM(D65:D65)</f>
        <v>760691.55</v>
      </c>
      <c r="E66" s="357"/>
      <c r="F66" s="357"/>
      <c r="G66" s="357"/>
      <c r="H66" s="357"/>
      <c r="K66" s="96"/>
      <c r="L66" s="97"/>
      <c r="M66" s="357"/>
    </row>
    <row r="67" spans="1:14" s="226" customFormat="1" ht="15.75" thickTop="1" x14ac:dyDescent="0.25">
      <c r="K67" s="498"/>
      <c r="L67" s="498"/>
    </row>
    <row r="68" spans="1:14" s="18" customFormat="1" ht="20.100000000000001" customHeight="1" x14ac:dyDescent="0.25">
      <c r="C68" s="47"/>
      <c r="D68" s="21"/>
      <c r="E68" s="21"/>
      <c r="F68" s="21"/>
      <c r="G68" s="21"/>
      <c r="H68" s="22"/>
      <c r="K68" s="96"/>
      <c r="L68" s="97"/>
      <c r="M68" s="21"/>
    </row>
    <row r="69" spans="1:14" s="354" customFormat="1" ht="30" customHeight="1" x14ac:dyDescent="0.25">
      <c r="A69" s="163"/>
      <c r="B69" s="166"/>
      <c r="C69" s="165" t="s">
        <v>477</v>
      </c>
      <c r="D69" s="165"/>
      <c r="E69" s="165"/>
      <c r="F69" s="165"/>
      <c r="G69" s="165"/>
      <c r="H69" s="192"/>
      <c r="I69" s="163"/>
      <c r="J69" s="163"/>
      <c r="K69" s="96"/>
      <c r="L69" s="97"/>
      <c r="M69" s="357"/>
    </row>
    <row r="70" spans="1:14" s="357" customFormat="1" ht="20.100000000000001" customHeight="1" thickBot="1" x14ac:dyDescent="0.3">
      <c r="K70" s="96"/>
      <c r="L70" s="96"/>
    </row>
    <row r="71" spans="1:14" s="354" customFormat="1" ht="50.25" thickBot="1" x14ac:dyDescent="0.3">
      <c r="A71" s="169" t="s">
        <v>470</v>
      </c>
      <c r="B71" s="170" t="s">
        <v>14</v>
      </c>
      <c r="C71" s="171" t="s">
        <v>405</v>
      </c>
      <c r="D71" s="171" t="s">
        <v>17</v>
      </c>
      <c r="E71" s="171" t="s">
        <v>18</v>
      </c>
      <c r="F71" s="170" t="s">
        <v>19</v>
      </c>
      <c r="G71" s="170" t="s">
        <v>59</v>
      </c>
      <c r="H71" s="170" t="s">
        <v>60</v>
      </c>
      <c r="I71" s="170" t="s">
        <v>61</v>
      </c>
      <c r="J71" s="171" t="s">
        <v>23</v>
      </c>
      <c r="K71" s="98"/>
      <c r="L71" s="97"/>
      <c r="M71" s="357"/>
    </row>
    <row r="72" spans="1:14" s="354" customFormat="1" ht="20.100000000000001" customHeight="1" x14ac:dyDescent="0.25">
      <c r="A72" s="378" t="s">
        <v>47</v>
      </c>
      <c r="B72" s="373">
        <v>1586128.4600000679</v>
      </c>
      <c r="C72" s="372">
        <v>8043825.9100000001</v>
      </c>
      <c r="D72" s="194">
        <v>3146141.1</v>
      </c>
      <c r="E72" s="374">
        <v>865974.9</v>
      </c>
      <c r="F72" s="372">
        <f>B72+C72-D72-E72</f>
        <v>5617838.3700000681</v>
      </c>
      <c r="G72" s="374">
        <f>7919384.47-D72-E72</f>
        <v>3907268.4699999993</v>
      </c>
      <c r="H72" s="374">
        <f t="shared" ref="H72:H74" si="15">G72/F72*100</f>
        <v>69.551101556521857</v>
      </c>
      <c r="I72" s="373">
        <f>F72-G72</f>
        <v>1710569.9000000688</v>
      </c>
      <c r="J72" s="374">
        <f t="shared" ref="J72:J74" si="16">I72/F72*100</f>
        <v>30.448898443478146</v>
      </c>
      <c r="K72" s="57"/>
      <c r="L72" s="97"/>
      <c r="M72" s="357"/>
      <c r="N72" s="57"/>
    </row>
    <row r="73" spans="1:14" s="354" customFormat="1" ht="20.100000000000001" customHeight="1" thickBot="1" x14ac:dyDescent="0.3">
      <c r="A73" s="381" t="s">
        <v>50</v>
      </c>
      <c r="B73" s="382">
        <v>760691.55000001006</v>
      </c>
      <c r="C73" s="197">
        <v>3104941</v>
      </c>
      <c r="D73" s="194"/>
      <c r="E73" s="198"/>
      <c r="F73" s="197">
        <f t="shared" ref="F73" si="17">B73+C73-D73-E73</f>
        <v>3865632.5500000101</v>
      </c>
      <c r="G73" s="199">
        <f>3865632.55-E73-D73</f>
        <v>3865632.55</v>
      </c>
      <c r="H73" s="198">
        <f t="shared" si="15"/>
        <v>99.99999999999973</v>
      </c>
      <c r="I73" s="382">
        <f t="shared" ref="I73" si="18">F73-G73</f>
        <v>1.0244548320770264E-8</v>
      </c>
      <c r="J73" s="198">
        <f t="shared" si="16"/>
        <v>2.6501609214694334E-13</v>
      </c>
      <c r="K73" s="96"/>
      <c r="L73" s="97"/>
      <c r="M73" s="357"/>
    </row>
    <row r="74" spans="1:14" s="354" customFormat="1" ht="20.100000000000001" customHeight="1" thickTop="1" thickBot="1" x14ac:dyDescent="0.3">
      <c r="A74" s="200" t="s">
        <v>36</v>
      </c>
      <c r="B74" s="201">
        <f>SUM(B72:B73)</f>
        <v>2346820.010000078</v>
      </c>
      <c r="C74" s="203">
        <f>SUM(C72:C73)</f>
        <v>11148766.91</v>
      </c>
      <c r="D74" s="203">
        <f>SUM(D72:D73)</f>
        <v>3146141.1</v>
      </c>
      <c r="E74" s="203">
        <f>SUM(E72:E73)</f>
        <v>865974.9</v>
      </c>
      <c r="F74" s="520">
        <f t="shared" ref="F74:G74" si="19">SUM(F72:F73)</f>
        <v>9483470.9200000782</v>
      </c>
      <c r="G74" s="203">
        <f t="shared" si="19"/>
        <v>7772901.0199999996</v>
      </c>
      <c r="H74" s="203">
        <f t="shared" si="15"/>
        <v>81.962617754301462</v>
      </c>
      <c r="I74" s="201">
        <f>SUM(I72:I73)</f>
        <v>1710569.9000000791</v>
      </c>
      <c r="J74" s="203">
        <f t="shared" si="16"/>
        <v>18.037382245698549</v>
      </c>
      <c r="K74" s="204"/>
      <c r="L74" s="97"/>
      <c r="M74" s="357"/>
    </row>
    <row r="75" spans="1:14" s="226" customFormat="1" ht="15.75" thickTop="1" x14ac:dyDescent="0.25">
      <c r="K75" s="498"/>
      <c r="L75" s="498"/>
    </row>
    <row r="76" spans="1:14" s="354" customFormat="1" ht="20.100000000000001" customHeight="1" x14ac:dyDescent="0.25">
      <c r="A76" s="398" t="s">
        <v>37</v>
      </c>
      <c r="B76" s="364"/>
      <c r="C76" s="357"/>
      <c r="D76" s="357"/>
      <c r="E76" s="357"/>
      <c r="F76" s="64"/>
      <c r="G76" s="64"/>
      <c r="H76" s="22"/>
      <c r="K76" s="96"/>
      <c r="L76" s="97"/>
      <c r="M76" s="357"/>
    </row>
    <row r="77" spans="1:14" s="354" customFormat="1" ht="20.100000000000001" customHeight="1" x14ac:dyDescent="0.25">
      <c r="B77" s="205" t="s">
        <v>62</v>
      </c>
      <c r="C77" s="206"/>
      <c r="D77" s="357"/>
      <c r="E77" s="357"/>
      <c r="F77" s="64"/>
      <c r="G77" s="64"/>
      <c r="H77" s="22"/>
      <c r="K77" s="96"/>
      <c r="L77" s="97"/>
      <c r="M77" s="357"/>
    </row>
    <row r="78" spans="1:14" s="354" customFormat="1" ht="20.100000000000001" customHeight="1" x14ac:dyDescent="0.25">
      <c r="A78" s="354" t="s">
        <v>63</v>
      </c>
      <c r="B78" s="354" t="s">
        <v>581</v>
      </c>
      <c r="D78" s="357">
        <v>388337.29</v>
      </c>
      <c r="E78" s="357" t="s">
        <v>55</v>
      </c>
      <c r="F78" s="357" t="s">
        <v>67</v>
      </c>
      <c r="H78" s="357"/>
      <c r="K78" s="96"/>
      <c r="L78" s="96"/>
      <c r="M78" s="357"/>
    </row>
    <row r="79" spans="1:14" s="354" customFormat="1" ht="20.100000000000001" customHeight="1" x14ac:dyDescent="0.25">
      <c r="B79" s="354" t="s">
        <v>582</v>
      </c>
      <c r="D79" s="357">
        <v>530495.85</v>
      </c>
      <c r="E79" s="357" t="s">
        <v>55</v>
      </c>
      <c r="F79" s="357" t="s">
        <v>69</v>
      </c>
      <c r="H79" s="357"/>
      <c r="K79" s="96"/>
      <c r="L79" s="96"/>
      <c r="M79" s="357"/>
    </row>
    <row r="80" spans="1:14" s="354" customFormat="1" ht="20.100000000000001" customHeight="1" x14ac:dyDescent="0.25">
      <c r="B80" s="354" t="s">
        <v>583</v>
      </c>
      <c r="D80" s="357">
        <v>466079.31</v>
      </c>
      <c r="E80" s="357" t="s">
        <v>55</v>
      </c>
      <c r="F80" s="357" t="s">
        <v>70</v>
      </c>
      <c r="H80" s="357"/>
      <c r="K80" s="96"/>
      <c r="L80" s="97"/>
      <c r="M80" s="357"/>
    </row>
    <row r="81" spans="1:14" s="354" customFormat="1" ht="20.100000000000001" customHeight="1" x14ac:dyDescent="0.25">
      <c r="B81" s="354" t="s">
        <v>584</v>
      </c>
      <c r="D81" s="357">
        <v>293341.27</v>
      </c>
      <c r="E81" s="357" t="s">
        <v>55</v>
      </c>
      <c r="F81" s="357" t="s">
        <v>314</v>
      </c>
      <c r="H81" s="357"/>
      <c r="K81" s="96"/>
      <c r="L81" s="97"/>
      <c r="M81" s="357"/>
    </row>
    <row r="82" spans="1:14" s="354" customFormat="1" ht="20.100000000000001" customHeight="1" x14ac:dyDescent="0.25">
      <c r="B82" s="354" t="s">
        <v>585</v>
      </c>
      <c r="D82" s="357">
        <v>32316.18</v>
      </c>
      <c r="E82" s="357" t="s">
        <v>55</v>
      </c>
      <c r="F82" s="355" t="s">
        <v>478</v>
      </c>
      <c r="H82" s="357"/>
      <c r="J82" s="26"/>
      <c r="K82" s="96"/>
      <c r="L82" s="96"/>
      <c r="M82" s="357"/>
    </row>
    <row r="83" spans="1:14" s="360" customFormat="1" ht="20.100000000000001" customHeight="1" x14ac:dyDescent="0.25">
      <c r="B83" s="360" t="s">
        <v>72</v>
      </c>
      <c r="D83" s="129">
        <f>SUM(D78:D82)</f>
        <v>1710569.9</v>
      </c>
      <c r="E83" s="361"/>
      <c r="F83" s="361"/>
      <c r="H83" s="361"/>
      <c r="K83" s="116"/>
      <c r="L83" s="128"/>
      <c r="M83" s="361"/>
    </row>
    <row r="84" spans="1:14" s="18" customFormat="1" ht="20.100000000000001" customHeight="1" x14ac:dyDescent="0.25">
      <c r="C84" s="21"/>
      <c r="D84" s="21"/>
      <c r="E84" s="21"/>
      <c r="G84" s="21"/>
      <c r="H84" s="22"/>
      <c r="K84" s="96"/>
      <c r="L84" s="97"/>
      <c r="M84" s="21"/>
    </row>
    <row r="85" spans="1:14" s="18" customFormat="1" ht="20.100000000000001" customHeight="1" x14ac:dyDescent="0.25">
      <c r="C85" s="21"/>
      <c r="D85" s="21"/>
      <c r="E85" s="21"/>
      <c r="G85" s="21"/>
      <c r="H85" s="22"/>
      <c r="K85" s="96"/>
      <c r="L85" s="97"/>
      <c r="M85" s="21"/>
    </row>
    <row r="86" spans="1:14" s="354" customFormat="1" ht="30" customHeight="1" x14ac:dyDescent="0.25">
      <c r="A86" s="163"/>
      <c r="B86" s="166"/>
      <c r="C86" s="165" t="s">
        <v>673</v>
      </c>
      <c r="D86" s="165"/>
      <c r="E86" s="165"/>
      <c r="F86" s="165"/>
      <c r="G86" s="165"/>
      <c r="H86" s="192"/>
      <c r="I86" s="163"/>
      <c r="J86" s="163"/>
      <c r="K86" s="96"/>
      <c r="L86" s="97"/>
      <c r="M86" s="357"/>
    </row>
    <row r="87" spans="1:14" s="357" customFormat="1" ht="20.100000000000001" customHeight="1" thickBot="1" x14ac:dyDescent="0.3">
      <c r="K87" s="96"/>
      <c r="L87" s="96"/>
    </row>
    <row r="88" spans="1:14" s="354" customFormat="1" ht="50.25" thickBot="1" x14ac:dyDescent="0.3">
      <c r="A88" s="169" t="s">
        <v>587</v>
      </c>
      <c r="B88" s="170" t="s">
        <v>14</v>
      </c>
      <c r="C88" s="171" t="s">
        <v>674</v>
      </c>
      <c r="D88" s="171" t="s">
        <v>17</v>
      </c>
      <c r="E88" s="171" t="s">
        <v>18</v>
      </c>
      <c r="F88" s="170" t="s">
        <v>19</v>
      </c>
      <c r="G88" s="170" t="s">
        <v>59</v>
      </c>
      <c r="H88" s="170" t="s">
        <v>60</v>
      </c>
      <c r="I88" s="170" t="s">
        <v>61</v>
      </c>
      <c r="J88" s="171" t="s">
        <v>23</v>
      </c>
      <c r="K88" s="98"/>
      <c r="L88" s="97"/>
      <c r="M88" s="357"/>
    </row>
    <row r="89" spans="1:14" s="354" customFormat="1" ht="20.100000000000001" customHeight="1" x14ac:dyDescent="0.25">
      <c r="A89" s="378" t="s">
        <v>47</v>
      </c>
      <c r="B89" s="373">
        <v>1710569.90000007</v>
      </c>
      <c r="C89" s="372">
        <v>8350295.6600000001</v>
      </c>
      <c r="D89" s="194">
        <v>1800477.82</v>
      </c>
      <c r="E89" s="374">
        <v>162659.88</v>
      </c>
      <c r="F89" s="372">
        <f>B89+C89-D89-E89</f>
        <v>8097727.8600000693</v>
      </c>
      <c r="G89" s="374">
        <f>8264514.15-D89-E89+275.8</f>
        <v>6301652.25</v>
      </c>
      <c r="H89" s="374">
        <f t="shared" ref="H89:H91" si="20">G89/F89*100</f>
        <v>77.820005302079224</v>
      </c>
      <c r="I89" s="373">
        <f>F89-G89</f>
        <v>1796075.6100000693</v>
      </c>
      <c r="J89" s="374">
        <f t="shared" ref="J89:J91" si="21">I89/F89*100</f>
        <v>22.17999469792078</v>
      </c>
      <c r="K89" s="57"/>
      <c r="L89" s="97"/>
      <c r="M89" s="357"/>
      <c r="N89" s="57"/>
    </row>
    <row r="90" spans="1:14" s="354" customFormat="1" ht="20.100000000000001" customHeight="1" thickBot="1" x14ac:dyDescent="0.3">
      <c r="A90" s="381" t="s">
        <v>50</v>
      </c>
      <c r="B90" s="382">
        <v>1.0244548320770264E-8</v>
      </c>
      <c r="C90" s="197">
        <v>5547225.8399999999</v>
      </c>
      <c r="D90" s="194"/>
      <c r="E90" s="198">
        <v>2232.62</v>
      </c>
      <c r="F90" s="197">
        <f>B90+C90-D90-E90</f>
        <v>5544993.22000001</v>
      </c>
      <c r="G90" s="199">
        <f>5547225.84-E90-D90</f>
        <v>5544993.2199999997</v>
      </c>
      <c r="H90" s="198">
        <f t="shared" si="20"/>
        <v>99.999999999999815</v>
      </c>
      <c r="I90" s="382">
        <f t="shared" ref="I90" si="22">F90-G90</f>
        <v>1.0244548320770264E-8</v>
      </c>
      <c r="J90" s="198">
        <f t="shared" si="21"/>
        <v>1.8475312618633364E-13</v>
      </c>
      <c r="K90" s="96"/>
      <c r="L90" s="97"/>
      <c r="M90" s="357"/>
    </row>
    <row r="91" spans="1:14" s="354" customFormat="1" ht="20.100000000000001" customHeight="1" thickTop="1" thickBot="1" x14ac:dyDescent="0.3">
      <c r="A91" s="200" t="s">
        <v>36</v>
      </c>
      <c r="B91" s="522">
        <f t="shared" ref="B91:G91" si="23">SUM(B89:B90)</f>
        <v>1710569.9000000802</v>
      </c>
      <c r="C91" s="202">
        <f t="shared" si="23"/>
        <v>13897521.5</v>
      </c>
      <c r="D91" s="203">
        <f t="shared" si="23"/>
        <v>1800477.82</v>
      </c>
      <c r="E91" s="203">
        <f t="shared" si="23"/>
        <v>164892.5</v>
      </c>
      <c r="F91" s="202">
        <f t="shared" si="23"/>
        <v>13642721.08000008</v>
      </c>
      <c r="G91" s="203">
        <f t="shared" si="23"/>
        <v>11846645.469999999</v>
      </c>
      <c r="H91" s="203">
        <f t="shared" si="20"/>
        <v>86.834916586889051</v>
      </c>
      <c r="I91" s="201">
        <f>SUM(I89:I90)</f>
        <v>1796075.6100000795</v>
      </c>
      <c r="J91" s="203">
        <f t="shared" si="21"/>
        <v>13.165083413110935</v>
      </c>
      <c r="K91" s="204"/>
      <c r="L91" s="97"/>
      <c r="M91" s="357"/>
    </row>
    <row r="92" spans="1:14" s="226" customFormat="1" ht="15.75" thickTop="1" x14ac:dyDescent="0.25">
      <c r="K92" s="498"/>
      <c r="L92" s="498"/>
    </row>
    <row r="93" spans="1:14" s="354" customFormat="1" ht="20.100000000000001" customHeight="1" x14ac:dyDescent="0.25">
      <c r="A93" s="398" t="s">
        <v>37</v>
      </c>
      <c r="B93" s="364"/>
      <c r="C93" s="357"/>
      <c r="D93" s="357"/>
      <c r="E93" s="357"/>
      <c r="F93" s="64"/>
      <c r="G93" s="64"/>
      <c r="H93" s="22"/>
      <c r="K93" s="96"/>
      <c r="L93" s="97"/>
      <c r="M93" s="357"/>
    </row>
    <row r="94" spans="1:14" s="354" customFormat="1" ht="20.100000000000001" customHeight="1" x14ac:dyDescent="0.25">
      <c r="B94" s="205" t="s">
        <v>62</v>
      </c>
      <c r="C94" s="206"/>
      <c r="D94" s="357"/>
      <c r="E94" s="357"/>
      <c r="F94" s="64"/>
      <c r="G94" s="64"/>
      <c r="H94" s="22"/>
      <c r="K94" s="96"/>
      <c r="L94" s="97"/>
      <c r="M94" s="357"/>
    </row>
    <row r="95" spans="1:14" s="354" customFormat="1" ht="20.100000000000001" customHeight="1" x14ac:dyDescent="0.25">
      <c r="A95" s="354" t="s">
        <v>63</v>
      </c>
      <c r="B95" s="354" t="s">
        <v>581</v>
      </c>
      <c r="D95" s="357">
        <v>326830.58</v>
      </c>
      <c r="E95" s="357" t="s">
        <v>55</v>
      </c>
      <c r="F95" s="357" t="s">
        <v>675</v>
      </c>
      <c r="H95" s="357"/>
      <c r="K95" s="96"/>
      <c r="L95" s="96"/>
      <c r="M95" s="357"/>
    </row>
    <row r="96" spans="1:14" s="354" customFormat="1" ht="20.100000000000001" customHeight="1" x14ac:dyDescent="0.25">
      <c r="B96" s="354" t="s">
        <v>582</v>
      </c>
      <c r="D96" s="357">
        <v>120618.08</v>
      </c>
      <c r="E96" s="357" t="s">
        <v>55</v>
      </c>
      <c r="F96" s="357" t="s">
        <v>69</v>
      </c>
      <c r="H96" s="357"/>
      <c r="K96" s="96"/>
      <c r="L96" s="96"/>
      <c r="M96" s="357"/>
    </row>
    <row r="97" spans="1:14" s="354" customFormat="1" ht="20.100000000000001" customHeight="1" x14ac:dyDescent="0.25">
      <c r="B97" s="354" t="s">
        <v>676</v>
      </c>
      <c r="D97" s="357">
        <v>282878.40000000002</v>
      </c>
      <c r="E97" s="357" t="s">
        <v>55</v>
      </c>
      <c r="F97" s="357" t="s">
        <v>314</v>
      </c>
      <c r="H97" s="357"/>
      <c r="K97" s="96"/>
      <c r="L97" s="97"/>
      <c r="M97" s="357"/>
    </row>
    <row r="98" spans="1:14" s="354" customFormat="1" ht="20.100000000000001" customHeight="1" x14ac:dyDescent="0.25">
      <c r="B98" s="354" t="s">
        <v>677</v>
      </c>
      <c r="D98" s="357">
        <v>792355.07</v>
      </c>
      <c r="E98" s="357" t="s">
        <v>55</v>
      </c>
      <c r="F98" s="357" t="s">
        <v>678</v>
      </c>
      <c r="H98" s="357"/>
      <c r="K98" s="96"/>
      <c r="L98" s="97"/>
      <c r="M98" s="357"/>
    </row>
    <row r="99" spans="1:14" s="354" customFormat="1" ht="20.100000000000001" customHeight="1" x14ac:dyDescent="0.25">
      <c r="B99" s="354" t="s">
        <v>679</v>
      </c>
      <c r="D99" s="357">
        <v>273393.48</v>
      </c>
      <c r="E99" s="357" t="s">
        <v>55</v>
      </c>
      <c r="F99" s="355" t="s">
        <v>478</v>
      </c>
      <c r="H99" s="357"/>
      <c r="J99" s="26"/>
      <c r="K99" s="96"/>
      <c r="L99" s="96"/>
      <c r="M99" s="357"/>
    </row>
    <row r="100" spans="1:14" s="360" customFormat="1" ht="20.100000000000001" customHeight="1" x14ac:dyDescent="0.25">
      <c r="B100" s="360" t="s">
        <v>72</v>
      </c>
      <c r="D100" s="129">
        <f>SUM(D95:D99)</f>
        <v>1796075.6099999999</v>
      </c>
      <c r="E100" s="361"/>
      <c r="F100" s="361"/>
      <c r="H100" s="361"/>
      <c r="K100" s="116"/>
      <c r="L100" s="128"/>
      <c r="M100" s="361"/>
    </row>
    <row r="101" spans="1:14" s="18" customFormat="1" ht="20.100000000000001" customHeight="1" x14ac:dyDescent="0.25">
      <c r="A101" s="133"/>
      <c r="B101" s="30"/>
      <c r="C101" s="21"/>
      <c r="D101" s="21"/>
      <c r="E101" s="21"/>
      <c r="F101" s="64"/>
      <c r="G101" s="64"/>
      <c r="H101" s="22"/>
      <c r="K101" s="96"/>
      <c r="L101" s="97"/>
      <c r="M101" s="21"/>
    </row>
    <row r="102" spans="1:14" s="18" customFormat="1" ht="21.75" customHeight="1" x14ac:dyDescent="0.25">
      <c r="A102" s="31"/>
      <c r="B102" s="23"/>
      <c r="F102" s="32"/>
      <c r="G102" s="64"/>
      <c r="H102" s="22"/>
      <c r="I102" s="22"/>
      <c r="K102" s="99"/>
      <c r="L102" s="97"/>
      <c r="M102" s="21"/>
    </row>
    <row r="103" spans="1:14" s="354" customFormat="1" ht="30" customHeight="1" x14ac:dyDescent="0.25">
      <c r="A103" s="163"/>
      <c r="B103" s="166"/>
      <c r="C103" s="165" t="s">
        <v>715</v>
      </c>
      <c r="D103" s="165"/>
      <c r="E103" s="165"/>
      <c r="F103" s="165"/>
      <c r="G103" s="165"/>
      <c r="H103" s="192"/>
      <c r="I103" s="163"/>
      <c r="J103" s="163"/>
      <c r="K103" s="96"/>
      <c r="L103" s="97"/>
      <c r="M103" s="357"/>
    </row>
    <row r="104" spans="1:14" s="357" customFormat="1" ht="20.100000000000001" customHeight="1" thickBot="1" x14ac:dyDescent="0.3">
      <c r="K104" s="96"/>
      <c r="L104" s="96"/>
    </row>
    <row r="105" spans="1:14" s="354" customFormat="1" ht="50.25" thickBot="1" x14ac:dyDescent="0.3">
      <c r="A105" s="169" t="s">
        <v>696</v>
      </c>
      <c r="B105" s="170" t="s">
        <v>14</v>
      </c>
      <c r="C105" s="171" t="s">
        <v>716</v>
      </c>
      <c r="D105" s="171" t="s">
        <v>17</v>
      </c>
      <c r="E105" s="171" t="s">
        <v>18</v>
      </c>
      <c r="F105" s="170" t="s">
        <v>19</v>
      </c>
      <c r="G105" s="170" t="s">
        <v>59</v>
      </c>
      <c r="H105" s="170" t="s">
        <v>60</v>
      </c>
      <c r="I105" s="170" t="s">
        <v>61</v>
      </c>
      <c r="J105" s="171" t="s">
        <v>23</v>
      </c>
      <c r="K105" s="98"/>
      <c r="L105" s="97"/>
      <c r="M105" s="357"/>
    </row>
    <row r="106" spans="1:14" s="354" customFormat="1" ht="20.100000000000001" customHeight="1" x14ac:dyDescent="0.25">
      <c r="A106" s="378" t="s">
        <v>47</v>
      </c>
      <c r="B106" s="373">
        <v>1796075.6100000693</v>
      </c>
      <c r="C106" s="372">
        <v>15218371.460000001</v>
      </c>
      <c r="D106" s="194">
        <v>1821770.09</v>
      </c>
      <c r="E106" s="374">
        <v>602807.65</v>
      </c>
      <c r="F106" s="372">
        <f>B106+C106-D106-E106</f>
        <v>14589869.330000071</v>
      </c>
      <c r="G106" s="374">
        <f>13485543.51-D106-E106</f>
        <v>11060965.77</v>
      </c>
      <c r="H106" s="374">
        <f t="shared" ref="H106:H108" si="24">G106/F106*100</f>
        <v>75.812644512560183</v>
      </c>
      <c r="I106" s="373">
        <f>F106-G106</f>
        <v>3528903.5600000713</v>
      </c>
      <c r="J106" s="374">
        <f t="shared" ref="J106:J108" si="25">I106/F106*100</f>
        <v>24.187355487439817</v>
      </c>
      <c r="K106" s="57"/>
      <c r="L106" s="97"/>
      <c r="M106" s="357"/>
      <c r="N106" s="57"/>
    </row>
    <row r="107" spans="1:14" s="354" customFormat="1" ht="20.100000000000001" customHeight="1" thickBot="1" x14ac:dyDescent="0.3">
      <c r="A107" s="381" t="s">
        <v>50</v>
      </c>
      <c r="B107" s="382">
        <v>1.0244548320770264E-8</v>
      </c>
      <c r="C107" s="197">
        <v>5560194.2300000004</v>
      </c>
      <c r="D107" s="194"/>
      <c r="E107" s="198">
        <v>0</v>
      </c>
      <c r="F107" s="197">
        <f>B107+C107-D107-E107</f>
        <v>5560194.2300000107</v>
      </c>
      <c r="G107" s="199">
        <f>4385165.59-E107-D107</f>
        <v>4385165.59</v>
      </c>
      <c r="H107" s="198">
        <f t="shared" si="24"/>
        <v>78.867129611045826</v>
      </c>
      <c r="I107" s="382">
        <f t="shared" ref="I107" si="26">F107-G107</f>
        <v>1175028.6400000108</v>
      </c>
      <c r="J107" s="198">
        <f t="shared" si="25"/>
        <v>21.132870388954174</v>
      </c>
      <c r="K107" s="96"/>
      <c r="L107" s="97"/>
      <c r="M107" s="357"/>
    </row>
    <row r="108" spans="1:14" s="354" customFormat="1" ht="20.100000000000001" customHeight="1" thickTop="1" thickBot="1" x14ac:dyDescent="0.3">
      <c r="A108" s="200" t="s">
        <v>36</v>
      </c>
      <c r="B108" s="522">
        <f t="shared" ref="B108:G108" si="27">SUM(B106:B107)</f>
        <v>1796075.6100000795</v>
      </c>
      <c r="C108" s="202">
        <f t="shared" si="27"/>
        <v>20778565.690000001</v>
      </c>
      <c r="D108" s="203">
        <f t="shared" si="27"/>
        <v>1821770.09</v>
      </c>
      <c r="E108" s="203">
        <f t="shared" si="27"/>
        <v>602807.65</v>
      </c>
      <c r="F108" s="202">
        <f t="shared" si="27"/>
        <v>20150063.560000081</v>
      </c>
      <c r="G108" s="203">
        <f t="shared" si="27"/>
        <v>15446131.359999999</v>
      </c>
      <c r="H108" s="203">
        <f t="shared" si="24"/>
        <v>76.655496961618212</v>
      </c>
      <c r="I108" s="201">
        <f>SUM(I106:I107)</f>
        <v>4703932.2000000821</v>
      </c>
      <c r="J108" s="203">
        <f t="shared" si="25"/>
        <v>23.344503038381799</v>
      </c>
      <c r="K108" s="204"/>
      <c r="L108" s="97"/>
      <c r="M108" s="357"/>
    </row>
    <row r="109" spans="1:14" s="226" customFormat="1" ht="15.75" thickTop="1" x14ac:dyDescent="0.25">
      <c r="K109" s="498"/>
      <c r="L109" s="498"/>
    </row>
    <row r="110" spans="1:14" s="354" customFormat="1" ht="20.100000000000001" customHeight="1" x14ac:dyDescent="0.25">
      <c r="A110" s="398" t="s">
        <v>37</v>
      </c>
      <c r="B110" s="364"/>
      <c r="C110" s="357"/>
      <c r="D110" s="357"/>
      <c r="E110" s="357"/>
      <c r="F110" s="64"/>
      <c r="G110" s="64"/>
      <c r="H110" s="22"/>
      <c r="K110" s="96"/>
      <c r="L110" s="97"/>
      <c r="M110" s="357"/>
    </row>
    <row r="111" spans="1:14" s="354" customFormat="1" ht="20.100000000000001" customHeight="1" x14ac:dyDescent="0.25">
      <c r="B111" s="205" t="s">
        <v>62</v>
      </c>
      <c r="C111" s="206"/>
      <c r="D111" s="357"/>
      <c r="E111" s="357"/>
      <c r="F111" s="64"/>
      <c r="G111" s="64"/>
      <c r="H111" s="22"/>
      <c r="K111" s="96"/>
      <c r="L111" s="97"/>
      <c r="M111" s="357"/>
    </row>
    <row r="112" spans="1:14" s="354" customFormat="1" ht="20.100000000000001" customHeight="1" x14ac:dyDescent="0.25">
      <c r="A112" s="354" t="s">
        <v>63</v>
      </c>
      <c r="B112" s="354" t="s">
        <v>581</v>
      </c>
      <c r="D112" s="357">
        <v>295817.48</v>
      </c>
      <c r="E112" s="357" t="s">
        <v>55</v>
      </c>
      <c r="F112" s="357" t="s">
        <v>675</v>
      </c>
      <c r="H112" s="357"/>
      <c r="K112" s="96"/>
      <c r="L112" s="96"/>
      <c r="M112" s="357"/>
    </row>
    <row r="113" spans="1:14" s="354" customFormat="1" ht="20.100000000000001" customHeight="1" x14ac:dyDescent="0.25">
      <c r="B113" s="354" t="s">
        <v>717</v>
      </c>
      <c r="D113" s="357">
        <v>227018.21</v>
      </c>
      <c r="E113" s="357" t="s">
        <v>55</v>
      </c>
      <c r="F113" s="357" t="s">
        <v>69</v>
      </c>
      <c r="H113" s="357"/>
      <c r="K113" s="96"/>
      <c r="L113" s="96"/>
      <c r="M113" s="357"/>
    </row>
    <row r="114" spans="1:14" s="354" customFormat="1" ht="20.100000000000001" customHeight="1" x14ac:dyDescent="0.25">
      <c r="B114" s="354" t="s">
        <v>676</v>
      </c>
      <c r="D114" s="357">
        <v>282878.40000000002</v>
      </c>
      <c r="E114" s="357" t="s">
        <v>55</v>
      </c>
      <c r="F114" s="357" t="s">
        <v>314</v>
      </c>
      <c r="H114" s="357"/>
      <c r="K114" s="96"/>
      <c r="L114" s="97"/>
      <c r="M114" s="357"/>
    </row>
    <row r="115" spans="1:14" s="354" customFormat="1" ht="20.100000000000001" customHeight="1" x14ac:dyDescent="0.25">
      <c r="B115" s="354" t="s">
        <v>718</v>
      </c>
      <c r="D115" s="357">
        <v>77905.8</v>
      </c>
      <c r="E115" s="357" t="s">
        <v>55</v>
      </c>
      <c r="F115" s="357" t="s">
        <v>719</v>
      </c>
      <c r="H115" s="357"/>
      <c r="K115" s="96"/>
      <c r="L115" s="97"/>
      <c r="M115" s="357"/>
    </row>
    <row r="116" spans="1:14" s="354" customFormat="1" ht="20.100000000000001" customHeight="1" x14ac:dyDescent="0.25">
      <c r="B116" s="354" t="s">
        <v>720</v>
      </c>
      <c r="D116" s="357">
        <v>2082274.22</v>
      </c>
      <c r="E116" s="357" t="s">
        <v>55</v>
      </c>
      <c r="F116" s="357" t="s">
        <v>721</v>
      </c>
      <c r="H116" s="357"/>
      <c r="K116" s="96"/>
      <c r="L116" s="97"/>
      <c r="M116" s="357"/>
    </row>
    <row r="117" spans="1:14" s="354" customFormat="1" ht="20.100000000000001" customHeight="1" x14ac:dyDescent="0.25">
      <c r="B117" s="354" t="s">
        <v>722</v>
      </c>
      <c r="D117" s="357">
        <v>563009.44999999995</v>
      </c>
      <c r="E117" s="357" t="s">
        <v>55</v>
      </c>
      <c r="F117" s="355" t="s">
        <v>478</v>
      </c>
      <c r="H117" s="357"/>
      <c r="J117" s="26"/>
      <c r="K117" s="96"/>
      <c r="L117" s="96"/>
      <c r="M117" s="357"/>
    </row>
    <row r="118" spans="1:14" s="360" customFormat="1" ht="20.100000000000001" customHeight="1" x14ac:dyDescent="0.25">
      <c r="B118" s="360" t="s">
        <v>72</v>
      </c>
      <c r="D118" s="129">
        <f>SUM(D112:D117)</f>
        <v>3528903.5599999996</v>
      </c>
      <c r="E118" s="361"/>
      <c r="F118" s="361"/>
      <c r="H118" s="361"/>
      <c r="K118" s="116"/>
      <c r="L118" s="128"/>
      <c r="M118" s="361"/>
    </row>
    <row r="119" spans="1:14" s="226" customFormat="1" ht="15" x14ac:dyDescent="0.25">
      <c r="K119" s="498"/>
      <c r="L119" s="498"/>
    </row>
    <row r="120" spans="1:14" s="354" customFormat="1" ht="20.100000000000001" customHeight="1" x14ac:dyDescent="0.25">
      <c r="B120" s="205" t="s">
        <v>73</v>
      </c>
      <c r="C120" s="209"/>
      <c r="D120" s="357"/>
      <c r="E120" s="357"/>
      <c r="F120" s="357"/>
      <c r="H120" s="357"/>
      <c r="K120" s="96"/>
      <c r="L120" s="97"/>
      <c r="M120" s="357"/>
    </row>
    <row r="121" spans="1:14" s="210" customFormat="1" ht="16.5" x14ac:dyDescent="0.3">
      <c r="A121" s="354"/>
      <c r="B121" s="354" t="s">
        <v>723</v>
      </c>
      <c r="D121" s="211">
        <v>1175028.6399999999</v>
      </c>
      <c r="E121" s="357" t="s">
        <v>55</v>
      </c>
      <c r="F121" s="355" t="s">
        <v>724</v>
      </c>
      <c r="K121" s="212"/>
      <c r="L121" s="212"/>
      <c r="M121" s="211"/>
    </row>
    <row r="122" spans="1:14" s="354" customFormat="1" ht="20.100000000000001" customHeight="1" thickBot="1" x14ac:dyDescent="0.3">
      <c r="D122" s="189">
        <f>SUM(D121:D121)</f>
        <v>1175028.6399999999</v>
      </c>
      <c r="E122" s="357"/>
      <c r="F122" s="357"/>
      <c r="G122" s="357"/>
      <c r="H122" s="357"/>
      <c r="K122" s="96"/>
      <c r="L122" s="97"/>
      <c r="M122" s="357"/>
    </row>
    <row r="123" spans="1:14" s="18" customFormat="1" ht="20.100000000000001" customHeight="1" thickTop="1" x14ac:dyDescent="0.25">
      <c r="A123" s="133"/>
      <c r="B123" s="30"/>
      <c r="C123" s="21"/>
      <c r="D123" s="21"/>
      <c r="E123" s="21"/>
      <c r="F123" s="64"/>
      <c r="G123" s="64"/>
      <c r="H123" s="22"/>
      <c r="K123" s="96"/>
      <c r="L123" s="97"/>
      <c r="M123" s="21"/>
    </row>
    <row r="124" spans="1:14" s="18" customFormat="1" ht="27.75" customHeight="1" x14ac:dyDescent="0.25">
      <c r="A124" s="31"/>
      <c r="B124" s="23"/>
      <c r="F124" s="32"/>
      <c r="G124" s="64"/>
      <c r="H124" s="22"/>
      <c r="I124" s="22"/>
      <c r="K124" s="99"/>
      <c r="L124" s="97"/>
      <c r="M124" s="21"/>
    </row>
    <row r="125" spans="1:14" s="621" customFormat="1" ht="30" customHeight="1" x14ac:dyDescent="0.25">
      <c r="A125" s="616"/>
      <c r="B125" s="623"/>
      <c r="C125" s="617" t="s">
        <v>880</v>
      </c>
      <c r="D125" s="617"/>
      <c r="E125" s="617"/>
      <c r="F125" s="617"/>
      <c r="G125" s="617"/>
      <c r="H125" s="192"/>
      <c r="I125" s="616"/>
      <c r="J125" s="616"/>
      <c r="K125" s="96"/>
      <c r="L125" s="97"/>
      <c r="M125" s="622"/>
    </row>
    <row r="126" spans="1:14" s="622" customFormat="1" ht="20.100000000000001" customHeight="1" thickBot="1" x14ac:dyDescent="0.3">
      <c r="K126" s="96"/>
      <c r="L126" s="96"/>
    </row>
    <row r="127" spans="1:14" s="621" customFormat="1" ht="50.25" thickBot="1" x14ac:dyDescent="0.3">
      <c r="A127" s="619" t="s">
        <v>800</v>
      </c>
      <c r="B127" s="620" t="s">
        <v>14</v>
      </c>
      <c r="C127" s="618" t="s">
        <v>881</v>
      </c>
      <c r="D127" s="618" t="s">
        <v>17</v>
      </c>
      <c r="E127" s="618" t="s">
        <v>18</v>
      </c>
      <c r="F127" s="620" t="s">
        <v>19</v>
      </c>
      <c r="G127" s="620" t="s">
        <v>59</v>
      </c>
      <c r="H127" s="620" t="s">
        <v>60</v>
      </c>
      <c r="I127" s="620" t="s">
        <v>61</v>
      </c>
      <c r="J127" s="618" t="s">
        <v>23</v>
      </c>
      <c r="K127" s="98"/>
      <c r="L127" s="97"/>
      <c r="M127" s="622"/>
    </row>
    <row r="128" spans="1:14" s="621" customFormat="1" ht="20.100000000000001" customHeight="1" x14ac:dyDescent="0.25">
      <c r="A128" s="630" t="s">
        <v>47</v>
      </c>
      <c r="B128" s="632">
        <v>3528903.5600000713</v>
      </c>
      <c r="C128" s="631">
        <v>9737096.8200000003</v>
      </c>
      <c r="D128" s="194">
        <v>2643353.7599999998</v>
      </c>
      <c r="E128" s="633">
        <v>2952455.52</v>
      </c>
      <c r="F128" s="631">
        <f>B128+C128-D128-E128</f>
        <v>7670191.1000000723</v>
      </c>
      <c r="G128" s="633">
        <f>10785509.21-D128-E128</f>
        <v>5189699.9300000016</v>
      </c>
      <c r="H128" s="633">
        <f t="shared" ref="H128:H130" si="28">G128/F128*100</f>
        <v>67.660634035571192</v>
      </c>
      <c r="I128" s="632">
        <f>F128-G128</f>
        <v>2480491.1700000707</v>
      </c>
      <c r="J128" s="633">
        <f t="shared" ref="J128:J130" si="29">I128/F128*100</f>
        <v>32.339365964428808</v>
      </c>
      <c r="K128" s="57"/>
      <c r="L128" s="97"/>
      <c r="M128" s="622"/>
      <c r="N128" s="57"/>
    </row>
    <row r="129" spans="1:14" s="621" customFormat="1" ht="20.100000000000001" customHeight="1" thickBot="1" x14ac:dyDescent="0.3">
      <c r="A129" s="634" t="s">
        <v>50</v>
      </c>
      <c r="B129" s="636">
        <v>1175028.6400000108</v>
      </c>
      <c r="C129" s="635">
        <v>4378218.18</v>
      </c>
      <c r="D129" s="194"/>
      <c r="E129" s="198">
        <v>0</v>
      </c>
      <c r="F129" s="635">
        <f>B129+C129-D129-E129</f>
        <v>5553246.8200000105</v>
      </c>
      <c r="G129" s="199">
        <f>5553246.82-E129-D129</f>
        <v>5553246.8200000003</v>
      </c>
      <c r="H129" s="198">
        <f t="shared" si="28"/>
        <v>99.999999999999815</v>
      </c>
      <c r="I129" s="636">
        <f t="shared" ref="I129" si="30">F129-G129</f>
        <v>1.0244548320770264E-8</v>
      </c>
      <c r="J129" s="198">
        <f t="shared" si="29"/>
        <v>1.8447853396097104E-13</v>
      </c>
      <c r="K129" s="96"/>
      <c r="L129" s="97"/>
      <c r="M129" s="622"/>
    </row>
    <row r="130" spans="1:14" s="621" customFormat="1" ht="20.100000000000001" customHeight="1" thickTop="1" thickBot="1" x14ac:dyDescent="0.3">
      <c r="A130" s="200" t="s">
        <v>36</v>
      </c>
      <c r="B130" s="522">
        <f t="shared" ref="B130:G130" si="31">SUM(B128:B129)</f>
        <v>4703932.2000000821</v>
      </c>
      <c r="C130" s="202">
        <f t="shared" si="31"/>
        <v>14115315</v>
      </c>
      <c r="D130" s="203">
        <f t="shared" si="31"/>
        <v>2643353.7599999998</v>
      </c>
      <c r="E130" s="203">
        <f t="shared" si="31"/>
        <v>2952455.52</v>
      </c>
      <c r="F130" s="202">
        <f t="shared" si="31"/>
        <v>13223437.920000084</v>
      </c>
      <c r="G130" s="203">
        <f t="shared" si="31"/>
        <v>10742946.750000002</v>
      </c>
      <c r="H130" s="203">
        <f t="shared" si="28"/>
        <v>81.241707451521307</v>
      </c>
      <c r="I130" s="201">
        <f>SUM(I128:I129)</f>
        <v>2480491.170000081</v>
      </c>
      <c r="J130" s="203">
        <f t="shared" si="29"/>
        <v>18.758292548478689</v>
      </c>
      <c r="K130" s="204"/>
      <c r="L130" s="97"/>
      <c r="M130" s="622"/>
    </row>
    <row r="131" spans="1:14" s="226" customFormat="1" ht="15.75" thickTop="1" x14ac:dyDescent="0.25">
      <c r="K131" s="498"/>
      <c r="L131" s="498"/>
    </row>
    <row r="132" spans="1:14" s="621" customFormat="1" ht="20.100000000000001" customHeight="1" x14ac:dyDescent="0.25">
      <c r="A132" s="398" t="s">
        <v>37</v>
      </c>
      <c r="B132" s="364"/>
      <c r="C132" s="622"/>
      <c r="D132" s="622"/>
      <c r="E132" s="622"/>
      <c r="F132" s="64"/>
      <c r="G132" s="64"/>
      <c r="H132" s="22"/>
      <c r="K132" s="96"/>
      <c r="L132" s="97"/>
      <c r="M132" s="622"/>
    </row>
    <row r="133" spans="1:14" s="621" customFormat="1" ht="20.100000000000001" customHeight="1" x14ac:dyDescent="0.25">
      <c r="B133" s="205" t="s">
        <v>62</v>
      </c>
      <c r="C133" s="206"/>
      <c r="D133" s="622"/>
      <c r="E133" s="622"/>
      <c r="F133" s="64"/>
      <c r="G133" s="64"/>
      <c r="H133" s="22"/>
      <c r="K133" s="96"/>
      <c r="L133" s="97"/>
      <c r="M133" s="622"/>
    </row>
    <row r="134" spans="1:14" s="621" customFormat="1" ht="20.100000000000001" customHeight="1" x14ac:dyDescent="0.25">
      <c r="A134" s="621" t="s">
        <v>63</v>
      </c>
      <c r="B134" s="621" t="s">
        <v>882</v>
      </c>
      <c r="D134" s="622">
        <f>609447.77-274342.62+38666.27</f>
        <v>373771.42000000004</v>
      </c>
      <c r="E134" s="622" t="s">
        <v>55</v>
      </c>
      <c r="F134" s="622" t="s">
        <v>883</v>
      </c>
      <c r="H134" s="622"/>
      <c r="K134" s="96"/>
      <c r="L134" s="96"/>
      <c r="M134" s="622"/>
    </row>
    <row r="135" spans="1:14" s="621" customFormat="1" ht="20.100000000000001" customHeight="1" x14ac:dyDescent="0.25">
      <c r="B135" s="621" t="s">
        <v>884</v>
      </c>
      <c r="D135" s="622">
        <v>480608.55</v>
      </c>
      <c r="E135" s="622" t="s">
        <v>55</v>
      </c>
      <c r="F135" s="622" t="s">
        <v>69</v>
      </c>
      <c r="H135" s="622"/>
      <c r="K135" s="96"/>
      <c r="L135" s="96"/>
      <c r="M135" s="622"/>
    </row>
    <row r="136" spans="1:14" s="621" customFormat="1" ht="20.100000000000001" customHeight="1" x14ac:dyDescent="0.25">
      <c r="B136" s="621" t="s">
        <v>885</v>
      </c>
      <c r="D136" s="622">
        <v>869011.21</v>
      </c>
      <c r="E136" s="622" t="s">
        <v>55</v>
      </c>
      <c r="F136" s="622" t="s">
        <v>314</v>
      </c>
      <c r="H136" s="622"/>
      <c r="K136" s="96"/>
      <c r="L136" s="97"/>
      <c r="M136" s="622"/>
    </row>
    <row r="137" spans="1:14" s="621" customFormat="1" ht="20.100000000000001" customHeight="1" x14ac:dyDescent="0.25">
      <c r="B137" s="621" t="s">
        <v>718</v>
      </c>
      <c r="D137" s="622">
        <v>82625.45</v>
      </c>
      <c r="E137" s="622" t="s">
        <v>55</v>
      </c>
      <c r="F137" s="622" t="s">
        <v>886</v>
      </c>
      <c r="H137" s="622"/>
      <c r="K137" s="96"/>
      <c r="L137" s="97"/>
      <c r="M137" s="622"/>
    </row>
    <row r="138" spans="1:14" s="621" customFormat="1" ht="20.100000000000001" customHeight="1" x14ac:dyDescent="0.25">
      <c r="B138" s="621" t="s">
        <v>887</v>
      </c>
      <c r="D138" s="622">
        <v>575463.48</v>
      </c>
      <c r="E138" s="622" t="s">
        <v>55</v>
      </c>
      <c r="F138" s="622" t="s">
        <v>888</v>
      </c>
      <c r="H138" s="622"/>
      <c r="K138" s="96"/>
      <c r="L138" s="97"/>
      <c r="M138" s="622"/>
    </row>
    <row r="139" spans="1:14" s="621" customFormat="1" ht="20.100000000000001" customHeight="1" x14ac:dyDescent="0.25">
      <c r="B139" s="621" t="s">
        <v>889</v>
      </c>
      <c r="D139" s="622">
        <v>99011.06</v>
      </c>
      <c r="E139" s="622" t="s">
        <v>55</v>
      </c>
      <c r="F139" s="627" t="s">
        <v>890</v>
      </c>
      <c r="H139" s="622"/>
      <c r="J139" s="26"/>
      <c r="K139" s="96"/>
      <c r="L139" s="96"/>
      <c r="M139" s="622"/>
    </row>
    <row r="140" spans="1:14" s="360" customFormat="1" ht="20.100000000000001" customHeight="1" x14ac:dyDescent="0.25">
      <c r="B140" s="360" t="s">
        <v>72</v>
      </c>
      <c r="D140" s="129">
        <f>SUM(D134:D139)</f>
        <v>2480491.17</v>
      </c>
      <c r="E140" s="361"/>
      <c r="F140" s="361"/>
      <c r="H140" s="361"/>
      <c r="K140" s="116"/>
      <c r="L140" s="128"/>
      <c r="M140" s="361"/>
    </row>
    <row r="141" spans="1:14" s="18" customFormat="1" ht="20.100000000000001" customHeight="1" x14ac:dyDescent="0.25">
      <c r="A141" s="27"/>
      <c r="B141" s="28"/>
      <c r="C141" s="28"/>
      <c r="D141" s="29"/>
      <c r="E141" s="29"/>
      <c r="F141" s="28"/>
      <c r="G141" s="29"/>
      <c r="H141" s="29"/>
      <c r="I141" s="29"/>
      <c r="J141" s="29"/>
      <c r="K141" s="96"/>
      <c r="L141" s="97"/>
      <c r="M141" s="21"/>
    </row>
    <row r="142" spans="1:14" s="18" customFormat="1" ht="20.100000000000001" customHeight="1" x14ac:dyDescent="0.25">
      <c r="A142" s="133"/>
      <c r="B142" s="30"/>
      <c r="C142" s="21"/>
      <c r="D142" s="21"/>
      <c r="E142" s="21"/>
      <c r="F142" s="64"/>
      <c r="G142" s="64"/>
      <c r="H142" s="22"/>
      <c r="K142" s="96"/>
      <c r="L142" s="97"/>
      <c r="M142" s="21"/>
    </row>
    <row r="143" spans="1:14" s="18" customFormat="1" ht="27.75" customHeight="1" x14ac:dyDescent="0.25">
      <c r="A143" s="777"/>
      <c r="B143" s="804"/>
      <c r="C143" s="778" t="s">
        <v>1005</v>
      </c>
      <c r="D143" s="778"/>
      <c r="E143" s="778"/>
      <c r="F143" s="778"/>
      <c r="G143" s="778"/>
      <c r="H143" s="779"/>
      <c r="I143" s="777"/>
      <c r="J143" s="777"/>
      <c r="K143" s="805"/>
      <c r="L143" s="806"/>
      <c r="M143" s="780"/>
      <c r="N143" s="781"/>
    </row>
    <row r="144" spans="1:14" s="18" customFormat="1" ht="20.100000000000001" customHeight="1" thickBot="1" x14ac:dyDescent="0.3">
      <c r="A144" s="780"/>
      <c r="B144" s="780"/>
      <c r="C144" s="780"/>
      <c r="D144" s="780"/>
      <c r="E144" s="780"/>
      <c r="F144" s="780"/>
      <c r="G144" s="780"/>
      <c r="H144" s="780"/>
      <c r="I144" s="780"/>
      <c r="J144" s="780"/>
      <c r="K144" s="805"/>
      <c r="L144" s="805"/>
      <c r="M144" s="780"/>
      <c r="N144" s="780"/>
    </row>
    <row r="145" spans="1:14" s="18" customFormat="1" ht="50.25" thickBot="1" x14ac:dyDescent="0.3">
      <c r="A145" s="783" t="s">
        <v>944</v>
      </c>
      <c r="B145" s="784" t="s">
        <v>14</v>
      </c>
      <c r="C145" s="785" t="s">
        <v>1006</v>
      </c>
      <c r="D145" s="785" t="s">
        <v>17</v>
      </c>
      <c r="E145" s="785" t="s">
        <v>18</v>
      </c>
      <c r="F145" s="784" t="s">
        <v>19</v>
      </c>
      <c r="G145" s="784" t="s">
        <v>59</v>
      </c>
      <c r="H145" s="784" t="s">
        <v>60</v>
      </c>
      <c r="I145" s="784" t="s">
        <v>61</v>
      </c>
      <c r="J145" s="785" t="s">
        <v>23</v>
      </c>
      <c r="K145" s="807"/>
      <c r="L145" s="806"/>
      <c r="M145" s="780"/>
      <c r="N145" s="781"/>
    </row>
    <row r="146" spans="1:14" s="18" customFormat="1" ht="20.100000000000001" customHeight="1" x14ac:dyDescent="0.25">
      <c r="A146" s="786" t="s">
        <v>47</v>
      </c>
      <c r="B146" s="788">
        <v>2480491.1700000707</v>
      </c>
      <c r="C146" s="787">
        <v>9139053.7400000002</v>
      </c>
      <c r="D146" s="799">
        <v>2401873.94</v>
      </c>
      <c r="E146" s="789">
        <v>1230639.6399999999</v>
      </c>
      <c r="F146" s="787">
        <v>7987031.3300000718</v>
      </c>
      <c r="G146" s="789">
        <v>5524752.8100000005</v>
      </c>
      <c r="H146" s="789">
        <v>69.17154298930177</v>
      </c>
      <c r="I146" s="788">
        <v>2462278.5200000713</v>
      </c>
      <c r="J146" s="789">
        <v>30.82845701069823</v>
      </c>
      <c r="K146" s="808"/>
      <c r="L146" s="806"/>
      <c r="M146" s="780"/>
      <c r="N146" s="808"/>
    </row>
    <row r="147" spans="1:14" s="18" customFormat="1" ht="20.100000000000001" customHeight="1" thickBot="1" x14ac:dyDescent="0.3">
      <c r="A147" s="790" t="s">
        <v>50</v>
      </c>
      <c r="B147" s="811">
        <v>1.0244548320770264E-8</v>
      </c>
      <c r="C147" s="791">
        <v>4251063.8499999996</v>
      </c>
      <c r="D147" s="799"/>
      <c r="E147" s="792">
        <v>45962.06</v>
      </c>
      <c r="F147" s="791">
        <v>4205101.7900000103</v>
      </c>
      <c r="G147" s="812">
        <v>3866934.71</v>
      </c>
      <c r="H147" s="792">
        <v>91.958171362125114</v>
      </c>
      <c r="I147" s="811">
        <v>338167.08000001032</v>
      </c>
      <c r="J147" s="792">
        <v>8.0418286378748878</v>
      </c>
      <c r="K147" s="805"/>
      <c r="L147" s="806"/>
      <c r="M147" s="780"/>
      <c r="N147" s="781"/>
    </row>
    <row r="148" spans="1:14" s="18" customFormat="1" ht="20.100000000000001" customHeight="1" thickTop="1" thickBot="1" x14ac:dyDescent="0.3">
      <c r="A148" s="813" t="s">
        <v>36</v>
      </c>
      <c r="B148" s="824">
        <v>2480491.170000081</v>
      </c>
      <c r="C148" s="815">
        <v>13390117.59</v>
      </c>
      <c r="D148" s="816">
        <v>2401873.94</v>
      </c>
      <c r="E148" s="816">
        <v>1276601.7</v>
      </c>
      <c r="F148" s="815">
        <v>12192133.120000083</v>
      </c>
      <c r="G148" s="816">
        <v>9391687.5199999996</v>
      </c>
      <c r="H148" s="816">
        <v>77.030716672489348</v>
      </c>
      <c r="I148" s="814">
        <v>2800445.6000000816</v>
      </c>
      <c r="J148" s="816">
        <v>22.969283327510638</v>
      </c>
      <c r="K148" s="810"/>
      <c r="L148" s="806"/>
      <c r="M148" s="780"/>
      <c r="N148" s="781"/>
    </row>
    <row r="149" spans="1:14" ht="17.25" thickTop="1" x14ac:dyDescent="0.3">
      <c r="A149" s="776"/>
      <c r="B149" s="776"/>
      <c r="C149" s="776"/>
      <c r="D149" s="776"/>
      <c r="E149" s="776"/>
      <c r="F149" s="776"/>
      <c r="G149" s="776"/>
      <c r="H149" s="776"/>
      <c r="I149" s="776"/>
      <c r="J149" s="776"/>
      <c r="K149" s="776"/>
      <c r="L149" s="776"/>
      <c r="M149" s="776"/>
      <c r="N149" s="776"/>
    </row>
    <row r="150" spans="1:14" s="18" customFormat="1" ht="20.100000000000001" customHeight="1" x14ac:dyDescent="0.25">
      <c r="A150" s="817" t="s">
        <v>37</v>
      </c>
      <c r="B150" s="798"/>
      <c r="C150" s="780"/>
      <c r="D150" s="780"/>
      <c r="E150" s="780"/>
      <c r="F150" s="800"/>
      <c r="G150" s="800"/>
      <c r="H150" s="782"/>
      <c r="I150" s="781"/>
      <c r="J150" s="781"/>
      <c r="K150" s="805"/>
      <c r="L150" s="806"/>
      <c r="M150" s="780"/>
      <c r="N150" s="781"/>
    </row>
    <row r="151" spans="1:14" s="18" customFormat="1" ht="16.5" x14ac:dyDescent="0.25">
      <c r="A151" s="781"/>
      <c r="B151" s="818" t="s">
        <v>62</v>
      </c>
      <c r="C151" s="819"/>
      <c r="D151" s="780"/>
      <c r="E151" s="780"/>
      <c r="F151" s="800"/>
      <c r="G151" s="800"/>
      <c r="H151" s="782"/>
      <c r="I151" s="781"/>
      <c r="J151" s="781"/>
      <c r="K151" s="805"/>
      <c r="L151" s="806"/>
      <c r="M151" s="780"/>
      <c r="N151" s="781"/>
    </row>
    <row r="152" spans="1:14" s="18" customFormat="1" ht="16.5" x14ac:dyDescent="0.25">
      <c r="A152" s="781" t="s">
        <v>63</v>
      </c>
      <c r="B152" s="781" t="s">
        <v>882</v>
      </c>
      <c r="C152" s="781"/>
      <c r="D152" s="780">
        <v>622028.37</v>
      </c>
      <c r="E152" s="780" t="s">
        <v>55</v>
      </c>
      <c r="F152" s="780" t="s">
        <v>883</v>
      </c>
      <c r="G152" s="781"/>
      <c r="H152" s="780"/>
      <c r="I152" s="781"/>
      <c r="J152" s="781"/>
      <c r="K152" s="805"/>
      <c r="L152" s="805"/>
      <c r="M152" s="780"/>
      <c r="N152" s="781"/>
    </row>
    <row r="153" spans="1:14" s="18" customFormat="1" ht="16.5" x14ac:dyDescent="0.25">
      <c r="A153" s="781"/>
      <c r="B153" s="781" t="s">
        <v>1007</v>
      </c>
      <c r="C153" s="781"/>
      <c r="D153" s="780">
        <v>125666.87</v>
      </c>
      <c r="E153" s="780" t="s">
        <v>55</v>
      </c>
      <c r="F153" s="780" t="s">
        <v>69</v>
      </c>
      <c r="G153" s="781"/>
      <c r="H153" s="780"/>
      <c r="I153" s="781"/>
      <c r="J153" s="781"/>
      <c r="K153" s="805"/>
      <c r="L153" s="805"/>
      <c r="M153" s="780"/>
    </row>
    <row r="154" spans="1:14" s="21" customFormat="1" ht="16.5" x14ac:dyDescent="0.25">
      <c r="A154" s="781"/>
      <c r="B154" s="781" t="s">
        <v>1008</v>
      </c>
      <c r="C154" s="781"/>
      <c r="D154" s="780">
        <v>888866.92</v>
      </c>
      <c r="E154" s="780" t="s">
        <v>55</v>
      </c>
      <c r="F154" s="780" t="s">
        <v>314</v>
      </c>
      <c r="G154" s="781"/>
      <c r="H154" s="780"/>
      <c r="I154" s="781"/>
      <c r="J154" s="781"/>
      <c r="K154" s="805"/>
      <c r="L154" s="806"/>
      <c r="M154" s="780"/>
    </row>
    <row r="155" spans="1:14" s="18" customFormat="1" ht="16.5" x14ac:dyDescent="0.25">
      <c r="A155" s="781"/>
      <c r="B155" s="781" t="s">
        <v>718</v>
      </c>
      <c r="C155" s="781"/>
      <c r="D155" s="780">
        <v>4719.6499999999996</v>
      </c>
      <c r="E155" s="780" t="s">
        <v>55</v>
      </c>
      <c r="F155" s="780" t="s">
        <v>1041</v>
      </c>
      <c r="G155" s="781"/>
      <c r="H155" s="780"/>
      <c r="I155" s="781"/>
      <c r="J155" s="781"/>
      <c r="K155" s="805"/>
      <c r="L155" s="806"/>
      <c r="M155" s="780"/>
    </row>
    <row r="156" spans="1:14" s="18" customFormat="1" ht="16.5" x14ac:dyDescent="0.25">
      <c r="A156" s="781"/>
      <c r="B156" s="781" t="s">
        <v>1009</v>
      </c>
      <c r="C156" s="781"/>
      <c r="D156" s="780">
        <v>712335.7</v>
      </c>
      <c r="E156" s="780" t="s">
        <v>55</v>
      </c>
      <c r="F156" s="780" t="s">
        <v>1042</v>
      </c>
      <c r="G156" s="781"/>
      <c r="H156" s="780"/>
      <c r="I156" s="781"/>
      <c r="J156" s="781"/>
      <c r="K156" s="805"/>
      <c r="L156" s="806"/>
      <c r="M156" s="780"/>
      <c r="N156" s="26"/>
    </row>
    <row r="157" spans="1:14" s="18" customFormat="1" ht="16.5" x14ac:dyDescent="0.25">
      <c r="A157" s="781"/>
      <c r="B157" s="781" t="s">
        <v>889</v>
      </c>
      <c r="C157" s="781"/>
      <c r="D157" s="780">
        <v>55443.72</v>
      </c>
      <c r="E157" s="780" t="s">
        <v>55</v>
      </c>
      <c r="F157" s="797" t="s">
        <v>890</v>
      </c>
      <c r="G157" s="781"/>
      <c r="H157" s="780"/>
      <c r="I157" s="781"/>
      <c r="J157" s="796"/>
      <c r="K157" s="805"/>
      <c r="L157" s="805"/>
      <c r="M157" s="780"/>
    </row>
    <row r="158" spans="1:14" s="18" customFormat="1" ht="16.5" x14ac:dyDescent="0.25">
      <c r="A158" s="781"/>
      <c r="B158" s="781" t="s">
        <v>1010</v>
      </c>
      <c r="C158" s="781"/>
      <c r="D158" s="780">
        <v>53217.29</v>
      </c>
      <c r="E158" s="780" t="s">
        <v>55</v>
      </c>
      <c r="F158" s="797" t="s">
        <v>478</v>
      </c>
      <c r="G158" s="781"/>
      <c r="H158" s="780"/>
      <c r="I158" s="781"/>
      <c r="J158" s="796"/>
      <c r="K158" s="805"/>
      <c r="L158" s="805"/>
      <c r="M158" s="780"/>
    </row>
    <row r="159" spans="1:14" s="18" customFormat="1" ht="20.100000000000001" customHeight="1" x14ac:dyDescent="0.25">
      <c r="A159" s="793"/>
      <c r="B159" s="793" t="s">
        <v>72</v>
      </c>
      <c r="C159" s="793"/>
      <c r="D159" s="820">
        <v>2462278.52</v>
      </c>
      <c r="E159" s="794"/>
      <c r="F159" s="794"/>
      <c r="G159" s="793"/>
      <c r="H159" s="794"/>
      <c r="I159" s="793"/>
      <c r="J159" s="793"/>
      <c r="K159" s="821"/>
      <c r="L159" s="822"/>
      <c r="M159" s="794"/>
    </row>
    <row r="160" spans="1:14" s="18" customFormat="1" ht="20.100000000000001" customHeight="1" x14ac:dyDescent="0.25">
      <c r="A160" s="133"/>
      <c r="B160" s="30"/>
      <c r="C160" s="21"/>
      <c r="D160" s="21"/>
      <c r="E160" s="21"/>
      <c r="F160" s="64"/>
      <c r="G160" s="64"/>
      <c r="H160" s="22"/>
      <c r="K160" s="96"/>
      <c r="L160" s="97"/>
      <c r="M160" s="21"/>
    </row>
    <row r="161" spans="1:14" s="18" customFormat="1" ht="27.75" customHeight="1" x14ac:dyDescent="0.25">
      <c r="A161" s="781"/>
      <c r="B161" s="818" t="s">
        <v>73</v>
      </c>
      <c r="C161" s="823"/>
      <c r="D161" s="780"/>
      <c r="E161" s="780"/>
      <c r="F161" s="780"/>
      <c r="G161" s="781"/>
      <c r="H161" s="780"/>
      <c r="I161" s="781"/>
      <c r="J161" s="781"/>
      <c r="K161" s="805"/>
      <c r="L161" s="806"/>
      <c r="M161" s="780"/>
    </row>
    <row r="162" spans="1:14" s="18" customFormat="1" ht="20.100000000000001" customHeight="1" x14ac:dyDescent="0.3">
      <c r="A162" s="781"/>
      <c r="B162" s="781" t="s">
        <v>1011</v>
      </c>
      <c r="C162" s="801"/>
      <c r="D162" s="802">
        <v>338167.08</v>
      </c>
      <c r="E162" s="780" t="s">
        <v>55</v>
      </c>
      <c r="F162" s="797" t="s">
        <v>1012</v>
      </c>
      <c r="G162" s="801"/>
      <c r="H162" s="801"/>
      <c r="I162" s="801"/>
      <c r="J162" s="801"/>
      <c r="K162" s="809"/>
      <c r="L162" s="809"/>
      <c r="M162" s="802"/>
    </row>
    <row r="163" spans="1:14" s="18" customFormat="1" ht="20.100000000000001" customHeight="1" thickBot="1" x14ac:dyDescent="0.3">
      <c r="A163" s="781"/>
      <c r="B163" s="781"/>
      <c r="C163" s="781"/>
      <c r="D163" s="795">
        <v>338167.08</v>
      </c>
      <c r="E163" s="780"/>
      <c r="F163" s="780"/>
      <c r="G163" s="780"/>
      <c r="H163" s="780"/>
      <c r="I163" s="781"/>
      <c r="J163" s="781"/>
      <c r="K163" s="805"/>
      <c r="L163" s="806"/>
      <c r="M163" s="780"/>
    </row>
    <row r="164" spans="1:14" s="781" customFormat="1" ht="20.100000000000001" customHeight="1" thickTop="1" x14ac:dyDescent="0.25">
      <c r="A164" s="226"/>
      <c r="B164" s="226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</row>
    <row r="165" spans="1:14" s="18" customFormat="1" ht="20.100000000000001" customHeight="1" x14ac:dyDescent="0.25">
      <c r="C165" s="21"/>
      <c r="D165" s="21"/>
      <c r="E165" s="21"/>
      <c r="G165" s="21"/>
      <c r="H165" s="22"/>
      <c r="K165" s="96"/>
      <c r="L165" s="97"/>
      <c r="M165" s="21"/>
    </row>
    <row r="166" spans="1:14" s="781" customFormat="1" ht="30" customHeight="1" x14ac:dyDescent="0.25">
      <c r="A166" s="827"/>
      <c r="B166" s="804"/>
      <c r="C166" s="828" t="s">
        <v>1108</v>
      </c>
      <c r="D166" s="828"/>
      <c r="E166" s="828"/>
      <c r="F166" s="828"/>
      <c r="G166" s="828"/>
      <c r="H166" s="829"/>
      <c r="I166" s="827"/>
      <c r="J166" s="827"/>
      <c r="K166" s="805"/>
      <c r="L166" s="806"/>
      <c r="M166" s="780"/>
    </row>
    <row r="167" spans="1:14" s="780" customFormat="1" ht="20.100000000000001" customHeight="1" thickBot="1" x14ac:dyDescent="0.3">
      <c r="K167" s="805"/>
      <c r="L167" s="805"/>
    </row>
    <row r="168" spans="1:14" s="781" customFormat="1" ht="50.25" thickBot="1" x14ac:dyDescent="0.3">
      <c r="A168" s="783" t="s">
        <v>1074</v>
      </c>
      <c r="B168" s="784" t="s">
        <v>14</v>
      </c>
      <c r="C168" s="785" t="s">
        <v>1109</v>
      </c>
      <c r="D168" s="785" t="s">
        <v>17</v>
      </c>
      <c r="E168" s="785" t="s">
        <v>18</v>
      </c>
      <c r="F168" s="784" t="s">
        <v>19</v>
      </c>
      <c r="G168" s="784" t="s">
        <v>59</v>
      </c>
      <c r="H168" s="784" t="s">
        <v>60</v>
      </c>
      <c r="I168" s="784" t="s">
        <v>61</v>
      </c>
      <c r="J168" s="785" t="s">
        <v>23</v>
      </c>
      <c r="K168" s="807"/>
      <c r="L168" s="806"/>
      <c r="M168" s="780"/>
    </row>
    <row r="169" spans="1:14" s="781" customFormat="1" ht="20.100000000000001" customHeight="1" x14ac:dyDescent="0.25">
      <c r="A169" s="786" t="s">
        <v>47</v>
      </c>
      <c r="B169" s="788">
        <v>2462278.5200000713</v>
      </c>
      <c r="C169" s="787">
        <v>7631481.9500000002</v>
      </c>
      <c r="D169" s="799">
        <v>4369097.01</v>
      </c>
      <c r="E169" s="789">
        <v>1911031.18</v>
      </c>
      <c r="F169" s="787">
        <f>B169+C169-D169-E169</f>
        <v>3813632.280000072</v>
      </c>
      <c r="G169" s="789">
        <f>8674293.29-D169-E169+1407.52</f>
        <v>2395572.6199999996</v>
      </c>
      <c r="H169" s="789">
        <f t="shared" ref="H169:H171" si="32">G169/F169*100</f>
        <v>62.816035844964958</v>
      </c>
      <c r="I169" s="788">
        <f>F169-G169</f>
        <v>1418059.6600000723</v>
      </c>
      <c r="J169" s="789">
        <f t="shared" ref="J169:J171" si="33">I169/F169*100</f>
        <v>37.183964155035042</v>
      </c>
      <c r="K169" s="808"/>
      <c r="L169" s="806"/>
      <c r="M169" s="780"/>
      <c r="N169" s="808"/>
    </row>
    <row r="170" spans="1:14" s="781" customFormat="1" ht="20.100000000000001" customHeight="1" thickBot="1" x14ac:dyDescent="0.3">
      <c r="A170" s="790" t="s">
        <v>50</v>
      </c>
      <c r="B170" s="811">
        <v>338167.08000001032</v>
      </c>
      <c r="C170" s="791">
        <v>4548245.93</v>
      </c>
      <c r="D170" s="799"/>
      <c r="E170" s="792">
        <v>0</v>
      </c>
      <c r="F170" s="791">
        <f>B170+C170-D170-E170</f>
        <v>4886413.01000001</v>
      </c>
      <c r="G170" s="812">
        <f>3704116.67-E170-D170</f>
        <v>3704116.67</v>
      </c>
      <c r="H170" s="792">
        <f t="shared" si="32"/>
        <v>75.804412406801291</v>
      </c>
      <c r="I170" s="811">
        <f t="shared" ref="I170" si="34">F170-G170</f>
        <v>1182296.3400000101</v>
      </c>
      <c r="J170" s="792">
        <f t="shared" si="33"/>
        <v>24.195587593198713</v>
      </c>
      <c r="K170" s="805"/>
      <c r="L170" s="806"/>
      <c r="M170" s="780"/>
    </row>
    <row r="171" spans="1:14" s="781" customFormat="1" ht="20.100000000000001" customHeight="1" thickTop="1" thickBot="1" x14ac:dyDescent="0.3">
      <c r="A171" s="813" t="s">
        <v>36</v>
      </c>
      <c r="B171" s="824">
        <f t="shared" ref="B171:G171" si="35">SUM(B169:B170)</f>
        <v>2800445.6000000816</v>
      </c>
      <c r="C171" s="815">
        <f t="shared" si="35"/>
        <v>12179727.879999999</v>
      </c>
      <c r="D171" s="816">
        <f t="shared" si="35"/>
        <v>4369097.01</v>
      </c>
      <c r="E171" s="816">
        <f t="shared" si="35"/>
        <v>1911031.18</v>
      </c>
      <c r="F171" s="815">
        <f t="shared" si="35"/>
        <v>8700045.2900000811</v>
      </c>
      <c r="G171" s="816">
        <f t="shared" si="35"/>
        <v>6099689.2899999991</v>
      </c>
      <c r="H171" s="816">
        <f t="shared" si="32"/>
        <v>70.111006169255731</v>
      </c>
      <c r="I171" s="814">
        <f>SUM(I169:I170)</f>
        <v>2600356.0000000824</v>
      </c>
      <c r="J171" s="816">
        <f t="shared" si="33"/>
        <v>29.888993830744276</v>
      </c>
      <c r="K171" s="810"/>
      <c r="L171" s="806"/>
      <c r="M171" s="780"/>
    </row>
    <row r="172" spans="1:14" s="226" customFormat="1" ht="15.75" thickTop="1" x14ac:dyDescent="0.25">
      <c r="K172" s="498"/>
      <c r="L172" s="498"/>
    </row>
    <row r="173" spans="1:14" s="781" customFormat="1" ht="20.100000000000001" customHeight="1" x14ac:dyDescent="0.25">
      <c r="A173" s="817" t="s">
        <v>37</v>
      </c>
      <c r="B173" s="798"/>
      <c r="C173" s="780"/>
      <c r="D173" s="780"/>
      <c r="E173" s="780"/>
      <c r="F173" s="800"/>
      <c r="G173" s="800"/>
      <c r="H173" s="782"/>
      <c r="K173" s="805"/>
      <c r="L173" s="806"/>
      <c r="M173" s="780"/>
    </row>
    <row r="174" spans="1:14" s="781" customFormat="1" ht="20.100000000000001" customHeight="1" x14ac:dyDescent="0.25">
      <c r="B174" s="818" t="s">
        <v>62</v>
      </c>
      <c r="C174" s="819"/>
      <c r="D174" s="780"/>
      <c r="E174" s="780"/>
      <c r="F174" s="800"/>
      <c r="G174" s="800"/>
      <c r="H174" s="782"/>
      <c r="K174" s="805"/>
      <c r="L174" s="806"/>
      <c r="M174" s="780"/>
    </row>
    <row r="175" spans="1:14" s="781" customFormat="1" ht="20.100000000000001" customHeight="1" x14ac:dyDescent="0.25">
      <c r="A175" s="781" t="s">
        <v>63</v>
      </c>
      <c r="B175" s="781" t="s">
        <v>1110</v>
      </c>
      <c r="D175" s="780">
        <f>378583.86-1407.52</f>
        <v>377176.33999999997</v>
      </c>
      <c r="E175" s="780" t="s">
        <v>55</v>
      </c>
      <c r="F175" s="780" t="s">
        <v>883</v>
      </c>
      <c r="H175" s="780"/>
      <c r="K175" s="805"/>
      <c r="L175" s="805"/>
      <c r="M175" s="780"/>
    </row>
    <row r="176" spans="1:14" s="781" customFormat="1" ht="20.100000000000001" customHeight="1" x14ac:dyDescent="0.25">
      <c r="B176" s="781" t="s">
        <v>1175</v>
      </c>
      <c r="D176" s="780">
        <v>47482.45</v>
      </c>
      <c r="E176" s="780" t="s">
        <v>55</v>
      </c>
      <c r="F176" s="780" t="s">
        <v>69</v>
      </c>
      <c r="H176" s="780"/>
      <c r="K176" s="805"/>
      <c r="L176" s="805"/>
      <c r="M176" s="780"/>
    </row>
    <row r="177" spans="1:14" s="781" customFormat="1" ht="20.100000000000001" customHeight="1" x14ac:dyDescent="0.25">
      <c r="B177" s="781" t="s">
        <v>1111</v>
      </c>
      <c r="D177" s="780">
        <v>893283.93</v>
      </c>
      <c r="E177" s="780" t="s">
        <v>55</v>
      </c>
      <c r="F177" s="780" t="s">
        <v>314</v>
      </c>
      <c r="H177" s="780"/>
      <c r="K177" s="805"/>
      <c r="L177" s="806"/>
      <c r="M177" s="780"/>
    </row>
    <row r="178" spans="1:14" s="781" customFormat="1" ht="20.100000000000001" customHeight="1" x14ac:dyDescent="0.25">
      <c r="B178" s="781" t="s">
        <v>1112</v>
      </c>
      <c r="D178" s="780">
        <v>39238.720000000001</v>
      </c>
      <c r="E178" s="780" t="s">
        <v>55</v>
      </c>
      <c r="F178" s="780" t="s">
        <v>1113</v>
      </c>
      <c r="H178" s="780"/>
      <c r="K178" s="805"/>
      <c r="L178" s="806"/>
      <c r="M178" s="780"/>
    </row>
    <row r="179" spans="1:14" s="781" customFormat="1" ht="20.100000000000001" customHeight="1" x14ac:dyDescent="0.25">
      <c r="B179" s="781" t="s">
        <v>1114</v>
      </c>
      <c r="D179" s="780">
        <v>60878.22</v>
      </c>
      <c r="E179" s="780" t="s">
        <v>55</v>
      </c>
      <c r="F179" s="797" t="s">
        <v>890</v>
      </c>
      <c r="H179" s="780"/>
      <c r="J179" s="796"/>
      <c r="K179" s="805"/>
      <c r="L179" s="805"/>
      <c r="M179" s="780"/>
    </row>
    <row r="180" spans="1:14" s="793" customFormat="1" ht="20.100000000000001" customHeight="1" x14ac:dyDescent="0.25">
      <c r="B180" s="793" t="s">
        <v>72</v>
      </c>
      <c r="D180" s="820">
        <f>SUM(D175:D179)</f>
        <v>1418059.66</v>
      </c>
      <c r="E180" s="794"/>
      <c r="F180" s="794"/>
      <c r="H180" s="794"/>
      <c r="K180" s="821"/>
      <c r="L180" s="822"/>
      <c r="M180" s="794"/>
    </row>
    <row r="181" spans="1:14" s="226" customFormat="1" ht="15" x14ac:dyDescent="0.25">
      <c r="K181" s="498"/>
      <c r="L181" s="498"/>
    </row>
    <row r="182" spans="1:14" s="781" customFormat="1" ht="20.100000000000001" customHeight="1" x14ac:dyDescent="0.25">
      <c r="B182" s="818" t="s">
        <v>73</v>
      </c>
      <c r="C182" s="823"/>
      <c r="D182" s="780"/>
      <c r="E182" s="780"/>
      <c r="F182" s="780"/>
      <c r="H182" s="780"/>
      <c r="K182" s="805"/>
      <c r="L182" s="806"/>
      <c r="M182" s="780"/>
    </row>
    <row r="183" spans="1:14" s="801" customFormat="1" ht="16.5" x14ac:dyDescent="0.3">
      <c r="A183" s="781"/>
      <c r="B183" s="781" t="s">
        <v>1115</v>
      </c>
      <c r="D183" s="802">
        <v>1182296.3400000001</v>
      </c>
      <c r="E183" s="780" t="s">
        <v>55</v>
      </c>
      <c r="F183" s="780" t="s">
        <v>1113</v>
      </c>
      <c r="K183" s="809"/>
      <c r="L183" s="809"/>
      <c r="M183" s="802"/>
    </row>
    <row r="184" spans="1:14" s="781" customFormat="1" ht="20.100000000000001" customHeight="1" thickBot="1" x14ac:dyDescent="0.3">
      <c r="D184" s="795">
        <f>SUM(D183:D183)</f>
        <v>1182296.3400000001</v>
      </c>
      <c r="E184" s="780"/>
      <c r="F184" s="780"/>
      <c r="G184" s="780"/>
      <c r="H184" s="780"/>
      <c r="K184" s="805"/>
      <c r="L184" s="806"/>
      <c r="M184" s="780"/>
    </row>
    <row r="185" spans="1:14" s="18" customFormat="1" ht="20.100000000000001" customHeight="1" thickTop="1" x14ac:dyDescent="0.25">
      <c r="D185" s="21"/>
      <c r="E185" s="21"/>
      <c r="F185" s="21"/>
      <c r="H185" s="21"/>
      <c r="K185" s="96"/>
      <c r="L185" s="97"/>
      <c r="M185" s="21"/>
    </row>
    <row r="186" spans="1:14" s="18" customFormat="1" ht="20.100000000000001" customHeight="1" x14ac:dyDescent="0.25">
      <c r="D186" s="21"/>
      <c r="E186" s="21"/>
      <c r="F186" s="21"/>
      <c r="H186" s="21"/>
      <c r="K186" s="96"/>
      <c r="L186" s="97"/>
      <c r="M186" s="21"/>
    </row>
    <row r="187" spans="1:14" s="781" customFormat="1" ht="30" customHeight="1" x14ac:dyDescent="0.25">
      <c r="A187" s="827"/>
      <c r="B187" s="804"/>
      <c r="C187" s="828" t="s">
        <v>1261</v>
      </c>
      <c r="D187" s="828"/>
      <c r="E187" s="828"/>
      <c r="F187" s="828"/>
      <c r="G187" s="828"/>
      <c r="H187" s="829"/>
      <c r="I187" s="827"/>
      <c r="J187" s="827"/>
      <c r="K187" s="805"/>
      <c r="L187" s="806"/>
      <c r="M187" s="780"/>
    </row>
    <row r="188" spans="1:14" s="780" customFormat="1" ht="20.100000000000001" customHeight="1" thickBot="1" x14ac:dyDescent="0.3">
      <c r="K188" s="805"/>
      <c r="L188" s="805"/>
    </row>
    <row r="189" spans="1:14" s="781" customFormat="1" ht="50.25" thickBot="1" x14ac:dyDescent="0.3">
      <c r="A189" s="783" t="s">
        <v>1169</v>
      </c>
      <c r="B189" s="784" t="s">
        <v>14</v>
      </c>
      <c r="C189" s="785" t="s">
        <v>1262</v>
      </c>
      <c r="D189" s="785" t="s">
        <v>17</v>
      </c>
      <c r="E189" s="785" t="s">
        <v>18</v>
      </c>
      <c r="F189" s="784" t="s">
        <v>19</v>
      </c>
      <c r="G189" s="784" t="s">
        <v>59</v>
      </c>
      <c r="H189" s="784" t="s">
        <v>60</v>
      </c>
      <c r="I189" s="784" t="s">
        <v>61</v>
      </c>
      <c r="J189" s="785" t="s">
        <v>23</v>
      </c>
      <c r="K189" s="807"/>
      <c r="L189" s="806"/>
      <c r="M189" s="780"/>
    </row>
    <row r="190" spans="1:14" s="781" customFormat="1" ht="20.100000000000001" customHeight="1" x14ac:dyDescent="0.25">
      <c r="A190" s="786" t="s">
        <v>47</v>
      </c>
      <c r="B190" s="788">
        <v>1418059.6600000723</v>
      </c>
      <c r="C190" s="787">
        <v>15895335.93</v>
      </c>
      <c r="D190" s="799">
        <v>3145269.87</v>
      </c>
      <c r="E190" s="789">
        <v>2184106.4500000002</v>
      </c>
      <c r="F190" s="787">
        <f>B190+C190-D190-E190</f>
        <v>11984019.27000007</v>
      </c>
      <c r="G190" s="789">
        <f>13974128.29-D190-E190</f>
        <v>8644751.9699999988</v>
      </c>
      <c r="H190" s="789">
        <f t="shared" ref="H190:H192" si="36">G190/F190*100</f>
        <v>72.135664798542564</v>
      </c>
      <c r="I190" s="788">
        <f>F190-G190</f>
        <v>3339267.3000000715</v>
      </c>
      <c r="J190" s="789">
        <f t="shared" ref="J190:J192" si="37">I190/F190*100</f>
        <v>27.864335201457429</v>
      </c>
      <c r="K190" s="808"/>
      <c r="L190" s="806"/>
      <c r="M190" s="780"/>
      <c r="N190" s="808"/>
    </row>
    <row r="191" spans="1:14" s="781" customFormat="1" ht="20.100000000000001" customHeight="1" thickBot="1" x14ac:dyDescent="0.3">
      <c r="A191" s="790" t="s">
        <v>50</v>
      </c>
      <c r="B191" s="811">
        <v>1182296.3400000101</v>
      </c>
      <c r="C191" s="791">
        <v>5035412.6100000003</v>
      </c>
      <c r="D191" s="799"/>
      <c r="E191" s="792">
        <v>0</v>
      </c>
      <c r="F191" s="791">
        <f>B191+C191-D191-E191</f>
        <v>6217708.9500000104</v>
      </c>
      <c r="G191" s="812">
        <f>4357282.83-E191-D191</f>
        <v>4357282.83</v>
      </c>
      <c r="H191" s="792">
        <f t="shared" si="36"/>
        <v>70.078591086190883</v>
      </c>
      <c r="I191" s="811">
        <f t="shared" ref="I191" si="38">F191-G191</f>
        <v>1860426.1200000104</v>
      </c>
      <c r="J191" s="792">
        <f t="shared" si="37"/>
        <v>29.921408913809117</v>
      </c>
      <c r="K191" s="805"/>
      <c r="L191" s="806"/>
      <c r="M191" s="780"/>
    </row>
    <row r="192" spans="1:14" s="781" customFormat="1" ht="20.100000000000001" customHeight="1" thickTop="1" thickBot="1" x14ac:dyDescent="0.3">
      <c r="A192" s="813" t="s">
        <v>36</v>
      </c>
      <c r="B192" s="824">
        <f t="shared" ref="B192:G192" si="39">SUM(B190:B191)</f>
        <v>2600356.0000000824</v>
      </c>
      <c r="C192" s="815">
        <f t="shared" si="39"/>
        <v>20930748.539999999</v>
      </c>
      <c r="D192" s="816">
        <f t="shared" si="39"/>
        <v>3145269.87</v>
      </c>
      <c r="E192" s="816">
        <f t="shared" si="39"/>
        <v>2184106.4500000002</v>
      </c>
      <c r="F192" s="815">
        <f t="shared" si="39"/>
        <v>18201728.220000081</v>
      </c>
      <c r="G192" s="816">
        <f t="shared" si="39"/>
        <v>13002034.799999999</v>
      </c>
      <c r="H192" s="816">
        <f t="shared" si="36"/>
        <v>71.432968577749378</v>
      </c>
      <c r="I192" s="814">
        <f>SUM(I190:I191)</f>
        <v>5199693.4200000819</v>
      </c>
      <c r="J192" s="816">
        <f t="shared" si="37"/>
        <v>28.567031422250622</v>
      </c>
      <c r="K192" s="810"/>
      <c r="L192" s="806"/>
      <c r="M192" s="780"/>
    </row>
    <row r="193" spans="1:13" s="226" customFormat="1" ht="15.75" thickTop="1" x14ac:dyDescent="0.25">
      <c r="K193" s="498"/>
      <c r="L193" s="498"/>
    </row>
    <row r="194" spans="1:13" s="781" customFormat="1" ht="20.100000000000001" customHeight="1" x14ac:dyDescent="0.25">
      <c r="A194" s="817" t="s">
        <v>37</v>
      </c>
      <c r="B194" s="798"/>
      <c r="C194" s="780"/>
      <c r="D194" s="780"/>
      <c r="E194" s="780"/>
      <c r="F194" s="800"/>
      <c r="G194" s="800"/>
      <c r="H194" s="782"/>
      <c r="K194" s="805"/>
      <c r="L194" s="806"/>
      <c r="M194" s="780"/>
    </row>
    <row r="195" spans="1:13" s="781" customFormat="1" ht="20.100000000000001" customHeight="1" x14ac:dyDescent="0.25">
      <c r="B195" s="818" t="s">
        <v>62</v>
      </c>
      <c r="C195" s="819"/>
      <c r="D195" s="780"/>
      <c r="E195" s="780"/>
      <c r="F195" s="800"/>
      <c r="G195" s="800"/>
      <c r="H195" s="782"/>
      <c r="K195" s="805"/>
      <c r="L195" s="806"/>
      <c r="M195" s="780"/>
    </row>
    <row r="196" spans="1:13" s="781" customFormat="1" ht="20.100000000000001" customHeight="1" x14ac:dyDescent="0.25">
      <c r="A196" s="781" t="s">
        <v>63</v>
      </c>
      <c r="B196" s="781" t="s">
        <v>1110</v>
      </c>
      <c r="D196" s="780">
        <v>291023.96999999997</v>
      </c>
      <c r="E196" s="780" t="s">
        <v>55</v>
      </c>
      <c r="F196" s="780" t="s">
        <v>883</v>
      </c>
      <c r="H196" s="780"/>
      <c r="K196" s="805"/>
      <c r="L196" s="805"/>
      <c r="M196" s="780"/>
    </row>
    <row r="197" spans="1:13" s="781" customFormat="1" ht="20.100000000000001" customHeight="1" x14ac:dyDescent="0.25">
      <c r="B197" s="781" t="s">
        <v>1263</v>
      </c>
      <c r="D197" s="780">
        <v>21046.75</v>
      </c>
      <c r="E197" s="780" t="s">
        <v>55</v>
      </c>
      <c r="F197" s="780" t="s">
        <v>69</v>
      </c>
      <c r="H197" s="780"/>
      <c r="K197" s="805"/>
      <c r="L197" s="805"/>
      <c r="M197" s="780"/>
    </row>
    <row r="198" spans="1:13" s="781" customFormat="1" ht="20.100000000000001" customHeight="1" x14ac:dyDescent="0.25">
      <c r="B198" s="781" t="s">
        <v>1111</v>
      </c>
      <c r="D198" s="780">
        <v>889894.19</v>
      </c>
      <c r="E198" s="780" t="s">
        <v>55</v>
      </c>
      <c r="F198" s="780" t="s">
        <v>314</v>
      </c>
      <c r="H198" s="780"/>
      <c r="K198" s="805"/>
      <c r="L198" s="806"/>
      <c r="M198" s="780"/>
    </row>
    <row r="199" spans="1:13" s="781" customFormat="1" ht="20.100000000000001" customHeight="1" x14ac:dyDescent="0.25">
      <c r="B199" s="781" t="s">
        <v>1112</v>
      </c>
      <c r="D199" s="780">
        <v>39238.720000000001</v>
      </c>
      <c r="E199" s="780" t="s">
        <v>55</v>
      </c>
      <c r="F199" s="780" t="s">
        <v>1113</v>
      </c>
      <c r="H199" s="780"/>
      <c r="K199" s="805"/>
      <c r="L199" s="806"/>
      <c r="M199" s="780"/>
    </row>
    <row r="200" spans="1:13" s="781" customFormat="1" ht="20.100000000000001" customHeight="1" x14ac:dyDescent="0.25">
      <c r="B200" s="781" t="s">
        <v>1264</v>
      </c>
      <c r="D200" s="780">
        <v>63036.24</v>
      </c>
      <c r="E200" s="780" t="s">
        <v>55</v>
      </c>
      <c r="F200" s="797" t="s">
        <v>890</v>
      </c>
      <c r="H200" s="780"/>
      <c r="J200" s="796"/>
      <c r="K200" s="805"/>
      <c r="L200" s="805"/>
      <c r="M200" s="780"/>
    </row>
    <row r="201" spans="1:13" s="781" customFormat="1" ht="20.100000000000001" customHeight="1" x14ac:dyDescent="0.25">
      <c r="B201" s="781" t="s">
        <v>1265</v>
      </c>
      <c r="D201" s="780">
        <v>434317.05</v>
      </c>
      <c r="E201" s="780" t="s">
        <v>55</v>
      </c>
      <c r="F201" s="797" t="s">
        <v>478</v>
      </c>
      <c r="H201" s="780"/>
      <c r="J201" s="796"/>
      <c r="K201" s="805"/>
      <c r="L201" s="805"/>
      <c r="M201" s="780"/>
    </row>
    <row r="202" spans="1:13" s="781" customFormat="1" ht="20.100000000000001" customHeight="1" x14ac:dyDescent="0.25">
      <c r="B202" s="781" t="s">
        <v>1266</v>
      </c>
      <c r="D202" s="780">
        <v>1600710.38</v>
      </c>
      <c r="E202" s="780" t="s">
        <v>55</v>
      </c>
      <c r="F202" s="780" t="s">
        <v>1267</v>
      </c>
      <c r="H202" s="780"/>
      <c r="J202" s="796"/>
      <c r="K202" s="805"/>
      <c r="L202" s="805"/>
      <c r="M202" s="780"/>
    </row>
    <row r="203" spans="1:13" s="793" customFormat="1" ht="20.100000000000001" customHeight="1" x14ac:dyDescent="0.25">
      <c r="B203" s="793" t="s">
        <v>72</v>
      </c>
      <c r="D203" s="820">
        <f>SUM(D196:D202)</f>
        <v>3339267.3</v>
      </c>
      <c r="E203" s="794"/>
      <c r="F203" s="794"/>
      <c r="H203" s="794"/>
      <c r="K203" s="821"/>
      <c r="L203" s="822"/>
      <c r="M203" s="794"/>
    </row>
    <row r="204" spans="1:13" s="226" customFormat="1" ht="15" x14ac:dyDescent="0.25">
      <c r="K204" s="498"/>
      <c r="L204" s="498"/>
    </row>
    <row r="205" spans="1:13" s="781" customFormat="1" ht="20.100000000000001" customHeight="1" x14ac:dyDescent="0.25">
      <c r="B205" s="818" t="s">
        <v>73</v>
      </c>
      <c r="C205" s="823"/>
      <c r="D205" s="780"/>
      <c r="E205" s="780"/>
      <c r="F205" s="780"/>
      <c r="H205" s="780"/>
      <c r="K205" s="805"/>
      <c r="L205" s="806"/>
      <c r="M205" s="780"/>
    </row>
    <row r="206" spans="1:13" s="801" customFormat="1" ht="16.5" x14ac:dyDescent="0.3">
      <c r="A206" s="781"/>
      <c r="B206" s="781" t="s">
        <v>1115</v>
      </c>
      <c r="D206" s="883">
        <v>570244.61</v>
      </c>
      <c r="E206" s="780" t="s">
        <v>55</v>
      </c>
      <c r="F206" s="780" t="s">
        <v>1268</v>
      </c>
      <c r="K206" s="809"/>
      <c r="L206" s="809"/>
      <c r="M206" s="802"/>
    </row>
    <row r="207" spans="1:13" s="801" customFormat="1" ht="16.5" x14ac:dyDescent="0.3">
      <c r="A207" s="781"/>
      <c r="B207" s="781" t="s">
        <v>1269</v>
      </c>
      <c r="D207" s="802">
        <v>1290181.51</v>
      </c>
      <c r="E207" s="780" t="s">
        <v>55</v>
      </c>
      <c r="F207" s="780" t="s">
        <v>1267</v>
      </c>
      <c r="K207" s="809"/>
      <c r="L207" s="809"/>
      <c r="M207" s="802"/>
    </row>
    <row r="208" spans="1:13" s="781" customFormat="1" ht="20.100000000000001" customHeight="1" thickBot="1" x14ac:dyDescent="0.3">
      <c r="D208" s="795">
        <f>SUM(D206:D207)</f>
        <v>1860426.12</v>
      </c>
      <c r="E208" s="780"/>
      <c r="F208" s="780"/>
      <c r="G208" s="780"/>
      <c r="H208" s="780"/>
      <c r="K208" s="805"/>
      <c r="L208" s="806"/>
      <c r="M208" s="780"/>
    </row>
    <row r="209" spans="1:14" s="226" customFormat="1" ht="15.75" thickTop="1" x14ac:dyDescent="0.25">
      <c r="K209" s="498"/>
      <c r="L209" s="498"/>
    </row>
    <row r="210" spans="1:14" s="226" customFormat="1" ht="15" x14ac:dyDescent="0.25">
      <c r="K210" s="498"/>
      <c r="L210" s="498"/>
    </row>
    <row r="211" spans="1:14" s="781" customFormat="1" ht="30" customHeight="1" x14ac:dyDescent="0.25">
      <c r="A211" s="827"/>
      <c r="B211" s="804"/>
      <c r="C211" s="828" t="s">
        <v>1333</v>
      </c>
      <c r="D211" s="828"/>
      <c r="E211" s="828"/>
      <c r="F211" s="828"/>
      <c r="G211" s="828"/>
      <c r="H211" s="829"/>
      <c r="I211" s="827"/>
      <c r="J211" s="827"/>
      <c r="K211" s="805"/>
      <c r="L211" s="806"/>
      <c r="M211" s="780"/>
    </row>
    <row r="212" spans="1:14" s="780" customFormat="1" ht="20.100000000000001" customHeight="1" thickBot="1" x14ac:dyDescent="0.3">
      <c r="K212" s="805"/>
      <c r="L212" s="805"/>
    </row>
    <row r="213" spans="1:14" s="781" customFormat="1" ht="50.25" thickBot="1" x14ac:dyDescent="0.3">
      <c r="A213" s="783" t="s">
        <v>1286</v>
      </c>
      <c r="B213" s="784" t="s">
        <v>14</v>
      </c>
      <c r="C213" s="785" t="s">
        <v>1334</v>
      </c>
      <c r="D213" s="785" t="s">
        <v>17</v>
      </c>
      <c r="E213" s="785" t="s">
        <v>18</v>
      </c>
      <c r="F213" s="784" t="s">
        <v>19</v>
      </c>
      <c r="G213" s="784" t="s">
        <v>59</v>
      </c>
      <c r="H213" s="784" t="s">
        <v>60</v>
      </c>
      <c r="I213" s="784" t="s">
        <v>61</v>
      </c>
      <c r="J213" s="785" t="s">
        <v>23</v>
      </c>
      <c r="K213" s="807"/>
      <c r="L213" s="806"/>
      <c r="M213" s="780"/>
    </row>
    <row r="214" spans="1:14" s="781" customFormat="1" ht="20.100000000000001" customHeight="1" x14ac:dyDescent="0.25">
      <c r="A214" s="786" t="s">
        <v>47</v>
      </c>
      <c r="B214" s="788">
        <v>3339267.3000000715</v>
      </c>
      <c r="C214" s="787">
        <v>10494204.189999999</v>
      </c>
      <c r="D214" s="799">
        <v>2336830.06</v>
      </c>
      <c r="E214" s="789">
        <v>274708.45</v>
      </c>
      <c r="F214" s="787">
        <f>B214+C214-D214-E214</f>
        <v>11221932.980000071</v>
      </c>
      <c r="G214" s="789">
        <f>11281443.15-D214-E214</f>
        <v>8669904.6400000006</v>
      </c>
      <c r="H214" s="789">
        <f t="shared" ref="H214:H216" si="40">G214/F214*100</f>
        <v>77.258567266901863</v>
      </c>
      <c r="I214" s="788">
        <f>F214-G214</f>
        <v>2552028.3400000706</v>
      </c>
      <c r="J214" s="789">
        <f t="shared" ref="J214:J216" si="41">I214/F214*100</f>
        <v>22.741432733098129</v>
      </c>
      <c r="K214" s="808"/>
      <c r="L214" s="806"/>
      <c r="M214" s="780"/>
      <c r="N214" s="808"/>
    </row>
    <row r="215" spans="1:14" s="781" customFormat="1" ht="20.100000000000001" customHeight="1" thickBot="1" x14ac:dyDescent="0.3">
      <c r="A215" s="790" t="s">
        <v>50</v>
      </c>
      <c r="B215" s="811">
        <v>1860426.1200000104</v>
      </c>
      <c r="C215" s="791">
        <v>5178038.1500000004</v>
      </c>
      <c r="D215" s="799"/>
      <c r="E215" s="792">
        <v>0</v>
      </c>
      <c r="F215" s="791">
        <f>B215+C215-D215-E215</f>
        <v>7038464.2700000107</v>
      </c>
      <c r="G215" s="812">
        <f>6783224.59-E215-D215</f>
        <v>6783224.5899999999</v>
      </c>
      <c r="H215" s="792">
        <f t="shared" si="40"/>
        <v>96.373645298052907</v>
      </c>
      <c r="I215" s="811">
        <f t="shared" ref="I215" si="42">F215-G215</f>
        <v>255239.68000001088</v>
      </c>
      <c r="J215" s="792">
        <f t="shared" si="41"/>
        <v>3.6263547019470836</v>
      </c>
      <c r="K215" s="805"/>
      <c r="L215" s="806"/>
      <c r="M215" s="780"/>
    </row>
    <row r="216" spans="1:14" s="781" customFormat="1" ht="20.100000000000001" customHeight="1" thickTop="1" thickBot="1" x14ac:dyDescent="0.3">
      <c r="A216" s="813" t="s">
        <v>36</v>
      </c>
      <c r="B216" s="824">
        <f t="shared" ref="B216:G216" si="43">SUM(B214:B215)</f>
        <v>5199693.4200000819</v>
      </c>
      <c r="C216" s="815">
        <f t="shared" si="43"/>
        <v>15672242.34</v>
      </c>
      <c r="D216" s="816">
        <f t="shared" si="43"/>
        <v>2336830.06</v>
      </c>
      <c r="E216" s="816">
        <f t="shared" si="43"/>
        <v>274708.45</v>
      </c>
      <c r="F216" s="815">
        <f t="shared" si="43"/>
        <v>18260397.250000082</v>
      </c>
      <c r="G216" s="816">
        <f t="shared" si="43"/>
        <v>15453129.23</v>
      </c>
      <c r="H216" s="816">
        <f t="shared" si="40"/>
        <v>84.626467970185757</v>
      </c>
      <c r="I216" s="814">
        <f>SUM(I214:I215)</f>
        <v>2807268.0200000815</v>
      </c>
      <c r="J216" s="816">
        <f t="shared" si="41"/>
        <v>15.373532029814241</v>
      </c>
      <c r="K216" s="810"/>
      <c r="L216" s="806"/>
      <c r="M216" s="780"/>
    </row>
    <row r="217" spans="1:14" s="226" customFormat="1" ht="15.75" thickTop="1" x14ac:dyDescent="0.25">
      <c r="K217" s="498"/>
      <c r="L217" s="498"/>
    </row>
    <row r="218" spans="1:14" s="781" customFormat="1" ht="20.100000000000001" customHeight="1" x14ac:dyDescent="0.25">
      <c r="A218" s="817" t="s">
        <v>37</v>
      </c>
      <c r="B218" s="798"/>
      <c r="C218" s="780"/>
      <c r="D218" s="780"/>
      <c r="E218" s="780"/>
      <c r="F218" s="800"/>
      <c r="G218" s="800"/>
      <c r="H218" s="782"/>
      <c r="K218" s="805"/>
      <c r="L218" s="806"/>
      <c r="M218" s="780"/>
    </row>
    <row r="219" spans="1:14" s="781" customFormat="1" ht="20.100000000000001" customHeight="1" x14ac:dyDescent="0.25">
      <c r="B219" s="818" t="s">
        <v>62</v>
      </c>
      <c r="C219" s="819"/>
      <c r="D219" s="780"/>
      <c r="E219" s="780"/>
      <c r="F219" s="800"/>
      <c r="G219" s="800"/>
      <c r="H219" s="782"/>
      <c r="K219" s="805"/>
      <c r="L219" s="806"/>
      <c r="M219" s="780"/>
    </row>
    <row r="220" spans="1:14" s="781" customFormat="1" ht="20.100000000000001" customHeight="1" x14ac:dyDescent="0.25">
      <c r="A220" s="781" t="s">
        <v>63</v>
      </c>
      <c r="B220" s="781" t="s">
        <v>1335</v>
      </c>
      <c r="D220" s="780">
        <v>413565.79</v>
      </c>
      <c r="E220" s="780" t="s">
        <v>55</v>
      </c>
      <c r="F220" s="780" t="s">
        <v>883</v>
      </c>
      <c r="H220" s="780"/>
      <c r="K220" s="805"/>
      <c r="L220" s="805"/>
      <c r="M220" s="780"/>
    </row>
    <row r="221" spans="1:14" s="781" customFormat="1" ht="20.100000000000001" customHeight="1" x14ac:dyDescent="0.25">
      <c r="B221" s="781" t="s">
        <v>1336</v>
      </c>
      <c r="D221" s="780">
        <v>425724.42</v>
      </c>
      <c r="E221" s="780" t="s">
        <v>55</v>
      </c>
      <c r="F221" s="780" t="s">
        <v>69</v>
      </c>
      <c r="H221" s="780"/>
      <c r="K221" s="805"/>
      <c r="L221" s="805"/>
      <c r="M221" s="780"/>
    </row>
    <row r="222" spans="1:14" s="781" customFormat="1" ht="20.100000000000001" customHeight="1" x14ac:dyDescent="0.25">
      <c r="B222" s="781" t="s">
        <v>1337</v>
      </c>
      <c r="D222" s="780">
        <v>986831.89</v>
      </c>
      <c r="E222" s="780" t="s">
        <v>55</v>
      </c>
      <c r="F222" s="780" t="s">
        <v>314</v>
      </c>
      <c r="H222" s="780"/>
      <c r="K222" s="805"/>
      <c r="L222" s="806"/>
      <c r="M222" s="780"/>
    </row>
    <row r="223" spans="1:14" s="781" customFormat="1" ht="20.100000000000001" customHeight="1" x14ac:dyDescent="0.25">
      <c r="B223" s="781" t="s">
        <v>1338</v>
      </c>
      <c r="D223" s="780">
        <v>136397.5</v>
      </c>
      <c r="E223" s="780" t="s">
        <v>55</v>
      </c>
      <c r="F223" s="780" t="s">
        <v>1113</v>
      </c>
      <c r="H223" s="780"/>
      <c r="K223" s="805"/>
      <c r="L223" s="806"/>
      <c r="M223" s="780"/>
    </row>
    <row r="224" spans="1:14" s="781" customFormat="1" ht="20.100000000000001" customHeight="1" x14ac:dyDescent="0.25">
      <c r="B224" s="781" t="s">
        <v>1339</v>
      </c>
      <c r="D224" s="780">
        <v>15841.03</v>
      </c>
      <c r="E224" s="780" t="s">
        <v>55</v>
      </c>
      <c r="F224" s="797" t="s">
        <v>890</v>
      </c>
      <c r="H224" s="780"/>
      <c r="J224" s="796"/>
      <c r="K224" s="805"/>
      <c r="L224" s="805"/>
      <c r="M224" s="780"/>
    </row>
    <row r="225" spans="1:14" s="781" customFormat="1" ht="20.100000000000001" customHeight="1" x14ac:dyDescent="0.25">
      <c r="B225" s="781" t="s">
        <v>1340</v>
      </c>
      <c r="D225" s="780">
        <v>29071.88</v>
      </c>
      <c r="E225" s="780" t="s">
        <v>55</v>
      </c>
      <c r="F225" s="797" t="s">
        <v>1341</v>
      </c>
      <c r="H225" s="780"/>
      <c r="J225" s="796"/>
      <c r="K225" s="805"/>
      <c r="L225" s="805"/>
      <c r="M225" s="780"/>
    </row>
    <row r="226" spans="1:14" s="781" customFormat="1" ht="20.100000000000001" customHeight="1" x14ac:dyDescent="0.25">
      <c r="B226" s="781" t="s">
        <v>1342</v>
      </c>
      <c r="D226" s="780">
        <v>544595.82999999996</v>
      </c>
      <c r="E226" s="780" t="s">
        <v>55</v>
      </c>
      <c r="F226" s="780" t="s">
        <v>1267</v>
      </c>
      <c r="H226" s="780"/>
      <c r="J226" s="886"/>
      <c r="K226" s="805"/>
      <c r="L226" s="805"/>
      <c r="M226" s="780"/>
    </row>
    <row r="227" spans="1:14" s="793" customFormat="1" ht="20.100000000000001" customHeight="1" x14ac:dyDescent="0.25">
      <c r="B227" s="793" t="s">
        <v>72</v>
      </c>
      <c r="D227" s="820">
        <f>SUM(D220:D226)</f>
        <v>2552028.34</v>
      </c>
      <c r="E227" s="794"/>
      <c r="F227" s="794"/>
      <c r="H227" s="794"/>
      <c r="K227" s="821"/>
      <c r="L227" s="822"/>
      <c r="M227" s="794"/>
    </row>
    <row r="228" spans="1:14" s="226" customFormat="1" ht="15" x14ac:dyDescent="0.25">
      <c r="K228" s="498"/>
      <c r="L228" s="498"/>
    </row>
    <row r="229" spans="1:14" s="781" customFormat="1" ht="20.100000000000001" customHeight="1" x14ac:dyDescent="0.25">
      <c r="B229" s="818" t="s">
        <v>73</v>
      </c>
      <c r="C229" s="823"/>
      <c r="D229" s="780"/>
      <c r="E229" s="780"/>
      <c r="F229" s="780"/>
      <c r="H229" s="780"/>
      <c r="K229" s="805"/>
      <c r="L229" s="806"/>
      <c r="M229" s="780"/>
    </row>
    <row r="230" spans="1:14" s="801" customFormat="1" ht="16.5" x14ac:dyDescent="0.3">
      <c r="A230" s="781"/>
      <c r="B230" s="781" t="s">
        <v>1343</v>
      </c>
      <c r="D230" s="802">
        <v>255239.67999999999</v>
      </c>
      <c r="E230" s="780" t="s">
        <v>55</v>
      </c>
      <c r="F230" s="780" t="s">
        <v>1267</v>
      </c>
      <c r="K230" s="809"/>
      <c r="L230" s="809"/>
      <c r="M230" s="802"/>
    </row>
    <row r="231" spans="1:14" s="781" customFormat="1" ht="20.100000000000001" customHeight="1" thickBot="1" x14ac:dyDescent="0.3">
      <c r="D231" s="795">
        <f>SUM(D230:D230)</f>
        <v>255239.67999999999</v>
      </c>
      <c r="E231" s="780"/>
      <c r="F231" s="780"/>
      <c r="G231" s="780"/>
      <c r="H231" s="780"/>
      <c r="K231" s="805"/>
      <c r="L231" s="806"/>
      <c r="M231" s="780"/>
    </row>
    <row r="232" spans="1:14" s="18" customFormat="1" ht="20.100000000000001" customHeight="1" thickTop="1" x14ac:dyDescent="0.25">
      <c r="A232" s="27"/>
      <c r="B232" s="28"/>
      <c r="C232" s="28"/>
      <c r="D232" s="29"/>
      <c r="E232" s="29"/>
      <c r="F232" s="28"/>
      <c r="G232" s="29"/>
      <c r="H232" s="29"/>
      <c r="I232" s="29"/>
      <c r="J232" s="29"/>
    </row>
    <row r="233" spans="1:14" s="18" customFormat="1" ht="20.100000000000001" customHeight="1" x14ac:dyDescent="0.25">
      <c r="A233" s="133"/>
      <c r="B233" s="30"/>
      <c r="C233" s="21"/>
      <c r="D233" s="21"/>
      <c r="E233" s="21"/>
      <c r="F233" s="21"/>
      <c r="G233" s="64"/>
      <c r="H233" s="22"/>
    </row>
    <row r="234" spans="1:14" s="781" customFormat="1" ht="30" customHeight="1" x14ac:dyDescent="0.25">
      <c r="A234" s="827"/>
      <c r="B234" s="804"/>
      <c r="C234" s="828" t="s">
        <v>1417</v>
      </c>
      <c r="D234" s="828"/>
      <c r="E234" s="828"/>
      <c r="F234" s="828"/>
      <c r="G234" s="828"/>
      <c r="H234" s="829"/>
      <c r="I234" s="827"/>
      <c r="J234" s="827"/>
      <c r="K234" s="805"/>
      <c r="L234" s="806"/>
      <c r="M234" s="780"/>
    </row>
    <row r="235" spans="1:14" s="780" customFormat="1" ht="20.100000000000001" customHeight="1" thickBot="1" x14ac:dyDescent="0.3">
      <c r="K235" s="805"/>
      <c r="L235" s="805"/>
    </row>
    <row r="236" spans="1:14" s="781" customFormat="1" ht="50.25" thickBot="1" x14ac:dyDescent="0.3">
      <c r="A236" s="783" t="s">
        <v>1398</v>
      </c>
      <c r="B236" s="784" t="s">
        <v>14</v>
      </c>
      <c r="C236" s="785" t="s">
        <v>1414</v>
      </c>
      <c r="D236" s="785" t="s">
        <v>17</v>
      </c>
      <c r="E236" s="785" t="s">
        <v>18</v>
      </c>
      <c r="F236" s="784" t="s">
        <v>19</v>
      </c>
      <c r="G236" s="784" t="s">
        <v>59</v>
      </c>
      <c r="H236" s="784" t="s">
        <v>60</v>
      </c>
      <c r="I236" s="784" t="s">
        <v>61</v>
      </c>
      <c r="J236" s="785" t="s">
        <v>23</v>
      </c>
      <c r="K236" s="807"/>
      <c r="L236" s="806"/>
      <c r="M236" s="780"/>
    </row>
    <row r="237" spans="1:14" s="781" customFormat="1" ht="20.100000000000001" customHeight="1" x14ac:dyDescent="0.25">
      <c r="A237" s="786" t="s">
        <v>47</v>
      </c>
      <c r="B237" s="788">
        <v>2552028.3400000706</v>
      </c>
      <c r="C237" s="787">
        <v>8649002.4900000002</v>
      </c>
      <c r="D237" s="799">
        <v>3187853.91</v>
      </c>
      <c r="E237" s="789">
        <v>1989636.44</v>
      </c>
      <c r="F237" s="787">
        <f>B237+C237-D237-E237</f>
        <v>6023540.4800000712</v>
      </c>
      <c r="G237" s="789">
        <f>8715185.92-D237-E237+4932.72</f>
        <v>3542628.29</v>
      </c>
      <c r="H237" s="789">
        <f t="shared" ref="H237:H239" si="44">G237/F237*100</f>
        <v>58.813056901710368</v>
      </c>
      <c r="I237" s="788">
        <f>F237-G237</f>
        <v>2480912.1900000712</v>
      </c>
      <c r="J237" s="789">
        <f t="shared" ref="J237:J239" si="45">I237/F237*100</f>
        <v>41.186943098289625</v>
      </c>
      <c r="K237" s="808"/>
      <c r="L237" s="806"/>
      <c r="M237" s="780"/>
      <c r="N237" s="808"/>
    </row>
    <row r="238" spans="1:14" s="781" customFormat="1" ht="20.100000000000001" customHeight="1" thickBot="1" x14ac:dyDescent="0.3">
      <c r="A238" s="790" t="s">
        <v>50</v>
      </c>
      <c r="B238" s="811">
        <v>255239.68000001088</v>
      </c>
      <c r="C238" s="791">
        <v>3091465.85</v>
      </c>
      <c r="D238" s="799"/>
      <c r="E238" s="792">
        <v>0</v>
      </c>
      <c r="F238" s="791">
        <f>B238+C238-D238-E238</f>
        <v>3346705.530000011</v>
      </c>
      <c r="G238" s="812">
        <f>2044310.61-E238-D238</f>
        <v>2044310.61</v>
      </c>
      <c r="H238" s="792">
        <f t="shared" si="44"/>
        <v>61.084269042337688</v>
      </c>
      <c r="I238" s="811">
        <f t="shared" ref="I238" si="46">F238-G238</f>
        <v>1302394.9200000109</v>
      </c>
      <c r="J238" s="792">
        <f t="shared" si="45"/>
        <v>38.915730957662312</v>
      </c>
      <c r="K238" s="805"/>
      <c r="L238" s="806"/>
      <c r="M238" s="780"/>
    </row>
    <row r="239" spans="1:14" s="781" customFormat="1" ht="20.100000000000001" customHeight="1" thickTop="1" thickBot="1" x14ac:dyDescent="0.3">
      <c r="A239" s="813" t="s">
        <v>36</v>
      </c>
      <c r="B239" s="824">
        <f t="shared" ref="B239:G239" si="47">SUM(B237:B238)</f>
        <v>2807268.0200000815</v>
      </c>
      <c r="C239" s="815">
        <f>SUM(C237:C238)</f>
        <v>11740468.34</v>
      </c>
      <c r="D239" s="816">
        <f t="shared" si="47"/>
        <v>3187853.91</v>
      </c>
      <c r="E239" s="816">
        <f t="shared" si="47"/>
        <v>1989636.44</v>
      </c>
      <c r="F239" s="815">
        <f t="shared" si="47"/>
        <v>9370246.0100000817</v>
      </c>
      <c r="G239" s="816">
        <f t="shared" si="47"/>
        <v>5586938.9000000004</v>
      </c>
      <c r="H239" s="816">
        <f t="shared" si="44"/>
        <v>59.624249929377804</v>
      </c>
      <c r="I239" s="814">
        <f>SUM(I237:I238)</f>
        <v>3783307.1100000823</v>
      </c>
      <c r="J239" s="816">
        <f t="shared" si="45"/>
        <v>40.375750070622203</v>
      </c>
      <c r="K239" s="810"/>
      <c r="L239" s="806"/>
      <c r="M239" s="780"/>
    </row>
    <row r="240" spans="1:14" s="226" customFormat="1" ht="15.75" thickTop="1" x14ac:dyDescent="0.25">
      <c r="K240" s="498"/>
      <c r="L240" s="498"/>
    </row>
    <row r="241" spans="1:13" s="781" customFormat="1" ht="20.100000000000001" customHeight="1" x14ac:dyDescent="0.25">
      <c r="A241" s="817" t="s">
        <v>37</v>
      </c>
      <c r="B241" s="798"/>
      <c r="C241" s="780"/>
      <c r="D241" s="780"/>
      <c r="E241" s="780"/>
      <c r="F241" s="800"/>
      <c r="G241" s="800"/>
      <c r="H241" s="782"/>
      <c r="K241" s="805"/>
      <c r="L241" s="806"/>
      <c r="M241" s="780"/>
    </row>
    <row r="242" spans="1:13" s="781" customFormat="1" ht="20.100000000000001" customHeight="1" x14ac:dyDescent="0.25">
      <c r="B242" s="818" t="s">
        <v>62</v>
      </c>
      <c r="C242" s="819"/>
      <c r="D242" s="780"/>
      <c r="E242" s="780"/>
      <c r="F242" s="800"/>
      <c r="G242" s="800"/>
      <c r="H242" s="782"/>
      <c r="K242" s="805"/>
      <c r="L242" s="806"/>
      <c r="M242" s="780"/>
    </row>
    <row r="243" spans="1:13" s="781" customFormat="1" ht="20.100000000000001" customHeight="1" x14ac:dyDescent="0.25">
      <c r="A243" s="781" t="s">
        <v>63</v>
      </c>
      <c r="B243" s="781" t="s">
        <v>1335</v>
      </c>
      <c r="D243" s="780">
        <v>410835.39</v>
      </c>
      <c r="E243" s="780" t="s">
        <v>55</v>
      </c>
      <c r="F243" s="780" t="s">
        <v>883</v>
      </c>
      <c r="H243" s="780"/>
      <c r="K243" s="805"/>
      <c r="L243" s="805"/>
      <c r="M243" s="780"/>
    </row>
    <row r="244" spans="1:13" s="781" customFormat="1" ht="20.100000000000001" customHeight="1" x14ac:dyDescent="0.25">
      <c r="B244" s="781" t="s">
        <v>1418</v>
      </c>
      <c r="D244" s="780">
        <v>467513.53</v>
      </c>
      <c r="E244" s="780" t="s">
        <v>55</v>
      </c>
      <c r="F244" s="780" t="s">
        <v>69</v>
      </c>
      <c r="H244" s="780"/>
      <c r="K244" s="805"/>
      <c r="L244" s="805"/>
      <c r="M244" s="780"/>
    </row>
    <row r="245" spans="1:13" s="781" customFormat="1" ht="20.100000000000001" customHeight="1" x14ac:dyDescent="0.25">
      <c r="B245" s="781" t="s">
        <v>1337</v>
      </c>
      <c r="D245" s="780">
        <v>992554.38</v>
      </c>
      <c r="E245" s="780" t="s">
        <v>55</v>
      </c>
      <c r="F245" s="780" t="s">
        <v>314</v>
      </c>
      <c r="H245" s="780"/>
      <c r="K245" s="805"/>
      <c r="L245" s="806"/>
      <c r="M245" s="780"/>
    </row>
    <row r="246" spans="1:13" s="781" customFormat="1" ht="20.100000000000001" customHeight="1" x14ac:dyDescent="0.25">
      <c r="B246" s="781" t="s">
        <v>1419</v>
      </c>
      <c r="D246" s="780">
        <v>135015.72</v>
      </c>
      <c r="E246" s="780" t="s">
        <v>55</v>
      </c>
      <c r="F246" s="780" t="s">
        <v>1113</v>
      </c>
      <c r="H246" s="780"/>
      <c r="K246" s="805"/>
      <c r="L246" s="806"/>
      <c r="M246" s="780"/>
    </row>
    <row r="247" spans="1:13" s="781" customFormat="1" ht="20.100000000000001" customHeight="1" x14ac:dyDescent="0.25">
      <c r="B247" s="781" t="s">
        <v>1339</v>
      </c>
      <c r="D247" s="780">
        <v>8765.89</v>
      </c>
      <c r="E247" s="780" t="s">
        <v>55</v>
      </c>
      <c r="F247" s="797" t="s">
        <v>890</v>
      </c>
      <c r="H247" s="780"/>
      <c r="J247" s="796"/>
      <c r="K247" s="805"/>
      <c r="L247" s="805"/>
      <c r="M247" s="780"/>
    </row>
    <row r="248" spans="1:13" s="781" customFormat="1" ht="20.100000000000001" customHeight="1" x14ac:dyDescent="0.25">
      <c r="B248" s="781" t="s">
        <v>1340</v>
      </c>
      <c r="D248" s="780">
        <v>29071.88</v>
      </c>
      <c r="E248" s="780" t="s">
        <v>55</v>
      </c>
      <c r="F248" s="797" t="s">
        <v>1341</v>
      </c>
      <c r="H248" s="780"/>
      <c r="J248" s="796"/>
      <c r="K248" s="805"/>
      <c r="L248" s="805"/>
      <c r="M248" s="780"/>
    </row>
    <row r="249" spans="1:13" s="781" customFormat="1" ht="20.100000000000001" customHeight="1" x14ac:dyDescent="0.25">
      <c r="B249" s="781" t="s">
        <v>1420</v>
      </c>
      <c r="D249" s="780">
        <v>135655.16</v>
      </c>
      <c r="E249" s="780" t="s">
        <v>55</v>
      </c>
      <c r="F249" s="797" t="s">
        <v>478</v>
      </c>
      <c r="H249" s="780"/>
      <c r="J249" s="796"/>
      <c r="K249" s="805"/>
      <c r="L249" s="805"/>
      <c r="M249" s="780"/>
    </row>
    <row r="250" spans="1:13" s="781" customFormat="1" ht="20.100000000000001" customHeight="1" x14ac:dyDescent="0.25">
      <c r="B250" s="781" t="s">
        <v>1421</v>
      </c>
      <c r="D250" s="780">
        <v>301500.24</v>
      </c>
      <c r="E250" s="780" t="s">
        <v>55</v>
      </c>
      <c r="F250" s="780" t="s">
        <v>1267</v>
      </c>
      <c r="H250" s="780"/>
      <c r="J250" s="886"/>
      <c r="K250" s="805"/>
      <c r="L250" s="805"/>
      <c r="M250" s="780"/>
    </row>
    <row r="251" spans="1:13" s="793" customFormat="1" ht="20.100000000000001" customHeight="1" x14ac:dyDescent="0.25">
      <c r="B251" s="793" t="s">
        <v>72</v>
      </c>
      <c r="D251" s="820">
        <f>SUM(D243:D250)</f>
        <v>2480912.1899999995</v>
      </c>
      <c r="E251" s="794"/>
      <c r="F251" s="794"/>
      <c r="H251" s="794"/>
      <c r="K251" s="821"/>
      <c r="L251" s="822"/>
      <c r="M251" s="794"/>
    </row>
    <row r="252" spans="1:13" s="226" customFormat="1" ht="15" x14ac:dyDescent="0.25">
      <c r="K252" s="498"/>
      <c r="L252" s="498"/>
    </row>
    <row r="253" spans="1:13" s="781" customFormat="1" ht="20.100000000000001" customHeight="1" x14ac:dyDescent="0.25">
      <c r="B253" s="818" t="s">
        <v>73</v>
      </c>
      <c r="C253" s="823"/>
      <c r="D253" s="780"/>
      <c r="E253" s="780"/>
      <c r="F253" s="780"/>
      <c r="H253" s="780"/>
      <c r="K253" s="805"/>
      <c r="L253" s="806"/>
      <c r="M253" s="780"/>
    </row>
    <row r="254" spans="1:13" s="801" customFormat="1" ht="16.5" x14ac:dyDescent="0.3">
      <c r="A254" s="781"/>
      <c r="B254" s="781" t="s">
        <v>1422</v>
      </c>
      <c r="D254" s="802">
        <v>769154.26</v>
      </c>
      <c r="E254" s="780" t="s">
        <v>55</v>
      </c>
      <c r="F254" s="780" t="s">
        <v>1423</v>
      </c>
      <c r="K254" s="809"/>
      <c r="L254" s="809"/>
      <c r="M254" s="802"/>
    </row>
    <row r="255" spans="1:13" s="801" customFormat="1" ht="16.5" x14ac:dyDescent="0.3">
      <c r="A255" s="781"/>
      <c r="B255" s="781" t="s">
        <v>1424</v>
      </c>
      <c r="D255" s="802">
        <v>533240.66</v>
      </c>
      <c r="E255" s="780" t="s">
        <v>55</v>
      </c>
      <c r="F255" s="780" t="s">
        <v>1267</v>
      </c>
      <c r="K255" s="809"/>
      <c r="L255" s="809"/>
      <c r="M255" s="802"/>
    </row>
    <row r="256" spans="1:13" s="781" customFormat="1" ht="20.100000000000001" customHeight="1" thickBot="1" x14ac:dyDescent="0.3">
      <c r="D256" s="795">
        <f>SUM(D254:D255)</f>
        <v>1302394.92</v>
      </c>
      <c r="E256" s="780"/>
      <c r="F256" s="780"/>
      <c r="G256" s="780"/>
      <c r="H256" s="780"/>
      <c r="K256" s="805"/>
      <c r="L256" s="806"/>
      <c r="M256" s="780"/>
    </row>
    <row r="257" spans="1:10" s="18" customFormat="1" ht="20.100000000000001" customHeight="1" thickTop="1" x14ac:dyDescent="0.25">
      <c r="A257" s="23"/>
      <c r="B257" s="19"/>
      <c r="C257" s="21"/>
      <c r="D257" s="57"/>
      <c r="E257" s="57"/>
      <c r="F257" s="21"/>
      <c r="G257" s="57"/>
      <c r="H257" s="57"/>
      <c r="I257" s="68"/>
      <c r="J257" s="57"/>
    </row>
    <row r="258" spans="1:10" s="18" customFormat="1" ht="20.100000000000001" customHeight="1" x14ac:dyDescent="0.25">
      <c r="A258" s="23"/>
      <c r="B258" s="19"/>
      <c r="C258" s="21"/>
      <c r="D258" s="57"/>
      <c r="E258" s="57"/>
      <c r="F258" s="21"/>
      <c r="G258" s="57"/>
      <c r="H258" s="57"/>
      <c r="I258" s="68"/>
      <c r="J258" s="57"/>
    </row>
    <row r="259" spans="1:10" s="18" customFormat="1" ht="20.100000000000001" customHeight="1" x14ac:dyDescent="0.25">
      <c r="A259" s="27"/>
      <c r="B259" s="28"/>
      <c r="C259" s="28"/>
      <c r="D259" s="35"/>
      <c r="E259" s="35"/>
      <c r="F259" s="28"/>
      <c r="G259" s="35"/>
      <c r="H259" s="35"/>
      <c r="I259" s="29"/>
      <c r="J259" s="35"/>
    </row>
    <row r="260" spans="1:10" s="18" customFormat="1" ht="20.100000000000001" customHeight="1" x14ac:dyDescent="0.25">
      <c r="A260" s="27"/>
      <c r="B260" s="28"/>
      <c r="C260" s="28"/>
      <c r="D260" s="29"/>
      <c r="E260" s="29"/>
      <c r="F260" s="28"/>
      <c r="G260" s="29"/>
      <c r="H260" s="29"/>
      <c r="I260" s="29"/>
      <c r="J260" s="29"/>
    </row>
    <row r="261" spans="1:10" s="18" customFormat="1" ht="20.100000000000001" customHeight="1" x14ac:dyDescent="0.25">
      <c r="A261" s="133"/>
      <c r="B261" s="30"/>
      <c r="C261" s="21"/>
      <c r="D261" s="21"/>
      <c r="E261" s="21"/>
      <c r="F261" s="21"/>
      <c r="G261" s="64"/>
      <c r="H261" s="22"/>
    </row>
    <row r="262" spans="1:10" s="18" customFormat="1" ht="27.75" customHeight="1" x14ac:dyDescent="0.25">
      <c r="A262" s="31"/>
      <c r="B262" s="23"/>
      <c r="F262" s="32"/>
      <c r="G262" s="64"/>
      <c r="H262" s="22"/>
      <c r="I262" s="22"/>
    </row>
    <row r="263" spans="1:10" s="18" customFormat="1" ht="20.100000000000001" customHeight="1" x14ac:dyDescent="0.25">
      <c r="C263" s="21"/>
      <c r="D263" s="21"/>
      <c r="E263" s="21"/>
      <c r="G263" s="21"/>
      <c r="H263" s="22"/>
    </row>
    <row r="264" spans="1:10" s="18" customFormat="1" ht="20.100000000000001" customHeight="1" x14ac:dyDescent="0.25">
      <c r="C264" s="21"/>
      <c r="D264" s="21"/>
      <c r="E264" s="21"/>
      <c r="G264" s="21"/>
      <c r="H264" s="65"/>
    </row>
    <row r="265" spans="1:10" s="18" customFormat="1" ht="20.100000000000001" customHeight="1" x14ac:dyDescent="0.25">
      <c r="C265" s="21"/>
      <c r="D265" s="21"/>
      <c r="E265" s="21"/>
      <c r="G265" s="21"/>
      <c r="H265" s="22"/>
    </row>
    <row r="266" spans="1:10" s="18" customFormat="1" ht="20.100000000000001" customHeight="1" x14ac:dyDescent="0.25">
      <c r="C266" s="21"/>
      <c r="D266" s="21"/>
      <c r="E266" s="21"/>
      <c r="G266" s="21"/>
      <c r="H266" s="22"/>
    </row>
    <row r="267" spans="1:10" s="18" customFormat="1" ht="20.100000000000001" customHeight="1" x14ac:dyDescent="0.25">
      <c r="C267" s="21"/>
      <c r="D267" s="21"/>
      <c r="E267" s="21"/>
      <c r="G267" s="21"/>
      <c r="H267" s="22"/>
    </row>
    <row r="268" spans="1:10" s="18" customFormat="1" ht="20.100000000000001" customHeight="1" x14ac:dyDescent="0.25">
      <c r="C268" s="21"/>
      <c r="D268" s="21"/>
      <c r="E268" s="21"/>
      <c r="G268" s="21"/>
      <c r="H268" s="22"/>
    </row>
    <row r="269" spans="1:10" s="18" customFormat="1" ht="20.100000000000001" customHeight="1" x14ac:dyDescent="0.25">
      <c r="C269" s="21"/>
      <c r="D269" s="21"/>
      <c r="E269" s="21"/>
      <c r="G269" s="21"/>
      <c r="H269" s="22"/>
    </row>
    <row r="270" spans="1:10" ht="16.5" x14ac:dyDescent="0.3">
      <c r="A270" s="18"/>
      <c r="B270" s="18"/>
      <c r="C270" s="79"/>
      <c r="D270" s="21"/>
      <c r="E270" s="21"/>
    </row>
    <row r="271" spans="1:10" s="18" customFormat="1" ht="20.100000000000001" customHeight="1" x14ac:dyDescent="0.25">
      <c r="C271" s="21"/>
      <c r="D271" s="21"/>
      <c r="E271" s="21"/>
      <c r="G271" s="21"/>
      <c r="H271" s="22"/>
    </row>
    <row r="272" spans="1:10" s="18" customFormat="1" ht="20.100000000000001" customHeight="1" x14ac:dyDescent="0.25">
      <c r="C272" s="47"/>
      <c r="D272" s="21"/>
      <c r="E272" s="21"/>
      <c r="F272" s="21"/>
      <c r="G272" s="21"/>
      <c r="H272" s="22"/>
    </row>
  </sheetData>
  <printOptions horizontalCentered="1"/>
  <pageMargins left="0.3" right="0.3" top="0.7" bottom="0.7" header="0.3" footer="0.3"/>
  <pageSetup scale="75" fitToHeight="0" orientation="landscape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0"/>
  <sheetViews>
    <sheetView topLeftCell="A244" zoomScale="96" zoomScaleNormal="96" workbookViewId="0">
      <selection activeCell="B253" sqref="B253"/>
    </sheetView>
  </sheetViews>
  <sheetFormatPr defaultColWidth="13.85546875" defaultRowHeight="24.95" customHeight="1" x14ac:dyDescent="0.25"/>
  <cols>
    <col min="1" max="1" width="37.5703125" style="278" customWidth="1"/>
    <col min="2" max="2" width="36.28515625" style="242" customWidth="1"/>
    <col min="3" max="3" width="20.85546875" style="188" customWidth="1"/>
    <col min="4" max="6" width="20.85546875" style="242" customWidth="1"/>
    <col min="7" max="8" width="15" style="242" bestFit="1" customWidth="1"/>
    <col min="9" max="250" width="13.85546875" style="242"/>
    <col min="251" max="251" width="40.7109375" style="242" customWidth="1"/>
    <col min="252" max="252" width="42.85546875" style="242" customWidth="1"/>
    <col min="253" max="254" width="17.140625" style="242" customWidth="1"/>
    <col min="255" max="255" width="18.85546875" style="242" customWidth="1"/>
    <col min="256" max="256" width="18.42578125" style="242" customWidth="1"/>
    <col min="257" max="257" width="26.28515625" style="242" customWidth="1"/>
    <col min="258" max="258" width="24.85546875" style="242" bestFit="1" customWidth="1"/>
    <col min="259" max="259" width="18.5703125" style="242" bestFit="1" customWidth="1"/>
    <col min="260" max="261" width="20" style="242" customWidth="1"/>
    <col min="262" max="506" width="13.85546875" style="242"/>
    <col min="507" max="507" width="40.7109375" style="242" customWidth="1"/>
    <col min="508" max="508" width="42.85546875" style="242" customWidth="1"/>
    <col min="509" max="510" width="17.140625" style="242" customWidth="1"/>
    <col min="511" max="511" width="18.85546875" style="242" customWidth="1"/>
    <col min="512" max="512" width="18.42578125" style="242" customWidth="1"/>
    <col min="513" max="513" width="26.28515625" style="242" customWidth="1"/>
    <col min="514" max="514" width="24.85546875" style="242" bestFit="1" customWidth="1"/>
    <col min="515" max="515" width="18.5703125" style="242" bestFit="1" customWidth="1"/>
    <col min="516" max="517" width="20" style="242" customWidth="1"/>
    <col min="518" max="762" width="13.85546875" style="242"/>
    <col min="763" max="763" width="40.7109375" style="242" customWidth="1"/>
    <col min="764" max="764" width="42.85546875" style="242" customWidth="1"/>
    <col min="765" max="766" width="17.140625" style="242" customWidth="1"/>
    <col min="767" max="767" width="18.85546875" style="242" customWidth="1"/>
    <col min="768" max="768" width="18.42578125" style="242" customWidth="1"/>
    <col min="769" max="769" width="26.28515625" style="242" customWidth="1"/>
    <col min="770" max="770" width="24.85546875" style="242" bestFit="1" customWidth="1"/>
    <col min="771" max="771" width="18.5703125" style="242" bestFit="1" customWidth="1"/>
    <col min="772" max="773" width="20" style="242" customWidth="1"/>
    <col min="774" max="1018" width="13.85546875" style="242"/>
    <col min="1019" max="1019" width="40.7109375" style="242" customWidth="1"/>
    <col min="1020" max="1020" width="42.85546875" style="242" customWidth="1"/>
    <col min="1021" max="1022" width="17.140625" style="242" customWidth="1"/>
    <col min="1023" max="1023" width="18.85546875" style="242" customWidth="1"/>
    <col min="1024" max="1024" width="18.42578125" style="242" customWidth="1"/>
    <col min="1025" max="1025" width="26.28515625" style="242" customWidth="1"/>
    <col min="1026" max="1026" width="24.85546875" style="242" bestFit="1" customWidth="1"/>
    <col min="1027" max="1027" width="18.5703125" style="242" bestFit="1" customWidth="1"/>
    <col min="1028" max="1029" width="20" style="242" customWidth="1"/>
    <col min="1030" max="1274" width="13.85546875" style="242"/>
    <col min="1275" max="1275" width="40.7109375" style="242" customWidth="1"/>
    <col min="1276" max="1276" width="42.85546875" style="242" customWidth="1"/>
    <col min="1277" max="1278" width="17.140625" style="242" customWidth="1"/>
    <col min="1279" max="1279" width="18.85546875" style="242" customWidth="1"/>
    <col min="1280" max="1280" width="18.42578125" style="242" customWidth="1"/>
    <col min="1281" max="1281" width="26.28515625" style="242" customWidth="1"/>
    <col min="1282" max="1282" width="24.85546875" style="242" bestFit="1" customWidth="1"/>
    <col min="1283" max="1283" width="18.5703125" style="242" bestFit="1" customWidth="1"/>
    <col min="1284" max="1285" width="20" style="242" customWidth="1"/>
    <col min="1286" max="1530" width="13.85546875" style="242"/>
    <col min="1531" max="1531" width="40.7109375" style="242" customWidth="1"/>
    <col min="1532" max="1532" width="42.85546875" style="242" customWidth="1"/>
    <col min="1533" max="1534" width="17.140625" style="242" customWidth="1"/>
    <col min="1535" max="1535" width="18.85546875" style="242" customWidth="1"/>
    <col min="1536" max="1536" width="18.42578125" style="242" customWidth="1"/>
    <col min="1537" max="1537" width="26.28515625" style="242" customWidth="1"/>
    <col min="1538" max="1538" width="24.85546875" style="242" bestFit="1" customWidth="1"/>
    <col min="1539" max="1539" width="18.5703125" style="242" bestFit="1" customWidth="1"/>
    <col min="1540" max="1541" width="20" style="242" customWidth="1"/>
    <col min="1542" max="1786" width="13.85546875" style="242"/>
    <col min="1787" max="1787" width="40.7109375" style="242" customWidth="1"/>
    <col min="1788" max="1788" width="42.85546875" style="242" customWidth="1"/>
    <col min="1789" max="1790" width="17.140625" style="242" customWidth="1"/>
    <col min="1791" max="1791" width="18.85546875" style="242" customWidth="1"/>
    <col min="1792" max="1792" width="18.42578125" style="242" customWidth="1"/>
    <col min="1793" max="1793" width="26.28515625" style="242" customWidth="1"/>
    <col min="1794" max="1794" width="24.85546875" style="242" bestFit="1" customWidth="1"/>
    <col min="1795" max="1795" width="18.5703125" style="242" bestFit="1" customWidth="1"/>
    <col min="1796" max="1797" width="20" style="242" customWidth="1"/>
    <col min="1798" max="2042" width="13.85546875" style="242"/>
    <col min="2043" max="2043" width="40.7109375" style="242" customWidth="1"/>
    <col min="2044" max="2044" width="42.85546875" style="242" customWidth="1"/>
    <col min="2045" max="2046" width="17.140625" style="242" customWidth="1"/>
    <col min="2047" max="2047" width="18.85546875" style="242" customWidth="1"/>
    <col min="2048" max="2048" width="18.42578125" style="242" customWidth="1"/>
    <col min="2049" max="2049" width="26.28515625" style="242" customWidth="1"/>
    <col min="2050" max="2050" width="24.85546875" style="242" bestFit="1" customWidth="1"/>
    <col min="2051" max="2051" width="18.5703125" style="242" bestFit="1" customWidth="1"/>
    <col min="2052" max="2053" width="20" style="242" customWidth="1"/>
    <col min="2054" max="2298" width="13.85546875" style="242"/>
    <col min="2299" max="2299" width="40.7109375" style="242" customWidth="1"/>
    <col min="2300" max="2300" width="42.85546875" style="242" customWidth="1"/>
    <col min="2301" max="2302" width="17.140625" style="242" customWidth="1"/>
    <col min="2303" max="2303" width="18.85546875" style="242" customWidth="1"/>
    <col min="2304" max="2304" width="18.42578125" style="242" customWidth="1"/>
    <col min="2305" max="2305" width="26.28515625" style="242" customWidth="1"/>
    <col min="2306" max="2306" width="24.85546875" style="242" bestFit="1" customWidth="1"/>
    <col min="2307" max="2307" width="18.5703125" style="242" bestFit="1" customWidth="1"/>
    <col min="2308" max="2309" width="20" style="242" customWidth="1"/>
    <col min="2310" max="2554" width="13.85546875" style="242"/>
    <col min="2555" max="2555" width="40.7109375" style="242" customWidth="1"/>
    <col min="2556" max="2556" width="42.85546875" style="242" customWidth="1"/>
    <col min="2557" max="2558" width="17.140625" style="242" customWidth="1"/>
    <col min="2559" max="2559" width="18.85546875" style="242" customWidth="1"/>
    <col min="2560" max="2560" width="18.42578125" style="242" customWidth="1"/>
    <col min="2561" max="2561" width="26.28515625" style="242" customWidth="1"/>
    <col min="2562" max="2562" width="24.85546875" style="242" bestFit="1" customWidth="1"/>
    <col min="2563" max="2563" width="18.5703125" style="242" bestFit="1" customWidth="1"/>
    <col min="2564" max="2565" width="20" style="242" customWidth="1"/>
    <col min="2566" max="2810" width="13.85546875" style="242"/>
    <col min="2811" max="2811" width="40.7109375" style="242" customWidth="1"/>
    <col min="2812" max="2812" width="42.85546875" style="242" customWidth="1"/>
    <col min="2813" max="2814" width="17.140625" style="242" customWidth="1"/>
    <col min="2815" max="2815" width="18.85546875" style="242" customWidth="1"/>
    <col min="2816" max="2816" width="18.42578125" style="242" customWidth="1"/>
    <col min="2817" max="2817" width="26.28515625" style="242" customWidth="1"/>
    <col min="2818" max="2818" width="24.85546875" style="242" bestFit="1" customWidth="1"/>
    <col min="2819" max="2819" width="18.5703125" style="242" bestFit="1" customWidth="1"/>
    <col min="2820" max="2821" width="20" style="242" customWidth="1"/>
    <col min="2822" max="3066" width="13.85546875" style="242"/>
    <col min="3067" max="3067" width="40.7109375" style="242" customWidth="1"/>
    <col min="3068" max="3068" width="42.85546875" style="242" customWidth="1"/>
    <col min="3069" max="3070" width="17.140625" style="242" customWidth="1"/>
    <col min="3071" max="3071" width="18.85546875" style="242" customWidth="1"/>
    <col min="3072" max="3072" width="18.42578125" style="242" customWidth="1"/>
    <col min="3073" max="3073" width="26.28515625" style="242" customWidth="1"/>
    <col min="3074" max="3074" width="24.85546875" style="242" bestFit="1" customWidth="1"/>
    <col min="3075" max="3075" width="18.5703125" style="242" bestFit="1" customWidth="1"/>
    <col min="3076" max="3077" width="20" style="242" customWidth="1"/>
    <col min="3078" max="3322" width="13.85546875" style="242"/>
    <col min="3323" max="3323" width="40.7109375" style="242" customWidth="1"/>
    <col min="3324" max="3324" width="42.85546875" style="242" customWidth="1"/>
    <col min="3325" max="3326" width="17.140625" style="242" customWidth="1"/>
    <col min="3327" max="3327" width="18.85546875" style="242" customWidth="1"/>
    <col min="3328" max="3328" width="18.42578125" style="242" customWidth="1"/>
    <col min="3329" max="3329" width="26.28515625" style="242" customWidth="1"/>
    <col min="3330" max="3330" width="24.85546875" style="242" bestFit="1" customWidth="1"/>
    <col min="3331" max="3331" width="18.5703125" style="242" bestFit="1" customWidth="1"/>
    <col min="3332" max="3333" width="20" style="242" customWidth="1"/>
    <col min="3334" max="3578" width="13.85546875" style="242"/>
    <col min="3579" max="3579" width="40.7109375" style="242" customWidth="1"/>
    <col min="3580" max="3580" width="42.85546875" style="242" customWidth="1"/>
    <col min="3581" max="3582" width="17.140625" style="242" customWidth="1"/>
    <col min="3583" max="3583" width="18.85546875" style="242" customWidth="1"/>
    <col min="3584" max="3584" width="18.42578125" style="242" customWidth="1"/>
    <col min="3585" max="3585" width="26.28515625" style="242" customWidth="1"/>
    <col min="3586" max="3586" width="24.85546875" style="242" bestFit="1" customWidth="1"/>
    <col min="3587" max="3587" width="18.5703125" style="242" bestFit="1" customWidth="1"/>
    <col min="3588" max="3589" width="20" style="242" customWidth="1"/>
    <col min="3590" max="3834" width="13.85546875" style="242"/>
    <col min="3835" max="3835" width="40.7109375" style="242" customWidth="1"/>
    <col min="3836" max="3836" width="42.85546875" style="242" customWidth="1"/>
    <col min="3837" max="3838" width="17.140625" style="242" customWidth="1"/>
    <col min="3839" max="3839" width="18.85546875" style="242" customWidth="1"/>
    <col min="3840" max="3840" width="18.42578125" style="242" customWidth="1"/>
    <col min="3841" max="3841" width="26.28515625" style="242" customWidth="1"/>
    <col min="3842" max="3842" width="24.85546875" style="242" bestFit="1" customWidth="1"/>
    <col min="3843" max="3843" width="18.5703125" style="242" bestFit="1" customWidth="1"/>
    <col min="3844" max="3845" width="20" style="242" customWidth="1"/>
    <col min="3846" max="4090" width="13.85546875" style="242"/>
    <col min="4091" max="4091" width="40.7109375" style="242" customWidth="1"/>
    <col min="4092" max="4092" width="42.85546875" style="242" customWidth="1"/>
    <col min="4093" max="4094" width="17.140625" style="242" customWidth="1"/>
    <col min="4095" max="4095" width="18.85546875" style="242" customWidth="1"/>
    <col min="4096" max="4096" width="18.42578125" style="242" customWidth="1"/>
    <col min="4097" max="4097" width="26.28515625" style="242" customWidth="1"/>
    <col min="4098" max="4098" width="24.85546875" style="242" bestFit="1" customWidth="1"/>
    <col min="4099" max="4099" width="18.5703125" style="242" bestFit="1" customWidth="1"/>
    <col min="4100" max="4101" width="20" style="242" customWidth="1"/>
    <col min="4102" max="4346" width="13.85546875" style="242"/>
    <col min="4347" max="4347" width="40.7109375" style="242" customWidth="1"/>
    <col min="4348" max="4348" width="42.85546875" style="242" customWidth="1"/>
    <col min="4349" max="4350" width="17.140625" style="242" customWidth="1"/>
    <col min="4351" max="4351" width="18.85546875" style="242" customWidth="1"/>
    <col min="4352" max="4352" width="18.42578125" style="242" customWidth="1"/>
    <col min="4353" max="4353" width="26.28515625" style="242" customWidth="1"/>
    <col min="4354" max="4354" width="24.85546875" style="242" bestFit="1" customWidth="1"/>
    <col min="4355" max="4355" width="18.5703125" style="242" bestFit="1" customWidth="1"/>
    <col min="4356" max="4357" width="20" style="242" customWidth="1"/>
    <col min="4358" max="4602" width="13.85546875" style="242"/>
    <col min="4603" max="4603" width="40.7109375" style="242" customWidth="1"/>
    <col min="4604" max="4604" width="42.85546875" style="242" customWidth="1"/>
    <col min="4605" max="4606" width="17.140625" style="242" customWidth="1"/>
    <col min="4607" max="4607" width="18.85546875" style="242" customWidth="1"/>
    <col min="4608" max="4608" width="18.42578125" style="242" customWidth="1"/>
    <col min="4609" max="4609" width="26.28515625" style="242" customWidth="1"/>
    <col min="4610" max="4610" width="24.85546875" style="242" bestFit="1" customWidth="1"/>
    <col min="4611" max="4611" width="18.5703125" style="242" bestFit="1" customWidth="1"/>
    <col min="4612" max="4613" width="20" style="242" customWidth="1"/>
    <col min="4614" max="4858" width="13.85546875" style="242"/>
    <col min="4859" max="4859" width="40.7109375" style="242" customWidth="1"/>
    <col min="4860" max="4860" width="42.85546875" style="242" customWidth="1"/>
    <col min="4861" max="4862" width="17.140625" style="242" customWidth="1"/>
    <col min="4863" max="4863" width="18.85546875" style="242" customWidth="1"/>
    <col min="4864" max="4864" width="18.42578125" style="242" customWidth="1"/>
    <col min="4865" max="4865" width="26.28515625" style="242" customWidth="1"/>
    <col min="4866" max="4866" width="24.85546875" style="242" bestFit="1" customWidth="1"/>
    <col min="4867" max="4867" width="18.5703125" style="242" bestFit="1" customWidth="1"/>
    <col min="4868" max="4869" width="20" style="242" customWidth="1"/>
    <col min="4870" max="5114" width="13.85546875" style="242"/>
    <col min="5115" max="5115" width="40.7109375" style="242" customWidth="1"/>
    <col min="5116" max="5116" width="42.85546875" style="242" customWidth="1"/>
    <col min="5117" max="5118" width="17.140625" style="242" customWidth="1"/>
    <col min="5119" max="5119" width="18.85546875" style="242" customWidth="1"/>
    <col min="5120" max="5120" width="18.42578125" style="242" customWidth="1"/>
    <col min="5121" max="5121" width="26.28515625" style="242" customWidth="1"/>
    <col min="5122" max="5122" width="24.85546875" style="242" bestFit="1" customWidth="1"/>
    <col min="5123" max="5123" width="18.5703125" style="242" bestFit="1" customWidth="1"/>
    <col min="5124" max="5125" width="20" style="242" customWidth="1"/>
    <col min="5126" max="5370" width="13.85546875" style="242"/>
    <col min="5371" max="5371" width="40.7109375" style="242" customWidth="1"/>
    <col min="5372" max="5372" width="42.85546875" style="242" customWidth="1"/>
    <col min="5373" max="5374" width="17.140625" style="242" customWidth="1"/>
    <col min="5375" max="5375" width="18.85546875" style="242" customWidth="1"/>
    <col min="5376" max="5376" width="18.42578125" style="242" customWidth="1"/>
    <col min="5377" max="5377" width="26.28515625" style="242" customWidth="1"/>
    <col min="5378" max="5378" width="24.85546875" style="242" bestFit="1" customWidth="1"/>
    <col min="5379" max="5379" width="18.5703125" style="242" bestFit="1" customWidth="1"/>
    <col min="5380" max="5381" width="20" style="242" customWidth="1"/>
    <col min="5382" max="5626" width="13.85546875" style="242"/>
    <col min="5627" max="5627" width="40.7109375" style="242" customWidth="1"/>
    <col min="5628" max="5628" width="42.85546875" style="242" customWidth="1"/>
    <col min="5629" max="5630" width="17.140625" style="242" customWidth="1"/>
    <col min="5631" max="5631" width="18.85546875" style="242" customWidth="1"/>
    <col min="5632" max="5632" width="18.42578125" style="242" customWidth="1"/>
    <col min="5633" max="5633" width="26.28515625" style="242" customWidth="1"/>
    <col min="5634" max="5634" width="24.85546875" style="242" bestFit="1" customWidth="1"/>
    <col min="5635" max="5635" width="18.5703125" style="242" bestFit="1" customWidth="1"/>
    <col min="5636" max="5637" width="20" style="242" customWidth="1"/>
    <col min="5638" max="5882" width="13.85546875" style="242"/>
    <col min="5883" max="5883" width="40.7109375" style="242" customWidth="1"/>
    <col min="5884" max="5884" width="42.85546875" style="242" customWidth="1"/>
    <col min="5885" max="5886" width="17.140625" style="242" customWidth="1"/>
    <col min="5887" max="5887" width="18.85546875" style="242" customWidth="1"/>
    <col min="5888" max="5888" width="18.42578125" style="242" customWidth="1"/>
    <col min="5889" max="5889" width="26.28515625" style="242" customWidth="1"/>
    <col min="5890" max="5890" width="24.85546875" style="242" bestFit="1" customWidth="1"/>
    <col min="5891" max="5891" width="18.5703125" style="242" bestFit="1" customWidth="1"/>
    <col min="5892" max="5893" width="20" style="242" customWidth="1"/>
    <col min="5894" max="6138" width="13.85546875" style="242"/>
    <col min="6139" max="6139" width="40.7109375" style="242" customWidth="1"/>
    <col min="6140" max="6140" width="42.85546875" style="242" customWidth="1"/>
    <col min="6141" max="6142" width="17.140625" style="242" customWidth="1"/>
    <col min="6143" max="6143" width="18.85546875" style="242" customWidth="1"/>
    <col min="6144" max="6144" width="18.42578125" style="242" customWidth="1"/>
    <col min="6145" max="6145" width="26.28515625" style="242" customWidth="1"/>
    <col min="6146" max="6146" width="24.85546875" style="242" bestFit="1" customWidth="1"/>
    <col min="6147" max="6147" width="18.5703125" style="242" bestFit="1" customWidth="1"/>
    <col min="6148" max="6149" width="20" style="242" customWidth="1"/>
    <col min="6150" max="6394" width="13.85546875" style="242"/>
    <col min="6395" max="6395" width="40.7109375" style="242" customWidth="1"/>
    <col min="6396" max="6396" width="42.85546875" style="242" customWidth="1"/>
    <col min="6397" max="6398" width="17.140625" style="242" customWidth="1"/>
    <col min="6399" max="6399" width="18.85546875" style="242" customWidth="1"/>
    <col min="6400" max="6400" width="18.42578125" style="242" customWidth="1"/>
    <col min="6401" max="6401" width="26.28515625" style="242" customWidth="1"/>
    <col min="6402" max="6402" width="24.85546875" style="242" bestFit="1" customWidth="1"/>
    <col min="6403" max="6403" width="18.5703125" style="242" bestFit="1" customWidth="1"/>
    <col min="6404" max="6405" width="20" style="242" customWidth="1"/>
    <col min="6406" max="6650" width="13.85546875" style="242"/>
    <col min="6651" max="6651" width="40.7109375" style="242" customWidth="1"/>
    <col min="6652" max="6652" width="42.85546875" style="242" customWidth="1"/>
    <col min="6653" max="6654" width="17.140625" style="242" customWidth="1"/>
    <col min="6655" max="6655" width="18.85546875" style="242" customWidth="1"/>
    <col min="6656" max="6656" width="18.42578125" style="242" customWidth="1"/>
    <col min="6657" max="6657" width="26.28515625" style="242" customWidth="1"/>
    <col min="6658" max="6658" width="24.85546875" style="242" bestFit="1" customWidth="1"/>
    <col min="6659" max="6659" width="18.5703125" style="242" bestFit="1" customWidth="1"/>
    <col min="6660" max="6661" width="20" style="242" customWidth="1"/>
    <col min="6662" max="6906" width="13.85546875" style="242"/>
    <col min="6907" max="6907" width="40.7109375" style="242" customWidth="1"/>
    <col min="6908" max="6908" width="42.85546875" style="242" customWidth="1"/>
    <col min="6909" max="6910" width="17.140625" style="242" customWidth="1"/>
    <col min="6911" max="6911" width="18.85546875" style="242" customWidth="1"/>
    <col min="6912" max="6912" width="18.42578125" style="242" customWidth="1"/>
    <col min="6913" max="6913" width="26.28515625" style="242" customWidth="1"/>
    <col min="6914" max="6914" width="24.85546875" style="242" bestFit="1" customWidth="1"/>
    <col min="6915" max="6915" width="18.5703125" style="242" bestFit="1" customWidth="1"/>
    <col min="6916" max="6917" width="20" style="242" customWidth="1"/>
    <col min="6918" max="7162" width="13.85546875" style="242"/>
    <col min="7163" max="7163" width="40.7109375" style="242" customWidth="1"/>
    <col min="7164" max="7164" width="42.85546875" style="242" customWidth="1"/>
    <col min="7165" max="7166" width="17.140625" style="242" customWidth="1"/>
    <col min="7167" max="7167" width="18.85546875" style="242" customWidth="1"/>
    <col min="7168" max="7168" width="18.42578125" style="242" customWidth="1"/>
    <col min="7169" max="7169" width="26.28515625" style="242" customWidth="1"/>
    <col min="7170" max="7170" width="24.85546875" style="242" bestFit="1" customWidth="1"/>
    <col min="7171" max="7171" width="18.5703125" style="242" bestFit="1" customWidth="1"/>
    <col min="7172" max="7173" width="20" style="242" customWidth="1"/>
    <col min="7174" max="7418" width="13.85546875" style="242"/>
    <col min="7419" max="7419" width="40.7109375" style="242" customWidth="1"/>
    <col min="7420" max="7420" width="42.85546875" style="242" customWidth="1"/>
    <col min="7421" max="7422" width="17.140625" style="242" customWidth="1"/>
    <col min="7423" max="7423" width="18.85546875" style="242" customWidth="1"/>
    <col min="7424" max="7424" width="18.42578125" style="242" customWidth="1"/>
    <col min="7425" max="7425" width="26.28515625" style="242" customWidth="1"/>
    <col min="7426" max="7426" width="24.85546875" style="242" bestFit="1" customWidth="1"/>
    <col min="7427" max="7427" width="18.5703125" style="242" bestFit="1" customWidth="1"/>
    <col min="7428" max="7429" width="20" style="242" customWidth="1"/>
    <col min="7430" max="7674" width="13.85546875" style="242"/>
    <col min="7675" max="7675" width="40.7109375" style="242" customWidth="1"/>
    <col min="7676" max="7676" width="42.85546875" style="242" customWidth="1"/>
    <col min="7677" max="7678" width="17.140625" style="242" customWidth="1"/>
    <col min="7679" max="7679" width="18.85546875" style="242" customWidth="1"/>
    <col min="7680" max="7680" width="18.42578125" style="242" customWidth="1"/>
    <col min="7681" max="7681" width="26.28515625" style="242" customWidth="1"/>
    <col min="7682" max="7682" width="24.85546875" style="242" bestFit="1" customWidth="1"/>
    <col min="7683" max="7683" width="18.5703125" style="242" bestFit="1" customWidth="1"/>
    <col min="7684" max="7685" width="20" style="242" customWidth="1"/>
    <col min="7686" max="7930" width="13.85546875" style="242"/>
    <col min="7931" max="7931" width="40.7109375" style="242" customWidth="1"/>
    <col min="7932" max="7932" width="42.85546875" style="242" customWidth="1"/>
    <col min="7933" max="7934" width="17.140625" style="242" customWidth="1"/>
    <col min="7935" max="7935" width="18.85546875" style="242" customWidth="1"/>
    <col min="7936" max="7936" width="18.42578125" style="242" customWidth="1"/>
    <col min="7937" max="7937" width="26.28515625" style="242" customWidth="1"/>
    <col min="7938" max="7938" width="24.85546875" style="242" bestFit="1" customWidth="1"/>
    <col min="7939" max="7939" width="18.5703125" style="242" bestFit="1" customWidth="1"/>
    <col min="7940" max="7941" width="20" style="242" customWidth="1"/>
    <col min="7942" max="8186" width="13.85546875" style="242"/>
    <col min="8187" max="8187" width="40.7109375" style="242" customWidth="1"/>
    <col min="8188" max="8188" width="42.85546875" style="242" customWidth="1"/>
    <col min="8189" max="8190" width="17.140625" style="242" customWidth="1"/>
    <col min="8191" max="8191" width="18.85546875" style="242" customWidth="1"/>
    <col min="8192" max="8192" width="18.42578125" style="242" customWidth="1"/>
    <col min="8193" max="8193" width="26.28515625" style="242" customWidth="1"/>
    <col min="8194" max="8194" width="24.85546875" style="242" bestFit="1" customWidth="1"/>
    <col min="8195" max="8195" width="18.5703125" style="242" bestFit="1" customWidth="1"/>
    <col min="8196" max="8197" width="20" style="242" customWidth="1"/>
    <col min="8198" max="8442" width="13.85546875" style="242"/>
    <col min="8443" max="8443" width="40.7109375" style="242" customWidth="1"/>
    <col min="8444" max="8444" width="42.85546875" style="242" customWidth="1"/>
    <col min="8445" max="8446" width="17.140625" style="242" customWidth="1"/>
    <col min="8447" max="8447" width="18.85546875" style="242" customWidth="1"/>
    <col min="8448" max="8448" width="18.42578125" style="242" customWidth="1"/>
    <col min="8449" max="8449" width="26.28515625" style="242" customWidth="1"/>
    <col min="8450" max="8450" width="24.85546875" style="242" bestFit="1" customWidth="1"/>
    <col min="8451" max="8451" width="18.5703125" style="242" bestFit="1" customWidth="1"/>
    <col min="8452" max="8453" width="20" style="242" customWidth="1"/>
    <col min="8454" max="8698" width="13.85546875" style="242"/>
    <col min="8699" max="8699" width="40.7109375" style="242" customWidth="1"/>
    <col min="8700" max="8700" width="42.85546875" style="242" customWidth="1"/>
    <col min="8701" max="8702" width="17.140625" style="242" customWidth="1"/>
    <col min="8703" max="8703" width="18.85546875" style="242" customWidth="1"/>
    <col min="8704" max="8704" width="18.42578125" style="242" customWidth="1"/>
    <col min="8705" max="8705" width="26.28515625" style="242" customWidth="1"/>
    <col min="8706" max="8706" width="24.85546875" style="242" bestFit="1" customWidth="1"/>
    <col min="8707" max="8707" width="18.5703125" style="242" bestFit="1" customWidth="1"/>
    <col min="8708" max="8709" width="20" style="242" customWidth="1"/>
    <col min="8710" max="8954" width="13.85546875" style="242"/>
    <col min="8955" max="8955" width="40.7109375" style="242" customWidth="1"/>
    <col min="8956" max="8956" width="42.85546875" style="242" customWidth="1"/>
    <col min="8957" max="8958" width="17.140625" style="242" customWidth="1"/>
    <col min="8959" max="8959" width="18.85546875" style="242" customWidth="1"/>
    <col min="8960" max="8960" width="18.42578125" style="242" customWidth="1"/>
    <col min="8961" max="8961" width="26.28515625" style="242" customWidth="1"/>
    <col min="8962" max="8962" width="24.85546875" style="242" bestFit="1" customWidth="1"/>
    <col min="8963" max="8963" width="18.5703125" style="242" bestFit="1" customWidth="1"/>
    <col min="8964" max="8965" width="20" style="242" customWidth="1"/>
    <col min="8966" max="9210" width="13.85546875" style="242"/>
    <col min="9211" max="9211" width="40.7109375" style="242" customWidth="1"/>
    <col min="9212" max="9212" width="42.85546875" style="242" customWidth="1"/>
    <col min="9213" max="9214" width="17.140625" style="242" customWidth="1"/>
    <col min="9215" max="9215" width="18.85546875" style="242" customWidth="1"/>
    <col min="9216" max="9216" width="18.42578125" style="242" customWidth="1"/>
    <col min="9217" max="9217" width="26.28515625" style="242" customWidth="1"/>
    <col min="9218" max="9218" width="24.85546875" style="242" bestFit="1" customWidth="1"/>
    <col min="9219" max="9219" width="18.5703125" style="242" bestFit="1" customWidth="1"/>
    <col min="9220" max="9221" width="20" style="242" customWidth="1"/>
    <col min="9222" max="9466" width="13.85546875" style="242"/>
    <col min="9467" max="9467" width="40.7109375" style="242" customWidth="1"/>
    <col min="9468" max="9468" width="42.85546875" style="242" customWidth="1"/>
    <col min="9469" max="9470" width="17.140625" style="242" customWidth="1"/>
    <col min="9471" max="9471" width="18.85546875" style="242" customWidth="1"/>
    <col min="9472" max="9472" width="18.42578125" style="242" customWidth="1"/>
    <col min="9473" max="9473" width="26.28515625" style="242" customWidth="1"/>
    <col min="9474" max="9474" width="24.85546875" style="242" bestFit="1" customWidth="1"/>
    <col min="9475" max="9475" width="18.5703125" style="242" bestFit="1" customWidth="1"/>
    <col min="9476" max="9477" width="20" style="242" customWidth="1"/>
    <col min="9478" max="9722" width="13.85546875" style="242"/>
    <col min="9723" max="9723" width="40.7109375" style="242" customWidth="1"/>
    <col min="9724" max="9724" width="42.85546875" style="242" customWidth="1"/>
    <col min="9725" max="9726" width="17.140625" style="242" customWidth="1"/>
    <col min="9727" max="9727" width="18.85546875" style="242" customWidth="1"/>
    <col min="9728" max="9728" width="18.42578125" style="242" customWidth="1"/>
    <col min="9729" max="9729" width="26.28515625" style="242" customWidth="1"/>
    <col min="9730" max="9730" width="24.85546875" style="242" bestFit="1" customWidth="1"/>
    <col min="9731" max="9731" width="18.5703125" style="242" bestFit="1" customWidth="1"/>
    <col min="9732" max="9733" width="20" style="242" customWidth="1"/>
    <col min="9734" max="9978" width="13.85546875" style="242"/>
    <col min="9979" max="9979" width="40.7109375" style="242" customWidth="1"/>
    <col min="9980" max="9980" width="42.85546875" style="242" customWidth="1"/>
    <col min="9981" max="9982" width="17.140625" style="242" customWidth="1"/>
    <col min="9983" max="9983" width="18.85546875" style="242" customWidth="1"/>
    <col min="9984" max="9984" width="18.42578125" style="242" customWidth="1"/>
    <col min="9985" max="9985" width="26.28515625" style="242" customWidth="1"/>
    <col min="9986" max="9986" width="24.85546875" style="242" bestFit="1" customWidth="1"/>
    <col min="9987" max="9987" width="18.5703125" style="242" bestFit="1" customWidth="1"/>
    <col min="9988" max="9989" width="20" style="242" customWidth="1"/>
    <col min="9990" max="10234" width="13.85546875" style="242"/>
    <col min="10235" max="10235" width="40.7109375" style="242" customWidth="1"/>
    <col min="10236" max="10236" width="42.85546875" style="242" customWidth="1"/>
    <col min="10237" max="10238" width="17.140625" style="242" customWidth="1"/>
    <col min="10239" max="10239" width="18.85546875" style="242" customWidth="1"/>
    <col min="10240" max="10240" width="18.42578125" style="242" customWidth="1"/>
    <col min="10241" max="10241" width="26.28515625" style="242" customWidth="1"/>
    <col min="10242" max="10242" width="24.85546875" style="242" bestFit="1" customWidth="1"/>
    <col min="10243" max="10243" width="18.5703125" style="242" bestFit="1" customWidth="1"/>
    <col min="10244" max="10245" width="20" style="242" customWidth="1"/>
    <col min="10246" max="10490" width="13.85546875" style="242"/>
    <col min="10491" max="10491" width="40.7109375" style="242" customWidth="1"/>
    <col min="10492" max="10492" width="42.85546875" style="242" customWidth="1"/>
    <col min="10493" max="10494" width="17.140625" style="242" customWidth="1"/>
    <col min="10495" max="10495" width="18.85546875" style="242" customWidth="1"/>
    <col min="10496" max="10496" width="18.42578125" style="242" customWidth="1"/>
    <col min="10497" max="10497" width="26.28515625" style="242" customWidth="1"/>
    <col min="10498" max="10498" width="24.85546875" style="242" bestFit="1" customWidth="1"/>
    <col min="10499" max="10499" width="18.5703125" style="242" bestFit="1" customWidth="1"/>
    <col min="10500" max="10501" width="20" style="242" customWidth="1"/>
    <col min="10502" max="10746" width="13.85546875" style="242"/>
    <col min="10747" max="10747" width="40.7109375" style="242" customWidth="1"/>
    <col min="10748" max="10748" width="42.85546875" style="242" customWidth="1"/>
    <col min="10749" max="10750" width="17.140625" style="242" customWidth="1"/>
    <col min="10751" max="10751" width="18.85546875" style="242" customWidth="1"/>
    <col min="10752" max="10752" width="18.42578125" style="242" customWidth="1"/>
    <col min="10753" max="10753" width="26.28515625" style="242" customWidth="1"/>
    <col min="10754" max="10754" width="24.85546875" style="242" bestFit="1" customWidth="1"/>
    <col min="10755" max="10755" width="18.5703125" style="242" bestFit="1" customWidth="1"/>
    <col min="10756" max="10757" width="20" style="242" customWidth="1"/>
    <col min="10758" max="11002" width="13.85546875" style="242"/>
    <col min="11003" max="11003" width="40.7109375" style="242" customWidth="1"/>
    <col min="11004" max="11004" width="42.85546875" style="242" customWidth="1"/>
    <col min="11005" max="11006" width="17.140625" style="242" customWidth="1"/>
    <col min="11007" max="11007" width="18.85546875" style="242" customWidth="1"/>
    <col min="11008" max="11008" width="18.42578125" style="242" customWidth="1"/>
    <col min="11009" max="11009" width="26.28515625" style="242" customWidth="1"/>
    <col min="11010" max="11010" width="24.85546875" style="242" bestFit="1" customWidth="1"/>
    <col min="11011" max="11011" width="18.5703125" style="242" bestFit="1" customWidth="1"/>
    <col min="11012" max="11013" width="20" style="242" customWidth="1"/>
    <col min="11014" max="11258" width="13.85546875" style="242"/>
    <col min="11259" max="11259" width="40.7109375" style="242" customWidth="1"/>
    <col min="11260" max="11260" width="42.85546875" style="242" customWidth="1"/>
    <col min="11261" max="11262" width="17.140625" style="242" customWidth="1"/>
    <col min="11263" max="11263" width="18.85546875" style="242" customWidth="1"/>
    <col min="11264" max="11264" width="18.42578125" style="242" customWidth="1"/>
    <col min="11265" max="11265" width="26.28515625" style="242" customWidth="1"/>
    <col min="11266" max="11266" width="24.85546875" style="242" bestFit="1" customWidth="1"/>
    <col min="11267" max="11267" width="18.5703125" style="242" bestFit="1" customWidth="1"/>
    <col min="11268" max="11269" width="20" style="242" customWidth="1"/>
    <col min="11270" max="11514" width="13.85546875" style="242"/>
    <col min="11515" max="11515" width="40.7109375" style="242" customWidth="1"/>
    <col min="11516" max="11516" width="42.85546875" style="242" customWidth="1"/>
    <col min="11517" max="11518" width="17.140625" style="242" customWidth="1"/>
    <col min="11519" max="11519" width="18.85546875" style="242" customWidth="1"/>
    <col min="11520" max="11520" width="18.42578125" style="242" customWidth="1"/>
    <col min="11521" max="11521" width="26.28515625" style="242" customWidth="1"/>
    <col min="11522" max="11522" width="24.85546875" style="242" bestFit="1" customWidth="1"/>
    <col min="11523" max="11523" width="18.5703125" style="242" bestFit="1" customWidth="1"/>
    <col min="11524" max="11525" width="20" style="242" customWidth="1"/>
    <col min="11526" max="11770" width="13.85546875" style="242"/>
    <col min="11771" max="11771" width="40.7109375" style="242" customWidth="1"/>
    <col min="11772" max="11772" width="42.85546875" style="242" customWidth="1"/>
    <col min="11773" max="11774" width="17.140625" style="242" customWidth="1"/>
    <col min="11775" max="11775" width="18.85546875" style="242" customWidth="1"/>
    <col min="11776" max="11776" width="18.42578125" style="242" customWidth="1"/>
    <col min="11777" max="11777" width="26.28515625" style="242" customWidth="1"/>
    <col min="11778" max="11778" width="24.85546875" style="242" bestFit="1" customWidth="1"/>
    <col min="11779" max="11779" width="18.5703125" style="242" bestFit="1" customWidth="1"/>
    <col min="11780" max="11781" width="20" style="242" customWidth="1"/>
    <col min="11782" max="12026" width="13.85546875" style="242"/>
    <col min="12027" max="12027" width="40.7109375" style="242" customWidth="1"/>
    <col min="12028" max="12028" width="42.85546875" style="242" customWidth="1"/>
    <col min="12029" max="12030" width="17.140625" style="242" customWidth="1"/>
    <col min="12031" max="12031" width="18.85546875" style="242" customWidth="1"/>
    <col min="12032" max="12032" width="18.42578125" style="242" customWidth="1"/>
    <col min="12033" max="12033" width="26.28515625" style="242" customWidth="1"/>
    <col min="12034" max="12034" width="24.85546875" style="242" bestFit="1" customWidth="1"/>
    <col min="12035" max="12035" width="18.5703125" style="242" bestFit="1" customWidth="1"/>
    <col min="12036" max="12037" width="20" style="242" customWidth="1"/>
    <col min="12038" max="12282" width="13.85546875" style="242"/>
    <col min="12283" max="12283" width="40.7109375" style="242" customWidth="1"/>
    <col min="12284" max="12284" width="42.85546875" style="242" customWidth="1"/>
    <col min="12285" max="12286" width="17.140625" style="242" customWidth="1"/>
    <col min="12287" max="12287" width="18.85546875" style="242" customWidth="1"/>
    <col min="12288" max="12288" width="18.42578125" style="242" customWidth="1"/>
    <col min="12289" max="12289" width="26.28515625" style="242" customWidth="1"/>
    <col min="12290" max="12290" width="24.85546875" style="242" bestFit="1" customWidth="1"/>
    <col min="12291" max="12291" width="18.5703125" style="242" bestFit="1" customWidth="1"/>
    <col min="12292" max="12293" width="20" style="242" customWidth="1"/>
    <col min="12294" max="12538" width="13.85546875" style="242"/>
    <col min="12539" max="12539" width="40.7109375" style="242" customWidth="1"/>
    <col min="12540" max="12540" width="42.85546875" style="242" customWidth="1"/>
    <col min="12541" max="12542" width="17.140625" style="242" customWidth="1"/>
    <col min="12543" max="12543" width="18.85546875" style="242" customWidth="1"/>
    <col min="12544" max="12544" width="18.42578125" style="242" customWidth="1"/>
    <col min="12545" max="12545" width="26.28515625" style="242" customWidth="1"/>
    <col min="12546" max="12546" width="24.85546875" style="242" bestFit="1" customWidth="1"/>
    <col min="12547" max="12547" width="18.5703125" style="242" bestFit="1" customWidth="1"/>
    <col min="12548" max="12549" width="20" style="242" customWidth="1"/>
    <col min="12550" max="12794" width="13.85546875" style="242"/>
    <col min="12795" max="12795" width="40.7109375" style="242" customWidth="1"/>
    <col min="12796" max="12796" width="42.85546875" style="242" customWidth="1"/>
    <col min="12797" max="12798" width="17.140625" style="242" customWidth="1"/>
    <col min="12799" max="12799" width="18.85546875" style="242" customWidth="1"/>
    <col min="12800" max="12800" width="18.42578125" style="242" customWidth="1"/>
    <col min="12801" max="12801" width="26.28515625" style="242" customWidth="1"/>
    <col min="12802" max="12802" width="24.85546875" style="242" bestFit="1" customWidth="1"/>
    <col min="12803" max="12803" width="18.5703125" style="242" bestFit="1" customWidth="1"/>
    <col min="12804" max="12805" width="20" style="242" customWidth="1"/>
    <col min="12806" max="13050" width="13.85546875" style="242"/>
    <col min="13051" max="13051" width="40.7109375" style="242" customWidth="1"/>
    <col min="13052" max="13052" width="42.85546875" style="242" customWidth="1"/>
    <col min="13053" max="13054" width="17.140625" style="242" customWidth="1"/>
    <col min="13055" max="13055" width="18.85546875" style="242" customWidth="1"/>
    <col min="13056" max="13056" width="18.42578125" style="242" customWidth="1"/>
    <col min="13057" max="13057" width="26.28515625" style="242" customWidth="1"/>
    <col min="13058" max="13058" width="24.85546875" style="242" bestFit="1" customWidth="1"/>
    <col min="13059" max="13059" width="18.5703125" style="242" bestFit="1" customWidth="1"/>
    <col min="13060" max="13061" width="20" style="242" customWidth="1"/>
    <col min="13062" max="13306" width="13.85546875" style="242"/>
    <col min="13307" max="13307" width="40.7109375" style="242" customWidth="1"/>
    <col min="13308" max="13308" width="42.85546875" style="242" customWidth="1"/>
    <col min="13309" max="13310" width="17.140625" style="242" customWidth="1"/>
    <col min="13311" max="13311" width="18.85546875" style="242" customWidth="1"/>
    <col min="13312" max="13312" width="18.42578125" style="242" customWidth="1"/>
    <col min="13313" max="13313" width="26.28515625" style="242" customWidth="1"/>
    <col min="13314" max="13314" width="24.85546875" style="242" bestFit="1" customWidth="1"/>
    <col min="13315" max="13315" width="18.5703125" style="242" bestFit="1" customWidth="1"/>
    <col min="13316" max="13317" width="20" style="242" customWidth="1"/>
    <col min="13318" max="13562" width="13.85546875" style="242"/>
    <col min="13563" max="13563" width="40.7109375" style="242" customWidth="1"/>
    <col min="13564" max="13564" width="42.85546875" style="242" customWidth="1"/>
    <col min="13565" max="13566" width="17.140625" style="242" customWidth="1"/>
    <col min="13567" max="13567" width="18.85546875" style="242" customWidth="1"/>
    <col min="13568" max="13568" width="18.42578125" style="242" customWidth="1"/>
    <col min="13569" max="13569" width="26.28515625" style="242" customWidth="1"/>
    <col min="13570" max="13570" width="24.85546875" style="242" bestFit="1" customWidth="1"/>
    <col min="13571" max="13571" width="18.5703125" style="242" bestFit="1" customWidth="1"/>
    <col min="13572" max="13573" width="20" style="242" customWidth="1"/>
    <col min="13574" max="13818" width="13.85546875" style="242"/>
    <col min="13819" max="13819" width="40.7109375" style="242" customWidth="1"/>
    <col min="13820" max="13820" width="42.85546875" style="242" customWidth="1"/>
    <col min="13821" max="13822" width="17.140625" style="242" customWidth="1"/>
    <col min="13823" max="13823" width="18.85546875" style="242" customWidth="1"/>
    <col min="13824" max="13824" width="18.42578125" style="242" customWidth="1"/>
    <col min="13825" max="13825" width="26.28515625" style="242" customWidth="1"/>
    <col min="13826" max="13826" width="24.85546875" style="242" bestFit="1" customWidth="1"/>
    <col min="13827" max="13827" width="18.5703125" style="242" bestFit="1" customWidth="1"/>
    <col min="13828" max="13829" width="20" style="242" customWidth="1"/>
    <col min="13830" max="14074" width="13.85546875" style="242"/>
    <col min="14075" max="14075" width="40.7109375" style="242" customWidth="1"/>
    <col min="14076" max="14076" width="42.85546875" style="242" customWidth="1"/>
    <col min="14077" max="14078" width="17.140625" style="242" customWidth="1"/>
    <col min="14079" max="14079" width="18.85546875" style="242" customWidth="1"/>
    <col min="14080" max="14080" width="18.42578125" style="242" customWidth="1"/>
    <col min="14081" max="14081" width="26.28515625" style="242" customWidth="1"/>
    <col min="14082" max="14082" width="24.85546875" style="242" bestFit="1" customWidth="1"/>
    <col min="14083" max="14083" width="18.5703125" style="242" bestFit="1" customWidth="1"/>
    <col min="14084" max="14085" width="20" style="242" customWidth="1"/>
    <col min="14086" max="14330" width="13.85546875" style="242"/>
    <col min="14331" max="14331" width="40.7109375" style="242" customWidth="1"/>
    <col min="14332" max="14332" width="42.85546875" style="242" customWidth="1"/>
    <col min="14333" max="14334" width="17.140625" style="242" customWidth="1"/>
    <col min="14335" max="14335" width="18.85546875" style="242" customWidth="1"/>
    <col min="14336" max="14336" width="18.42578125" style="242" customWidth="1"/>
    <col min="14337" max="14337" width="26.28515625" style="242" customWidth="1"/>
    <col min="14338" max="14338" width="24.85546875" style="242" bestFit="1" customWidth="1"/>
    <col min="14339" max="14339" width="18.5703125" style="242" bestFit="1" customWidth="1"/>
    <col min="14340" max="14341" width="20" style="242" customWidth="1"/>
    <col min="14342" max="14586" width="13.85546875" style="242"/>
    <col min="14587" max="14587" width="40.7109375" style="242" customWidth="1"/>
    <col min="14588" max="14588" width="42.85546875" style="242" customWidth="1"/>
    <col min="14589" max="14590" width="17.140625" style="242" customWidth="1"/>
    <col min="14591" max="14591" width="18.85546875" style="242" customWidth="1"/>
    <col min="14592" max="14592" width="18.42578125" style="242" customWidth="1"/>
    <col min="14593" max="14593" width="26.28515625" style="242" customWidth="1"/>
    <col min="14594" max="14594" width="24.85546875" style="242" bestFit="1" customWidth="1"/>
    <col min="14595" max="14595" width="18.5703125" style="242" bestFit="1" customWidth="1"/>
    <col min="14596" max="14597" width="20" style="242" customWidth="1"/>
    <col min="14598" max="14842" width="13.85546875" style="242"/>
    <col min="14843" max="14843" width="40.7109375" style="242" customWidth="1"/>
    <col min="14844" max="14844" width="42.85546875" style="242" customWidth="1"/>
    <col min="14845" max="14846" width="17.140625" style="242" customWidth="1"/>
    <col min="14847" max="14847" width="18.85546875" style="242" customWidth="1"/>
    <col min="14848" max="14848" width="18.42578125" style="242" customWidth="1"/>
    <col min="14849" max="14849" width="26.28515625" style="242" customWidth="1"/>
    <col min="14850" max="14850" width="24.85546875" style="242" bestFit="1" customWidth="1"/>
    <col min="14851" max="14851" width="18.5703125" style="242" bestFit="1" customWidth="1"/>
    <col min="14852" max="14853" width="20" style="242" customWidth="1"/>
    <col min="14854" max="15098" width="13.85546875" style="242"/>
    <col min="15099" max="15099" width="40.7109375" style="242" customWidth="1"/>
    <col min="15100" max="15100" width="42.85546875" style="242" customWidth="1"/>
    <col min="15101" max="15102" width="17.140625" style="242" customWidth="1"/>
    <col min="15103" max="15103" width="18.85546875" style="242" customWidth="1"/>
    <col min="15104" max="15104" width="18.42578125" style="242" customWidth="1"/>
    <col min="15105" max="15105" width="26.28515625" style="242" customWidth="1"/>
    <col min="15106" max="15106" width="24.85546875" style="242" bestFit="1" customWidth="1"/>
    <col min="15107" max="15107" width="18.5703125" style="242" bestFit="1" customWidth="1"/>
    <col min="15108" max="15109" width="20" style="242" customWidth="1"/>
    <col min="15110" max="15354" width="13.85546875" style="242"/>
    <col min="15355" max="15355" width="40.7109375" style="242" customWidth="1"/>
    <col min="15356" max="15356" width="42.85546875" style="242" customWidth="1"/>
    <col min="15357" max="15358" width="17.140625" style="242" customWidth="1"/>
    <col min="15359" max="15359" width="18.85546875" style="242" customWidth="1"/>
    <col min="15360" max="15360" width="18.42578125" style="242" customWidth="1"/>
    <col min="15361" max="15361" width="26.28515625" style="242" customWidth="1"/>
    <col min="15362" max="15362" width="24.85546875" style="242" bestFit="1" customWidth="1"/>
    <col min="15363" max="15363" width="18.5703125" style="242" bestFit="1" customWidth="1"/>
    <col min="15364" max="15365" width="20" style="242" customWidth="1"/>
    <col min="15366" max="15610" width="13.85546875" style="242"/>
    <col min="15611" max="15611" width="40.7109375" style="242" customWidth="1"/>
    <col min="15612" max="15612" width="42.85546875" style="242" customWidth="1"/>
    <col min="15613" max="15614" width="17.140625" style="242" customWidth="1"/>
    <col min="15615" max="15615" width="18.85546875" style="242" customWidth="1"/>
    <col min="15616" max="15616" width="18.42578125" style="242" customWidth="1"/>
    <col min="15617" max="15617" width="26.28515625" style="242" customWidth="1"/>
    <col min="15618" max="15618" width="24.85546875" style="242" bestFit="1" customWidth="1"/>
    <col min="15619" max="15619" width="18.5703125" style="242" bestFit="1" customWidth="1"/>
    <col min="15620" max="15621" width="20" style="242" customWidth="1"/>
    <col min="15622" max="15866" width="13.85546875" style="242"/>
    <col min="15867" max="15867" width="40.7109375" style="242" customWidth="1"/>
    <col min="15868" max="15868" width="42.85546875" style="242" customWidth="1"/>
    <col min="15869" max="15870" width="17.140625" style="242" customWidth="1"/>
    <col min="15871" max="15871" width="18.85546875" style="242" customWidth="1"/>
    <col min="15872" max="15872" width="18.42578125" style="242" customWidth="1"/>
    <col min="15873" max="15873" width="26.28515625" style="242" customWidth="1"/>
    <col min="15874" max="15874" width="24.85546875" style="242" bestFit="1" customWidth="1"/>
    <col min="15875" max="15875" width="18.5703125" style="242" bestFit="1" customWidth="1"/>
    <col min="15876" max="15877" width="20" style="242" customWidth="1"/>
    <col min="15878" max="16122" width="13.85546875" style="242"/>
    <col min="16123" max="16123" width="40.7109375" style="242" customWidth="1"/>
    <col min="16124" max="16124" width="42.85546875" style="242" customWidth="1"/>
    <col min="16125" max="16126" width="17.140625" style="242" customWidth="1"/>
    <col min="16127" max="16127" width="18.85546875" style="242" customWidth="1"/>
    <col min="16128" max="16128" width="18.42578125" style="242" customWidth="1"/>
    <col min="16129" max="16129" width="26.28515625" style="242" customWidth="1"/>
    <col min="16130" max="16130" width="24.85546875" style="242" bestFit="1" customWidth="1"/>
    <col min="16131" max="16131" width="18.5703125" style="242" bestFit="1" customWidth="1"/>
    <col min="16132" max="16133" width="20" style="242" customWidth="1"/>
    <col min="16134" max="16384" width="13.85546875" style="242"/>
  </cols>
  <sheetData>
    <row r="1" spans="1:11" s="549" customFormat="1" ht="24.95" customHeight="1" x14ac:dyDescent="0.25">
      <c r="A1" s="163"/>
      <c r="B1" s="163"/>
      <c r="C1" s="165" t="s">
        <v>261</v>
      </c>
      <c r="D1" s="165"/>
      <c r="E1" s="165"/>
      <c r="F1" s="165"/>
      <c r="G1" s="165"/>
      <c r="H1" s="192"/>
      <c r="I1" s="213"/>
      <c r="J1" s="163"/>
    </row>
    <row r="2" spans="1:11" ht="24.95" customHeight="1" thickBot="1" x14ac:dyDescent="0.3">
      <c r="A2" s="242"/>
      <c r="D2" s="188"/>
      <c r="E2" s="188"/>
      <c r="F2" s="188"/>
      <c r="G2" s="188"/>
      <c r="H2" s="188"/>
      <c r="I2" s="243"/>
      <c r="J2" s="244"/>
      <c r="K2" s="188"/>
    </row>
    <row r="3" spans="1:11" ht="63.75" thickBot="1" x14ac:dyDescent="0.3">
      <c r="A3" s="245" t="s">
        <v>110</v>
      </c>
      <c r="B3" s="246" t="s">
        <v>111</v>
      </c>
      <c r="C3" s="247" t="s">
        <v>112</v>
      </c>
      <c r="D3" s="247" t="s">
        <v>113</v>
      </c>
      <c r="E3" s="247" t="s">
        <v>114</v>
      </c>
      <c r="F3" s="247" t="s">
        <v>115</v>
      </c>
      <c r="G3" s="246" t="s">
        <v>116</v>
      </c>
      <c r="H3" s="246" t="s">
        <v>117</v>
      </c>
      <c r="I3" s="246" t="s">
        <v>118</v>
      </c>
      <c r="J3" s="246" t="s">
        <v>119</v>
      </c>
      <c r="K3" s="247" t="s">
        <v>120</v>
      </c>
    </row>
    <row r="4" spans="1:11" ht="24.95" customHeight="1" x14ac:dyDescent="0.25">
      <c r="A4" s="248" t="s">
        <v>47</v>
      </c>
      <c r="B4" s="249">
        <v>2673292.7800000012</v>
      </c>
      <c r="C4" s="250" t="s">
        <v>121</v>
      </c>
      <c r="D4" s="251">
        <v>250090994.02000004</v>
      </c>
      <c r="E4" s="252">
        <v>26908680.510000002</v>
      </c>
      <c r="F4" s="252">
        <f>471806.45+234520.52</f>
        <v>706326.97</v>
      </c>
      <c r="G4" s="251">
        <f>B4+D4-E4-F4</f>
        <v>225149279.32000005</v>
      </c>
      <c r="H4" s="253">
        <v>207809520.91000003</v>
      </c>
      <c r="I4" s="254">
        <f t="shared" ref="I4:I9" si="0">H4/G4*100</f>
        <v>92.298550338526567</v>
      </c>
      <c r="J4" s="255">
        <f>G4-H4</f>
        <v>17339758.410000026</v>
      </c>
      <c r="K4" s="256">
        <f t="shared" ref="K4:K9" si="1">J4/G4*100</f>
        <v>7.7014496614734362</v>
      </c>
    </row>
    <row r="5" spans="1:11" ht="24.95" customHeight="1" thickBot="1" x14ac:dyDescent="0.3">
      <c r="A5" s="257" t="s">
        <v>122</v>
      </c>
      <c r="B5" s="258">
        <v>25369.530000000261</v>
      </c>
      <c r="C5" s="259" t="s">
        <v>121</v>
      </c>
      <c r="D5" s="258">
        <v>1463289.3</v>
      </c>
      <c r="E5" s="260">
        <v>380715.52000000002</v>
      </c>
      <c r="F5" s="260">
        <f>5637.67+9396.13</f>
        <v>15033.8</v>
      </c>
      <c r="G5" s="261">
        <f>B5+D5-E5-F5</f>
        <v>1092909.5100000002</v>
      </c>
      <c r="H5" s="262">
        <v>1061589.1399999999</v>
      </c>
      <c r="I5" s="263">
        <f t="shared" si="0"/>
        <v>97.134221112230932</v>
      </c>
      <c r="J5" s="264">
        <f>G5-H5</f>
        <v>31320.370000000345</v>
      </c>
      <c r="K5" s="260">
        <f t="shared" si="1"/>
        <v>2.8657788877690651</v>
      </c>
    </row>
    <row r="6" spans="1:11" ht="24.95" customHeight="1" thickTop="1" thickBot="1" x14ac:dyDescent="0.3">
      <c r="A6" s="265" t="s">
        <v>123</v>
      </c>
      <c r="B6" s="266">
        <f>SUM(B4:B5)</f>
        <v>2698662.3100000015</v>
      </c>
      <c r="C6" s="266"/>
      <c r="D6" s="266">
        <f>SUM(D4:D5)</f>
        <v>251554283.32000005</v>
      </c>
      <c r="E6" s="266">
        <f>SUM(E4:E5)</f>
        <v>27289396.030000001</v>
      </c>
      <c r="F6" s="266">
        <f>SUM(F4:F5)</f>
        <v>721360.77</v>
      </c>
      <c r="G6" s="266">
        <f>SUM(G4:G5)</f>
        <v>226242188.83000004</v>
      </c>
      <c r="H6" s="266">
        <f>SUM(H4:H5)</f>
        <v>208871110.05000001</v>
      </c>
      <c r="I6" s="267">
        <f t="shared" si="0"/>
        <v>92.321910042581507</v>
      </c>
      <c r="J6" s="266">
        <f>SUM(J4:J5)</f>
        <v>17371078.780000027</v>
      </c>
      <c r="K6" s="268">
        <f t="shared" si="1"/>
        <v>7.6780899574184973</v>
      </c>
    </row>
    <row r="7" spans="1:11" ht="24.95" customHeight="1" thickTop="1" thickBot="1" x14ac:dyDescent="0.3">
      <c r="A7" s="257" t="s">
        <v>124</v>
      </c>
      <c r="B7" s="258">
        <v>0</v>
      </c>
      <c r="C7" s="269" t="s">
        <v>125</v>
      </c>
      <c r="D7" s="258">
        <v>118923608.39</v>
      </c>
      <c r="E7" s="260">
        <v>26551565.379999999</v>
      </c>
      <c r="F7" s="260">
        <v>4574.8599999999997</v>
      </c>
      <c r="G7" s="251">
        <f>B7+D7-E7-F7</f>
        <v>92367468.150000006</v>
      </c>
      <c r="H7" s="262">
        <v>92367468.150000006</v>
      </c>
      <c r="I7" s="263">
        <f t="shared" si="0"/>
        <v>100</v>
      </c>
      <c r="J7" s="264">
        <f>G7-H7</f>
        <v>0</v>
      </c>
      <c r="K7" s="260">
        <f t="shared" si="1"/>
        <v>0</v>
      </c>
    </row>
    <row r="8" spans="1:11" ht="24.95" customHeight="1" thickTop="1" thickBot="1" x14ac:dyDescent="0.3">
      <c r="A8" s="265" t="s">
        <v>126</v>
      </c>
      <c r="B8" s="266">
        <f>SUM(B7:B7)</f>
        <v>0</v>
      </c>
      <c r="C8" s="266"/>
      <c r="D8" s="266">
        <f>SUM(D7:D7)</f>
        <v>118923608.39</v>
      </c>
      <c r="E8" s="266">
        <f>SUM(E7:E7)</f>
        <v>26551565.379999999</v>
      </c>
      <c r="F8" s="266">
        <f>SUM(F7:F7)</f>
        <v>4574.8599999999997</v>
      </c>
      <c r="G8" s="266">
        <f>SUM(G7:G7)</f>
        <v>92367468.150000006</v>
      </c>
      <c r="H8" s="266">
        <f>SUM(H7:H7)</f>
        <v>92367468.150000006</v>
      </c>
      <c r="I8" s="267">
        <f t="shared" si="0"/>
        <v>100</v>
      </c>
      <c r="J8" s="266">
        <f>SUM(J7:J7)</f>
        <v>0</v>
      </c>
      <c r="K8" s="268">
        <f t="shared" si="1"/>
        <v>0</v>
      </c>
    </row>
    <row r="9" spans="1:11" ht="24.95" customHeight="1" thickTop="1" thickBot="1" x14ac:dyDescent="0.3">
      <c r="A9" s="270" t="s">
        <v>36</v>
      </c>
      <c r="B9" s="271">
        <f>SUM(B8,B6)</f>
        <v>2698662.3100000015</v>
      </c>
      <c r="C9" s="271"/>
      <c r="D9" s="271">
        <f>SUM(D8,D6)</f>
        <v>370477891.71000004</v>
      </c>
      <c r="E9" s="271">
        <f>SUM(E8,E6)</f>
        <v>53840961.409999996</v>
      </c>
      <c r="F9" s="271">
        <f>SUM(F8,F6)</f>
        <v>725935.63</v>
      </c>
      <c r="G9" s="271">
        <f>SUM(G8,G6)</f>
        <v>318609656.98000002</v>
      </c>
      <c r="H9" s="271">
        <f>SUM(H8,H6)</f>
        <v>301238578.20000005</v>
      </c>
      <c r="I9" s="272">
        <f t="shared" si="0"/>
        <v>94.547849257095677</v>
      </c>
      <c r="J9" s="271">
        <f>SUM(J8,J6)</f>
        <v>17371078.780000027</v>
      </c>
      <c r="K9" s="273">
        <f t="shared" si="1"/>
        <v>5.4521507429043359</v>
      </c>
    </row>
    <row r="10" spans="1:11" ht="24.95" customHeight="1" thickTop="1" x14ac:dyDescent="0.25">
      <c r="A10" s="274" t="s">
        <v>37</v>
      </c>
      <c r="C10" s="242"/>
      <c r="D10" s="188"/>
      <c r="E10" s="188"/>
      <c r="F10" s="188"/>
      <c r="G10" s="188"/>
      <c r="H10" s="188"/>
      <c r="I10" s="188"/>
      <c r="J10" s="275"/>
      <c r="K10" s="276"/>
    </row>
    <row r="11" spans="1:11" ht="24.95" customHeight="1" x14ac:dyDescent="0.25">
      <c r="A11" s="277" t="s">
        <v>127</v>
      </c>
      <c r="B11" s="163"/>
      <c r="C11" s="242"/>
      <c r="D11" s="188"/>
      <c r="E11" s="188"/>
      <c r="F11" s="188"/>
      <c r="G11" s="188"/>
      <c r="H11" s="188"/>
      <c r="I11" s="188"/>
      <c r="J11" s="275"/>
      <c r="K11" s="276"/>
    </row>
    <row r="12" spans="1:11" ht="24.95" customHeight="1" x14ac:dyDescent="0.25">
      <c r="A12" s="277"/>
      <c r="B12" s="242" t="s">
        <v>128</v>
      </c>
      <c r="C12" s="188">
        <v>17339758.410000026</v>
      </c>
      <c r="D12" s="188" t="s">
        <v>129</v>
      </c>
      <c r="E12" s="188"/>
      <c r="F12" s="188"/>
      <c r="G12" s="188"/>
      <c r="H12" s="188"/>
      <c r="I12" s="188"/>
      <c r="J12" s="275"/>
    </row>
    <row r="13" spans="1:11" ht="24.95" customHeight="1" x14ac:dyDescent="0.25">
      <c r="A13" s="277"/>
      <c r="B13" s="242" t="s">
        <v>130</v>
      </c>
      <c r="C13" s="188">
        <v>3695.34</v>
      </c>
      <c r="D13" s="188" t="s">
        <v>131</v>
      </c>
      <c r="E13" s="188"/>
      <c r="F13" s="188"/>
      <c r="G13" s="188"/>
      <c r="H13" s="188"/>
      <c r="I13" s="188"/>
      <c r="J13" s="275"/>
    </row>
    <row r="14" spans="1:11" ht="24.95" customHeight="1" x14ac:dyDescent="0.25">
      <c r="A14" s="277"/>
      <c r="B14" s="242" t="s">
        <v>132</v>
      </c>
      <c r="C14" s="188">
        <v>496779.68</v>
      </c>
      <c r="D14" s="188" t="s">
        <v>133</v>
      </c>
      <c r="E14" s="188"/>
      <c r="F14" s="188"/>
      <c r="G14" s="188"/>
      <c r="H14" s="188"/>
      <c r="I14" s="188"/>
      <c r="J14" s="275"/>
    </row>
    <row r="15" spans="1:11" ht="24.95" customHeight="1" x14ac:dyDescent="0.25">
      <c r="A15" s="277"/>
      <c r="B15" s="242" t="s">
        <v>134</v>
      </c>
      <c r="C15" s="188">
        <v>16839283.390000012</v>
      </c>
      <c r="D15" s="188" t="s">
        <v>133</v>
      </c>
      <c r="E15" s="188"/>
      <c r="F15" s="188"/>
      <c r="G15" s="188"/>
      <c r="H15" s="188"/>
      <c r="I15" s="188"/>
      <c r="J15" s="275"/>
    </row>
    <row r="16" spans="1:11" ht="24.95" customHeight="1" x14ac:dyDescent="0.25">
      <c r="D16" s="188"/>
      <c r="E16" s="188"/>
      <c r="F16" s="188"/>
      <c r="G16" s="188"/>
      <c r="H16" s="188"/>
      <c r="I16" s="188"/>
      <c r="J16" s="275"/>
    </row>
    <row r="17" spans="1:11" ht="24.95" customHeight="1" x14ac:dyDescent="0.25">
      <c r="A17" s="277" t="s">
        <v>135</v>
      </c>
      <c r="B17" s="242" t="s">
        <v>128</v>
      </c>
      <c r="C17" s="188">
        <v>31320.37</v>
      </c>
      <c r="D17" s="188" t="s">
        <v>136</v>
      </c>
      <c r="E17" s="188"/>
      <c r="F17" s="188"/>
      <c r="G17" s="188"/>
      <c r="H17" s="188"/>
      <c r="I17" s="188"/>
      <c r="J17" s="275"/>
    </row>
    <row r="18" spans="1:11" ht="24.95" customHeight="1" x14ac:dyDescent="0.25">
      <c r="B18" s="242" t="s">
        <v>137</v>
      </c>
      <c r="C18" s="188">
        <v>2818.84</v>
      </c>
      <c r="D18" s="188" t="s">
        <v>136</v>
      </c>
      <c r="E18" s="188"/>
      <c r="F18" s="188"/>
      <c r="G18" s="188"/>
      <c r="H18" s="188"/>
      <c r="I18" s="188"/>
      <c r="J18" s="275"/>
    </row>
    <row r="19" spans="1:11" ht="24.95" customHeight="1" x14ac:dyDescent="0.25">
      <c r="B19" s="242" t="s">
        <v>138</v>
      </c>
      <c r="C19" s="188">
        <v>28501.53</v>
      </c>
      <c r="D19" s="188" t="s">
        <v>139</v>
      </c>
      <c r="E19" s="188"/>
      <c r="F19" s="188"/>
      <c r="G19" s="188"/>
      <c r="H19" s="188"/>
      <c r="I19" s="275"/>
    </row>
    <row r="20" spans="1:11" ht="24.95" customHeight="1" x14ac:dyDescent="0.25">
      <c r="A20" s="277"/>
      <c r="D20" s="275"/>
    </row>
    <row r="21" spans="1:11" ht="24.95" customHeight="1" x14ac:dyDescent="0.25">
      <c r="A21" s="163"/>
      <c r="B21" s="902" t="s">
        <v>351</v>
      </c>
      <c r="C21" s="902"/>
      <c r="D21" s="902"/>
      <c r="E21" s="902"/>
      <c r="F21" s="902"/>
      <c r="G21" s="902"/>
      <c r="H21" s="902"/>
      <c r="I21" s="902"/>
      <c r="J21" s="902"/>
      <c r="K21" s="902"/>
    </row>
    <row r="22" spans="1:11" ht="24.95" customHeight="1" thickBot="1" x14ac:dyDescent="0.3">
      <c r="A22" s="242"/>
      <c r="B22" s="188"/>
      <c r="D22" s="188"/>
      <c r="E22" s="188"/>
      <c r="F22" s="188"/>
      <c r="G22" s="188"/>
      <c r="H22" s="243"/>
      <c r="I22" s="244"/>
      <c r="J22" s="188"/>
    </row>
    <row r="23" spans="1:11" ht="63.75" thickBot="1" x14ac:dyDescent="0.3">
      <c r="A23" s="245" t="s">
        <v>352</v>
      </c>
      <c r="B23" s="246" t="s">
        <v>111</v>
      </c>
      <c r="C23" s="247" t="s">
        <v>112</v>
      </c>
      <c r="D23" s="247" t="s">
        <v>113</v>
      </c>
      <c r="E23" s="247" t="s">
        <v>114</v>
      </c>
      <c r="F23" s="247" t="s">
        <v>115</v>
      </c>
      <c r="G23" s="246" t="s">
        <v>116</v>
      </c>
      <c r="H23" s="246" t="s">
        <v>117</v>
      </c>
      <c r="I23" s="246" t="s">
        <v>118</v>
      </c>
      <c r="J23" s="246" t="s">
        <v>119</v>
      </c>
      <c r="K23" s="247" t="s">
        <v>120</v>
      </c>
    </row>
    <row r="24" spans="1:11" ht="24.95" customHeight="1" x14ac:dyDescent="0.25">
      <c r="A24" s="248" t="s">
        <v>47</v>
      </c>
      <c r="B24" s="249">
        <v>17339758.410000026</v>
      </c>
      <c r="C24" s="250" t="s">
        <v>353</v>
      </c>
      <c r="D24" s="251">
        <v>297325084.81999999</v>
      </c>
      <c r="E24" s="252">
        <v>49892310.280000001</v>
      </c>
      <c r="F24" s="252">
        <v>700643.37000000011</v>
      </c>
      <c r="G24" s="251">
        <f>B24+D24-E24-F24</f>
        <v>264071889.58000001</v>
      </c>
      <c r="H24" s="253">
        <f>221678650.87+35889695.52</f>
        <v>257568346.39000002</v>
      </c>
      <c r="I24" s="254">
        <f t="shared" ref="I24:I29" si="2">H24/G24*100</f>
        <v>97.537207311106172</v>
      </c>
      <c r="J24" s="255">
        <f>G24-H24</f>
        <v>6503543.1899999976</v>
      </c>
      <c r="K24" s="256">
        <f t="shared" ref="K24:K29" si="3">J24/G24*100</f>
        <v>2.4627926888938183</v>
      </c>
    </row>
    <row r="25" spans="1:11" ht="24.95" customHeight="1" thickBot="1" x14ac:dyDescent="0.3">
      <c r="A25" s="257" t="s">
        <v>122</v>
      </c>
      <c r="B25" s="258">
        <v>31320.370000000345</v>
      </c>
      <c r="C25" s="259" t="s">
        <v>353</v>
      </c>
      <c r="D25" s="258">
        <v>2287641.5099999998</v>
      </c>
      <c r="E25" s="260">
        <v>166832.62</v>
      </c>
      <c r="F25" s="260">
        <v>122775.96</v>
      </c>
      <c r="G25" s="261">
        <f>B25+D25-E25-F25</f>
        <v>2029353.2999999998</v>
      </c>
      <c r="H25" s="262">
        <v>2009934.68</v>
      </c>
      <c r="I25" s="263">
        <f t="shared" si="2"/>
        <v>99.043112897098808</v>
      </c>
      <c r="J25" s="264">
        <f>G25-H25</f>
        <v>19418.619999999879</v>
      </c>
      <c r="K25" s="260">
        <f t="shared" si="3"/>
        <v>0.95688710290119916</v>
      </c>
    </row>
    <row r="26" spans="1:11" ht="24.95" customHeight="1" thickTop="1" thickBot="1" x14ac:dyDescent="0.3">
      <c r="A26" s="265" t="s">
        <v>123</v>
      </c>
      <c r="B26" s="266">
        <v>17371078.780000027</v>
      </c>
      <c r="C26" s="266"/>
      <c r="D26" s="266">
        <f>SUM(D24:D25)</f>
        <v>299612726.32999998</v>
      </c>
      <c r="E26" s="266">
        <f>SUM(E24:E25)</f>
        <v>50059142.899999999</v>
      </c>
      <c r="F26" s="266">
        <f>SUM(F24:F25)</f>
        <v>823419.33000000007</v>
      </c>
      <c r="G26" s="266">
        <f>B26+D26-E26-F26</f>
        <v>266101242.88</v>
      </c>
      <c r="H26" s="266">
        <f>H24+H25</f>
        <v>259578281.07000002</v>
      </c>
      <c r="I26" s="267">
        <f t="shared" si="2"/>
        <v>97.548691716204587</v>
      </c>
      <c r="J26" s="266">
        <f>J24+J25</f>
        <v>6522961.8099999977</v>
      </c>
      <c r="K26" s="268">
        <f t="shared" si="3"/>
        <v>2.4513082837954152</v>
      </c>
    </row>
    <row r="27" spans="1:11" ht="24.95" customHeight="1" thickTop="1" thickBot="1" x14ac:dyDescent="0.3">
      <c r="A27" s="257" t="s">
        <v>124</v>
      </c>
      <c r="B27" s="258">
        <v>0</v>
      </c>
      <c r="C27" s="269" t="s">
        <v>461</v>
      </c>
      <c r="D27" s="258">
        <v>121684320.00999999</v>
      </c>
      <c r="E27" s="260">
        <v>11033310</v>
      </c>
      <c r="F27" s="550">
        <v>0</v>
      </c>
      <c r="G27" s="251">
        <f>B27+D27-E27-F27</f>
        <v>110651010.00999999</v>
      </c>
      <c r="H27" s="262">
        <f>[4]STL!$I$211+[4]STL!$I$156</f>
        <v>110651010.00999999</v>
      </c>
      <c r="I27" s="263">
        <f t="shared" si="2"/>
        <v>100</v>
      </c>
      <c r="J27" s="264">
        <f>G27-H27</f>
        <v>0</v>
      </c>
      <c r="K27" s="260">
        <f t="shared" si="3"/>
        <v>0</v>
      </c>
    </row>
    <row r="28" spans="1:11" ht="24.95" customHeight="1" thickTop="1" thickBot="1" x14ac:dyDescent="0.3">
      <c r="A28" s="265" t="s">
        <v>126</v>
      </c>
      <c r="B28" s="266">
        <v>0</v>
      </c>
      <c r="C28" s="266"/>
      <c r="D28" s="266">
        <f>SUM(D27:D27)</f>
        <v>121684320.00999999</v>
      </c>
      <c r="E28" s="266">
        <f>SUM(E27:E27)</f>
        <v>11033310</v>
      </c>
      <c r="F28" s="266">
        <f>SUM(F27:F27)</f>
        <v>0</v>
      </c>
      <c r="G28" s="266">
        <f>SUM(G27:G27)</f>
        <v>110651010.00999999</v>
      </c>
      <c r="H28" s="266">
        <f>SUM(H27:H27)</f>
        <v>110651010.00999999</v>
      </c>
      <c r="I28" s="267">
        <f t="shared" si="2"/>
        <v>100</v>
      </c>
      <c r="J28" s="266">
        <f>SUM(J27:J27)</f>
        <v>0</v>
      </c>
      <c r="K28" s="268">
        <f t="shared" si="3"/>
        <v>0</v>
      </c>
    </row>
    <row r="29" spans="1:11" ht="24.95" customHeight="1" thickTop="1" thickBot="1" x14ac:dyDescent="0.3">
      <c r="A29" s="270" t="s">
        <v>36</v>
      </c>
      <c r="B29" s="271">
        <f>SUM(B28,B26)</f>
        <v>17371078.780000027</v>
      </c>
      <c r="C29" s="271"/>
      <c r="D29" s="271">
        <f>SUM(D28,D26)</f>
        <v>421297046.33999997</v>
      </c>
      <c r="E29" s="271">
        <f>SUM(E28,E26)</f>
        <v>61092452.899999999</v>
      </c>
      <c r="F29" s="271">
        <f>SUM(F28,F26)</f>
        <v>823419.33000000007</v>
      </c>
      <c r="G29" s="271">
        <f>SUM(G28,G26)</f>
        <v>376752252.88999999</v>
      </c>
      <c r="H29" s="271">
        <f>SUM(H28,H26)</f>
        <v>370229291.08000004</v>
      </c>
      <c r="I29" s="272">
        <f t="shared" si="2"/>
        <v>98.268633628607802</v>
      </c>
      <c r="J29" s="271">
        <f>SUM(J28,J26)</f>
        <v>6522961.8099999977</v>
      </c>
      <c r="K29" s="273">
        <f t="shared" si="3"/>
        <v>1.7313663713922105</v>
      </c>
    </row>
    <row r="30" spans="1:11" ht="24.95" customHeight="1" thickTop="1" x14ac:dyDescent="0.25">
      <c r="B30" s="188"/>
      <c r="D30" s="188"/>
      <c r="E30" s="188"/>
      <c r="F30" s="188"/>
      <c r="G30" s="188"/>
      <c r="H30" s="188"/>
      <c r="I30" s="275"/>
    </row>
    <row r="31" spans="1:11" ht="24.95" customHeight="1" x14ac:dyDescent="0.25">
      <c r="A31" s="274" t="s">
        <v>37</v>
      </c>
      <c r="D31" s="188"/>
      <c r="E31" s="188"/>
      <c r="F31" s="188"/>
      <c r="G31" s="188"/>
      <c r="H31" s="188"/>
      <c r="I31" s="275"/>
      <c r="J31" s="276"/>
    </row>
    <row r="32" spans="1:11" ht="24.95" customHeight="1" x14ac:dyDescent="0.25">
      <c r="A32" s="277" t="s">
        <v>127</v>
      </c>
      <c r="D32" s="188"/>
      <c r="E32" s="188"/>
      <c r="F32" s="188"/>
      <c r="G32" s="188"/>
      <c r="H32" s="188"/>
      <c r="I32" s="275"/>
      <c r="J32" s="276"/>
    </row>
    <row r="33" spans="1:11" ht="24.95" customHeight="1" x14ac:dyDescent="0.25">
      <c r="A33" s="277"/>
      <c r="B33" s="242" t="s">
        <v>128</v>
      </c>
      <c r="C33" s="188">
        <f>SUM(C34:C36)</f>
        <v>6503543.1900000004</v>
      </c>
      <c r="D33" s="188" t="s">
        <v>129</v>
      </c>
      <c r="E33" s="188"/>
      <c r="F33" s="188"/>
      <c r="G33" s="188"/>
      <c r="H33" s="188"/>
      <c r="I33" s="275"/>
    </row>
    <row r="34" spans="1:11" ht="24.95" customHeight="1" x14ac:dyDescent="0.25">
      <c r="A34" s="277"/>
      <c r="B34" s="242" t="s">
        <v>130</v>
      </c>
      <c r="C34" s="188">
        <v>3695.34</v>
      </c>
      <c r="D34" s="188" t="s">
        <v>131</v>
      </c>
      <c r="E34" s="188"/>
      <c r="F34" s="188"/>
      <c r="G34" s="188"/>
      <c r="H34" s="188"/>
      <c r="I34" s="275"/>
    </row>
    <row r="35" spans="1:11" ht="24.95" customHeight="1" x14ac:dyDescent="0.25">
      <c r="A35" s="277"/>
      <c r="B35" s="242" t="s">
        <v>355</v>
      </c>
      <c r="C35" s="188">
        <v>7629.78</v>
      </c>
      <c r="D35" s="188" t="s">
        <v>356</v>
      </c>
      <c r="E35" s="188"/>
      <c r="F35" s="188"/>
      <c r="G35" s="188"/>
      <c r="H35" s="188"/>
      <c r="I35" s="275"/>
    </row>
    <row r="36" spans="1:11" ht="24.95" customHeight="1" x14ac:dyDescent="0.25">
      <c r="A36" s="277"/>
      <c r="B36" s="242" t="s">
        <v>357</v>
      </c>
      <c r="C36" s="188">
        <v>6492218.0700000003</v>
      </c>
      <c r="D36" s="188" t="s">
        <v>356</v>
      </c>
      <c r="E36" s="188"/>
      <c r="F36" s="188"/>
      <c r="G36" s="188"/>
      <c r="H36" s="188"/>
      <c r="I36" s="275"/>
    </row>
    <row r="37" spans="1:11" ht="24.95" customHeight="1" x14ac:dyDescent="0.25">
      <c r="D37" s="188"/>
      <c r="E37" s="188"/>
      <c r="F37" s="188"/>
      <c r="G37" s="188"/>
      <c r="H37" s="188"/>
      <c r="I37" s="275"/>
    </row>
    <row r="38" spans="1:11" ht="24.95" customHeight="1" x14ac:dyDescent="0.25">
      <c r="A38" s="277" t="s">
        <v>135</v>
      </c>
      <c r="B38" s="242" t="s">
        <v>128</v>
      </c>
      <c r="C38" s="188">
        <v>19418.62</v>
      </c>
      <c r="D38" s="188" t="s">
        <v>136</v>
      </c>
      <c r="E38" s="188"/>
      <c r="F38" s="188"/>
      <c r="G38" s="188"/>
      <c r="H38" s="188"/>
      <c r="I38" s="275"/>
    </row>
    <row r="39" spans="1:11" ht="24.95" customHeight="1" x14ac:dyDescent="0.25">
      <c r="B39" s="242" t="s">
        <v>358</v>
      </c>
      <c r="C39" s="188">
        <v>19418.62</v>
      </c>
      <c r="D39" s="188" t="s">
        <v>359</v>
      </c>
      <c r="E39" s="188"/>
      <c r="F39" s="188"/>
      <c r="G39" s="188"/>
      <c r="H39" s="275"/>
    </row>
    <row r="40" spans="1:11" ht="24.95" customHeight="1" x14ac:dyDescent="0.25">
      <c r="D40" s="275"/>
    </row>
    <row r="41" spans="1:11" ht="24.95" customHeight="1" x14ac:dyDescent="0.25">
      <c r="A41" s="163"/>
      <c r="B41" s="902" t="s">
        <v>419</v>
      </c>
      <c r="C41" s="902"/>
      <c r="D41" s="902"/>
      <c r="E41" s="902"/>
      <c r="F41" s="902"/>
      <c r="G41" s="902"/>
      <c r="H41" s="902"/>
      <c r="I41" s="902"/>
      <c r="J41" s="902"/>
      <c r="K41" s="902"/>
    </row>
    <row r="42" spans="1:11" ht="24.95" customHeight="1" thickBot="1" x14ac:dyDescent="0.3">
      <c r="A42" s="242"/>
      <c r="B42" s="188"/>
      <c r="D42" s="188"/>
      <c r="E42" s="188"/>
      <c r="F42" s="188"/>
      <c r="G42" s="188"/>
      <c r="H42" s="243"/>
      <c r="I42" s="244"/>
      <c r="J42" s="188"/>
    </row>
    <row r="43" spans="1:11" ht="63.75" thickBot="1" x14ac:dyDescent="0.3">
      <c r="A43" s="245" t="s">
        <v>420</v>
      </c>
      <c r="B43" s="246" t="s">
        <v>111</v>
      </c>
      <c r="C43" s="247" t="s">
        <v>112</v>
      </c>
      <c r="D43" s="247" t="s">
        <v>113</v>
      </c>
      <c r="E43" s="247" t="s">
        <v>114</v>
      </c>
      <c r="F43" s="247" t="s">
        <v>115</v>
      </c>
      <c r="G43" s="246" t="s">
        <v>116</v>
      </c>
      <c r="H43" s="246" t="s">
        <v>117</v>
      </c>
      <c r="I43" s="246" t="s">
        <v>118</v>
      </c>
      <c r="J43" s="246" t="s">
        <v>119</v>
      </c>
      <c r="K43" s="247" t="s">
        <v>120</v>
      </c>
    </row>
    <row r="44" spans="1:11" ht="24.95" customHeight="1" x14ac:dyDescent="0.25">
      <c r="A44" s="248" t="s">
        <v>47</v>
      </c>
      <c r="B44" s="249">
        <v>6503543.1899999976</v>
      </c>
      <c r="C44" s="250" t="s">
        <v>353</v>
      </c>
      <c r="D44" s="251">
        <v>184221742.69</v>
      </c>
      <c r="E44" s="252">
        <v>22236080.48</v>
      </c>
      <c r="F44" s="252">
        <v>1363544.1</v>
      </c>
      <c r="G44" s="251">
        <f>B44+D44-E44-F44</f>
        <v>167125661.30000001</v>
      </c>
      <c r="H44" s="253">
        <v>159740848.67000005</v>
      </c>
      <c r="I44" s="254">
        <f t="shared" ref="I44:I49" si="4">H44/G44*100</f>
        <v>95.581281430657256</v>
      </c>
      <c r="J44" s="255">
        <f>G44-H44</f>
        <v>7384812.6299999654</v>
      </c>
      <c r="K44" s="256">
        <f t="shared" ref="K44:K49" si="5">J44/G44*100</f>
        <v>4.4187185693427473</v>
      </c>
    </row>
    <row r="45" spans="1:11" ht="24.95" customHeight="1" thickBot="1" x14ac:dyDescent="0.3">
      <c r="A45" s="257" t="s">
        <v>122</v>
      </c>
      <c r="B45" s="258">
        <v>19418.619999999879</v>
      </c>
      <c r="C45" s="259" t="s">
        <v>353</v>
      </c>
      <c r="D45" s="258">
        <v>1865755.82</v>
      </c>
      <c r="E45" s="260">
        <v>257348.31</v>
      </c>
      <c r="F45" s="260">
        <v>52931.49</v>
      </c>
      <c r="G45" s="261">
        <f>B45+D45-E45-F45</f>
        <v>1574894.64</v>
      </c>
      <c r="H45" s="262">
        <v>1532612.1400000001</v>
      </c>
      <c r="I45" s="263">
        <f t="shared" si="4"/>
        <v>97.31521722621396</v>
      </c>
      <c r="J45" s="264">
        <f>G45-H45</f>
        <v>42282.499999999767</v>
      </c>
      <c r="K45" s="260">
        <f t="shared" si="5"/>
        <v>2.6847827737860466</v>
      </c>
    </row>
    <row r="46" spans="1:11" ht="24.95" customHeight="1" thickTop="1" thickBot="1" x14ac:dyDescent="0.3">
      <c r="A46" s="265" t="s">
        <v>123</v>
      </c>
      <c r="B46" s="266">
        <f>SUM(B44:B45)</f>
        <v>6522961.8099999977</v>
      </c>
      <c r="C46" s="266"/>
      <c r="D46" s="266">
        <f>SUM(D44:D45)</f>
        <v>186087498.50999999</v>
      </c>
      <c r="E46" s="266">
        <f>SUM(E44:E45)</f>
        <v>22493428.789999999</v>
      </c>
      <c r="F46" s="266">
        <f>SUM(F44:F45)</f>
        <v>1416475.59</v>
      </c>
      <c r="G46" s="266">
        <f>B46+D46-E46-F46</f>
        <v>168700555.94</v>
      </c>
      <c r="H46" s="266">
        <f>H44+H45</f>
        <v>161273460.81000003</v>
      </c>
      <c r="I46" s="267">
        <f t="shared" si="4"/>
        <v>95.597468491661942</v>
      </c>
      <c r="J46" s="266">
        <f>SUM(J44:J45)</f>
        <v>7427095.1299999654</v>
      </c>
      <c r="K46" s="268">
        <f t="shared" si="5"/>
        <v>4.402531508338055</v>
      </c>
    </row>
    <row r="47" spans="1:11" ht="24.95" customHeight="1" thickTop="1" thickBot="1" x14ac:dyDescent="0.3">
      <c r="A47" s="257" t="s">
        <v>124</v>
      </c>
      <c r="B47" s="258">
        <v>0</v>
      </c>
      <c r="C47" s="269" t="s">
        <v>354</v>
      </c>
      <c r="D47" s="258">
        <v>42150519.200000003</v>
      </c>
      <c r="E47" s="260">
        <v>7369093.6299999999</v>
      </c>
      <c r="F47" s="550">
        <v>0</v>
      </c>
      <c r="G47" s="251">
        <f>B47+D47-E47-F47</f>
        <v>34781425.57</v>
      </c>
      <c r="H47" s="262">
        <v>32086358.48</v>
      </c>
      <c r="I47" s="263">
        <f t="shared" si="4"/>
        <v>92.251418549317393</v>
      </c>
      <c r="J47" s="264">
        <f>G47-H47</f>
        <v>2695067.09</v>
      </c>
      <c r="K47" s="260">
        <f t="shared" si="5"/>
        <v>7.7485814506826154</v>
      </c>
    </row>
    <row r="48" spans="1:11" ht="24.95" customHeight="1" thickTop="1" thickBot="1" x14ac:dyDescent="0.3">
      <c r="A48" s="265" t="s">
        <v>126</v>
      </c>
      <c r="B48" s="266">
        <v>0</v>
      </c>
      <c r="C48" s="266"/>
      <c r="D48" s="266">
        <f>SUM(D47:D47)</f>
        <v>42150519.200000003</v>
      </c>
      <c r="E48" s="266">
        <f>SUM(E47:E47)</f>
        <v>7369093.6299999999</v>
      </c>
      <c r="F48" s="266">
        <f>SUM(F47:F47)</f>
        <v>0</v>
      </c>
      <c r="G48" s="266">
        <f>SUM(G47:G47)</f>
        <v>34781425.57</v>
      </c>
      <c r="H48" s="266">
        <f>SUM(H47:H47)</f>
        <v>32086358.48</v>
      </c>
      <c r="I48" s="267">
        <f t="shared" si="4"/>
        <v>92.251418549317393</v>
      </c>
      <c r="J48" s="266">
        <f>SUM(J47:J47)</f>
        <v>2695067.09</v>
      </c>
      <c r="K48" s="268">
        <f t="shared" si="5"/>
        <v>7.7485814506826154</v>
      </c>
    </row>
    <row r="49" spans="1:11" ht="24.95" customHeight="1" thickTop="1" thickBot="1" x14ac:dyDescent="0.3">
      <c r="A49" s="270" t="s">
        <v>36</v>
      </c>
      <c r="B49" s="271">
        <f>SUM(B48,B46)</f>
        <v>6522961.8099999977</v>
      </c>
      <c r="C49" s="271"/>
      <c r="D49" s="271">
        <f>SUM(D48,D46)</f>
        <v>228238017.70999998</v>
      </c>
      <c r="E49" s="271">
        <f>SUM(E48,E46)</f>
        <v>29862522.419999998</v>
      </c>
      <c r="F49" s="271">
        <f>SUM(F48,F46)</f>
        <v>1416475.59</v>
      </c>
      <c r="G49" s="271">
        <f>SUM(G48,G46)</f>
        <v>203481981.50999999</v>
      </c>
      <c r="H49" s="271">
        <f>SUM(H48,H46)</f>
        <v>193359819.29000002</v>
      </c>
      <c r="I49" s="272">
        <f t="shared" si="4"/>
        <v>95.025524056289711</v>
      </c>
      <c r="J49" s="271">
        <f>SUM(J48,J46)</f>
        <v>10122162.219999965</v>
      </c>
      <c r="K49" s="273">
        <f t="shared" si="5"/>
        <v>4.9744759437102877</v>
      </c>
    </row>
    <row r="50" spans="1:11" ht="24.95" customHeight="1" thickTop="1" x14ac:dyDescent="0.25">
      <c r="B50" s="188"/>
      <c r="D50" s="188"/>
      <c r="E50" s="188"/>
      <c r="F50" s="188"/>
      <c r="G50" s="188"/>
      <c r="H50" s="188"/>
      <c r="I50" s="275"/>
    </row>
    <row r="51" spans="1:11" ht="24.95" customHeight="1" x14ac:dyDescent="0.25">
      <c r="A51" s="274" t="s">
        <v>37</v>
      </c>
      <c r="D51" s="188"/>
      <c r="E51" s="188"/>
      <c r="F51" s="188"/>
      <c r="G51" s="188"/>
      <c r="H51" s="188"/>
      <c r="I51" s="275"/>
      <c r="J51" s="276"/>
    </row>
    <row r="52" spans="1:11" ht="24.95" customHeight="1" x14ac:dyDescent="0.25">
      <c r="A52" s="277" t="s">
        <v>127</v>
      </c>
      <c r="D52" s="188"/>
      <c r="E52" s="188"/>
      <c r="F52" s="188"/>
      <c r="G52" s="188"/>
      <c r="H52" s="188"/>
      <c r="I52" s="275"/>
      <c r="J52" s="276"/>
    </row>
    <row r="53" spans="1:11" ht="24.95" customHeight="1" x14ac:dyDescent="0.25">
      <c r="A53" s="277"/>
      <c r="B53" s="242" t="s">
        <v>128</v>
      </c>
      <c r="C53" s="188">
        <f>SUM(C54:C56)</f>
        <v>7384812.6299999999</v>
      </c>
      <c r="D53" s="188" t="s">
        <v>129</v>
      </c>
      <c r="E53" s="188"/>
      <c r="F53" s="188"/>
      <c r="G53" s="188"/>
      <c r="H53" s="188"/>
      <c r="I53" s="275"/>
    </row>
    <row r="54" spans="1:11" ht="24.95" customHeight="1" x14ac:dyDescent="0.25">
      <c r="A54" s="277"/>
      <c r="B54" s="242" t="s">
        <v>130</v>
      </c>
      <c r="C54" s="188">
        <v>3695.34</v>
      </c>
      <c r="D54" s="188" t="s">
        <v>131</v>
      </c>
      <c r="E54" s="188"/>
      <c r="F54" s="188"/>
      <c r="G54" s="188"/>
      <c r="H54" s="188"/>
      <c r="I54" s="275"/>
    </row>
    <row r="55" spans="1:11" ht="24.95" customHeight="1" x14ac:dyDescent="0.25">
      <c r="A55" s="277"/>
      <c r="B55" s="242" t="s">
        <v>421</v>
      </c>
      <c r="C55" s="188">
        <v>6344.24</v>
      </c>
      <c r="D55" s="188" t="s">
        <v>131</v>
      </c>
      <c r="E55" s="188"/>
      <c r="F55" s="188"/>
      <c r="G55" s="188"/>
      <c r="H55" s="188"/>
      <c r="I55" s="275"/>
    </row>
    <row r="56" spans="1:11" ht="24.95" customHeight="1" x14ac:dyDescent="0.25">
      <c r="A56" s="277"/>
      <c r="B56" s="242" t="s">
        <v>357</v>
      </c>
      <c r="C56" s="188">
        <v>7374773.0499999998</v>
      </c>
      <c r="D56" s="188" t="s">
        <v>422</v>
      </c>
      <c r="E56" s="188"/>
      <c r="F56" s="188"/>
      <c r="G56" s="188"/>
      <c r="H56" s="188"/>
      <c r="I56" s="275"/>
    </row>
    <row r="57" spans="1:11" ht="24.95" customHeight="1" x14ac:dyDescent="0.25">
      <c r="D57" s="188"/>
      <c r="E57" s="188"/>
      <c r="F57" s="188"/>
      <c r="G57" s="188"/>
      <c r="H57" s="188"/>
      <c r="I57" s="275"/>
    </row>
    <row r="58" spans="1:11" ht="24.95" customHeight="1" x14ac:dyDescent="0.25">
      <c r="A58" s="277" t="s">
        <v>135</v>
      </c>
      <c r="B58" s="242" t="s">
        <v>128</v>
      </c>
      <c r="C58" s="188">
        <v>42282.5</v>
      </c>
      <c r="D58" s="188" t="s">
        <v>136</v>
      </c>
      <c r="E58" s="188"/>
      <c r="F58" s="188"/>
      <c r="G58" s="188"/>
      <c r="H58" s="188"/>
      <c r="I58" s="275"/>
    </row>
    <row r="59" spans="1:11" ht="24.95" customHeight="1" x14ac:dyDescent="0.25">
      <c r="B59" s="242" t="s">
        <v>423</v>
      </c>
      <c r="C59" s="188">
        <v>42282.5</v>
      </c>
      <c r="D59" s="188" t="s">
        <v>424</v>
      </c>
      <c r="E59" s="188"/>
      <c r="F59" s="188"/>
      <c r="G59" s="188"/>
      <c r="H59" s="275"/>
    </row>
    <row r="60" spans="1:11" ht="24.95" customHeight="1" x14ac:dyDescent="0.25">
      <c r="D60" s="188"/>
      <c r="E60" s="188"/>
      <c r="F60" s="188"/>
      <c r="G60" s="188"/>
      <c r="H60" s="188"/>
      <c r="I60" s="275"/>
    </row>
    <row r="61" spans="1:11" ht="24.95" customHeight="1" x14ac:dyDescent="0.25">
      <c r="A61" s="277" t="s">
        <v>425</v>
      </c>
      <c r="B61" s="242" t="s">
        <v>128</v>
      </c>
      <c r="C61" s="188">
        <v>2695067.09</v>
      </c>
      <c r="D61" s="188" t="s">
        <v>136</v>
      </c>
      <c r="E61" s="188"/>
      <c r="F61" s="188"/>
      <c r="G61" s="188"/>
      <c r="H61" s="188"/>
      <c r="I61" s="275"/>
    </row>
    <row r="62" spans="1:11" ht="24.95" customHeight="1" x14ac:dyDescent="0.25">
      <c r="B62" s="242" t="s">
        <v>426</v>
      </c>
      <c r="C62" s="188">
        <v>2695067.09</v>
      </c>
      <c r="D62" s="188" t="s">
        <v>424</v>
      </c>
      <c r="E62" s="188"/>
      <c r="F62" s="188"/>
      <c r="G62" s="188"/>
      <c r="H62" s="275"/>
    </row>
    <row r="63" spans="1:11" ht="24.95" customHeight="1" x14ac:dyDescent="0.25">
      <c r="A63" s="274"/>
      <c r="C63" s="242"/>
      <c r="D63" s="275"/>
      <c r="E63" s="276"/>
    </row>
    <row r="64" spans="1:11" ht="24.95" customHeight="1" x14ac:dyDescent="0.25">
      <c r="A64" s="163"/>
      <c r="B64" s="902" t="s">
        <v>568</v>
      </c>
      <c r="C64" s="902"/>
      <c r="D64" s="902"/>
      <c r="E64" s="902"/>
      <c r="F64" s="902"/>
      <c r="G64" s="902"/>
      <c r="H64" s="902"/>
      <c r="I64" s="902"/>
      <c r="J64" s="902"/>
      <c r="K64" s="902"/>
    </row>
    <row r="65" spans="1:11" ht="24.95" customHeight="1" thickBot="1" x14ac:dyDescent="0.3">
      <c r="A65" s="242"/>
      <c r="B65" s="188"/>
      <c r="D65" s="188"/>
      <c r="E65" s="188"/>
      <c r="F65" s="188"/>
      <c r="G65" s="188"/>
      <c r="H65" s="243"/>
      <c r="I65" s="244"/>
      <c r="J65" s="188"/>
    </row>
    <row r="66" spans="1:11" ht="63.75" thickBot="1" x14ac:dyDescent="0.3">
      <c r="A66" s="245" t="s">
        <v>569</v>
      </c>
      <c r="B66" s="246" t="s">
        <v>111</v>
      </c>
      <c r="C66" s="247" t="s">
        <v>112</v>
      </c>
      <c r="D66" s="247" t="s">
        <v>113</v>
      </c>
      <c r="E66" s="247" t="s">
        <v>114</v>
      </c>
      <c r="F66" s="247" t="s">
        <v>115</v>
      </c>
      <c r="G66" s="246" t="s">
        <v>116</v>
      </c>
      <c r="H66" s="246" t="s">
        <v>117</v>
      </c>
      <c r="I66" s="246" t="s">
        <v>118</v>
      </c>
      <c r="J66" s="246" t="s">
        <v>119</v>
      </c>
      <c r="K66" s="247" t="s">
        <v>120</v>
      </c>
    </row>
    <row r="67" spans="1:11" ht="24.95" customHeight="1" x14ac:dyDescent="0.25">
      <c r="A67" s="248" t="s">
        <v>47</v>
      </c>
      <c r="B67" s="249">
        <f>J44</f>
        <v>7384812.6299999654</v>
      </c>
      <c r="C67" s="250" t="s">
        <v>570</v>
      </c>
      <c r="D67" s="251">
        <v>160691534.03</v>
      </c>
      <c r="E67" s="252">
        <v>25209195.920000002</v>
      </c>
      <c r="F67" s="252">
        <v>667180.78</v>
      </c>
      <c r="G67" s="251">
        <f>B67+D67-E67-F67</f>
        <v>142199969.95999995</v>
      </c>
      <c r="H67" s="253">
        <v>135518432.92000002</v>
      </c>
      <c r="I67" s="254">
        <f t="shared" ref="I67:I72" si="6">H67/G67*100</f>
        <v>95.301309105846215</v>
      </c>
      <c r="J67" s="255">
        <f>G67-H67</f>
        <v>6681537.0399999321</v>
      </c>
      <c r="K67" s="256">
        <f t="shared" ref="K67:K72" si="7">J67/G67*100</f>
        <v>4.698690894153783</v>
      </c>
    </row>
    <row r="68" spans="1:11" ht="24.95" customHeight="1" thickBot="1" x14ac:dyDescent="0.3">
      <c r="A68" s="257" t="s">
        <v>122</v>
      </c>
      <c r="B68" s="258">
        <f>J45</f>
        <v>42282.499999999767</v>
      </c>
      <c r="C68" s="595" t="s">
        <v>570</v>
      </c>
      <c r="D68" s="258">
        <v>1500872.98</v>
      </c>
      <c r="E68" s="260">
        <v>135284.32</v>
      </c>
      <c r="F68" s="260">
        <v>5637.67</v>
      </c>
      <c r="G68" s="261">
        <f>B68+D68-E68-F68</f>
        <v>1402233.4899999998</v>
      </c>
      <c r="H68" s="262">
        <v>1379682.8</v>
      </c>
      <c r="I68" s="263">
        <f t="shared" si="6"/>
        <v>98.39180206714363</v>
      </c>
      <c r="J68" s="264">
        <f>G68-H68</f>
        <v>22550.689999999711</v>
      </c>
      <c r="K68" s="260">
        <f t="shared" si="7"/>
        <v>1.6081979328563687</v>
      </c>
    </row>
    <row r="69" spans="1:11" ht="24.95" customHeight="1" thickTop="1" thickBot="1" x14ac:dyDescent="0.3">
      <c r="A69" s="265" t="s">
        <v>123</v>
      </c>
      <c r="B69" s="266">
        <f>SUM(B67:B68)</f>
        <v>7427095.1299999654</v>
      </c>
      <c r="C69" s="266"/>
      <c r="D69" s="266">
        <f>SUM(D67:D68)</f>
        <v>162192407.00999999</v>
      </c>
      <c r="E69" s="266">
        <f t="shared" ref="E69:F69" si="8">SUM(E67:E68)</f>
        <v>25344480.240000002</v>
      </c>
      <c r="F69" s="266">
        <f t="shared" si="8"/>
        <v>672818.45000000007</v>
      </c>
      <c r="G69" s="266">
        <f>B69+D69-E69-F69</f>
        <v>143602203.44999996</v>
      </c>
      <c r="H69" s="266">
        <f>H67+H68</f>
        <v>136898115.72000003</v>
      </c>
      <c r="I69" s="267">
        <f t="shared" si="6"/>
        <v>95.33148686514815</v>
      </c>
      <c r="J69" s="266">
        <f>J67+J68</f>
        <v>6704087.7299999315</v>
      </c>
      <c r="K69" s="268">
        <f t="shared" si="7"/>
        <v>4.6685131348518549</v>
      </c>
    </row>
    <row r="70" spans="1:11" ht="24.95" customHeight="1" thickTop="1" thickBot="1" x14ac:dyDescent="0.3">
      <c r="A70" s="257" t="s">
        <v>124</v>
      </c>
      <c r="B70" s="258">
        <v>2695067.09</v>
      </c>
      <c r="C70" s="269" t="s">
        <v>571</v>
      </c>
      <c r="D70" s="258">
        <v>32234246.449999999</v>
      </c>
      <c r="E70" s="260">
        <v>6516132.0999999996</v>
      </c>
      <c r="F70" s="550">
        <v>0</v>
      </c>
      <c r="G70" s="251">
        <f>B70+D70-E70-F70</f>
        <v>28413181.439999998</v>
      </c>
      <c r="H70" s="262">
        <f>12317983.86+16095197.58</f>
        <v>28413181.439999998</v>
      </c>
      <c r="I70" s="263">
        <f t="shared" si="6"/>
        <v>100</v>
      </c>
      <c r="J70" s="264">
        <f>G70-H70</f>
        <v>0</v>
      </c>
      <c r="K70" s="260">
        <f t="shared" si="7"/>
        <v>0</v>
      </c>
    </row>
    <row r="71" spans="1:11" ht="24.95" customHeight="1" thickTop="1" thickBot="1" x14ac:dyDescent="0.3">
      <c r="A71" s="265" t="s">
        <v>126</v>
      </c>
      <c r="B71" s="266">
        <f>SUM(B70)</f>
        <v>2695067.09</v>
      </c>
      <c r="C71" s="266"/>
      <c r="D71" s="266">
        <f>SUM(D70:D70)</f>
        <v>32234246.449999999</v>
      </c>
      <c r="E71" s="266">
        <f>SUM(E70:E70)</f>
        <v>6516132.0999999996</v>
      </c>
      <c r="F71" s="266">
        <f>SUM(F70:F70)</f>
        <v>0</v>
      </c>
      <c r="G71" s="266">
        <f>SUM(G70:G70)</f>
        <v>28413181.439999998</v>
      </c>
      <c r="H71" s="266">
        <f>SUM(H70:H70)</f>
        <v>28413181.439999998</v>
      </c>
      <c r="I71" s="267">
        <f t="shared" si="6"/>
        <v>100</v>
      </c>
      <c r="J71" s="266">
        <f>SUM(J70:J70)</f>
        <v>0</v>
      </c>
      <c r="K71" s="268">
        <f t="shared" si="7"/>
        <v>0</v>
      </c>
    </row>
    <row r="72" spans="1:11" ht="24.95" customHeight="1" thickTop="1" thickBot="1" x14ac:dyDescent="0.3">
      <c r="A72" s="270" t="s">
        <v>36</v>
      </c>
      <c r="B72" s="271">
        <f>SUM(B71,B69)</f>
        <v>10122162.219999965</v>
      </c>
      <c r="C72" s="271"/>
      <c r="D72" s="271">
        <f>SUM(D71,D69)</f>
        <v>194426653.45999998</v>
      </c>
      <c r="E72" s="271">
        <f>SUM(E71,E69)</f>
        <v>31860612.340000004</v>
      </c>
      <c r="F72" s="271">
        <f>SUM(F71,F69)</f>
        <v>672818.45000000007</v>
      </c>
      <c r="G72" s="271">
        <f>SUM(G71,G69)</f>
        <v>172015384.88999996</v>
      </c>
      <c r="H72" s="271">
        <f>SUM(H71,H69)</f>
        <v>165311297.16000003</v>
      </c>
      <c r="I72" s="272">
        <f t="shared" si="6"/>
        <v>96.102623184381414</v>
      </c>
      <c r="J72" s="271">
        <f>SUM(J71,J69)</f>
        <v>6704087.7299999315</v>
      </c>
      <c r="K72" s="273">
        <f t="shared" si="7"/>
        <v>3.8973768156185842</v>
      </c>
    </row>
    <row r="73" spans="1:11" ht="24.95" customHeight="1" thickTop="1" x14ac:dyDescent="0.25">
      <c r="B73" s="188"/>
      <c r="D73" s="188"/>
      <c r="E73" s="596"/>
      <c r="F73" s="596"/>
      <c r="G73" s="188"/>
      <c r="H73" s="188"/>
      <c r="I73" s="275"/>
    </row>
    <row r="74" spans="1:11" ht="24.95" customHeight="1" x14ac:dyDescent="0.25">
      <c r="A74" s="274" t="s">
        <v>37</v>
      </c>
      <c r="D74" s="188"/>
      <c r="E74" s="188"/>
      <c r="F74" s="188"/>
      <c r="G74" s="188"/>
      <c r="H74" s="188"/>
      <c r="I74" s="275"/>
      <c r="J74" s="276"/>
    </row>
    <row r="75" spans="1:11" ht="24.95" customHeight="1" x14ac:dyDescent="0.25">
      <c r="A75" s="277" t="s">
        <v>127</v>
      </c>
      <c r="D75" s="188"/>
      <c r="E75" s="188"/>
      <c r="F75" s="188"/>
      <c r="G75" s="188"/>
      <c r="H75" s="188"/>
      <c r="I75" s="275"/>
      <c r="J75" s="276"/>
    </row>
    <row r="76" spans="1:11" ht="24.95" customHeight="1" x14ac:dyDescent="0.25">
      <c r="A76" s="277"/>
      <c r="B76" s="242" t="s">
        <v>128</v>
      </c>
      <c r="C76" s="188">
        <f>SUM(C77:C79)</f>
        <v>6681537.04</v>
      </c>
      <c r="D76" s="188" t="s">
        <v>129</v>
      </c>
      <c r="E76" s="188"/>
      <c r="F76" s="188"/>
      <c r="G76" s="188"/>
      <c r="H76" s="188"/>
      <c r="I76" s="275"/>
    </row>
    <row r="77" spans="1:11" ht="24.95" customHeight="1" x14ac:dyDescent="0.25">
      <c r="A77" s="277"/>
      <c r="B77" s="242" t="s">
        <v>130</v>
      </c>
      <c r="C77" s="188">
        <v>3695.34</v>
      </c>
      <c r="D77" s="188" t="s">
        <v>131</v>
      </c>
      <c r="E77" s="188"/>
      <c r="F77" s="188"/>
      <c r="G77" s="188"/>
      <c r="H77" s="188"/>
      <c r="I77" s="275"/>
    </row>
    <row r="78" spans="1:11" ht="24.95" customHeight="1" x14ac:dyDescent="0.25">
      <c r="A78" s="277"/>
      <c r="B78" s="242" t="s">
        <v>421</v>
      </c>
      <c r="C78" s="188">
        <v>6344.24</v>
      </c>
      <c r="D78" s="188" t="s">
        <v>131</v>
      </c>
      <c r="E78" s="188"/>
      <c r="F78" s="188"/>
      <c r="G78" s="188"/>
      <c r="H78" s="188"/>
      <c r="I78" s="275"/>
    </row>
    <row r="79" spans="1:11" ht="24.95" customHeight="1" x14ac:dyDescent="0.25">
      <c r="B79" s="242" t="s">
        <v>572</v>
      </c>
      <c r="C79" s="188">
        <v>6671497.46</v>
      </c>
      <c r="D79" s="188" t="s">
        <v>573</v>
      </c>
      <c r="E79" s="188"/>
      <c r="F79" s="188"/>
      <c r="G79" s="188"/>
      <c r="H79" s="188"/>
      <c r="I79" s="275"/>
    </row>
    <row r="80" spans="1:11" ht="24.95" customHeight="1" x14ac:dyDescent="0.25">
      <c r="D80" s="188"/>
      <c r="E80" s="188"/>
      <c r="F80" s="188"/>
      <c r="G80" s="188"/>
      <c r="H80" s="188"/>
      <c r="I80" s="275"/>
    </row>
    <row r="81" spans="1:11" ht="24.95" customHeight="1" x14ac:dyDescent="0.25">
      <c r="A81" s="277" t="s">
        <v>135</v>
      </c>
      <c r="B81" s="242" t="s">
        <v>128</v>
      </c>
      <c r="C81" s="188">
        <v>22550.69</v>
      </c>
      <c r="D81" s="188" t="s">
        <v>136</v>
      </c>
      <c r="E81" s="188"/>
      <c r="F81" s="188"/>
      <c r="G81" s="188"/>
      <c r="H81" s="188"/>
      <c r="I81" s="275"/>
    </row>
    <row r="82" spans="1:11" ht="24.95" customHeight="1" x14ac:dyDescent="0.25">
      <c r="B82" s="242" t="s">
        <v>574</v>
      </c>
      <c r="C82" s="188">
        <v>22550.69</v>
      </c>
      <c r="D82" s="188" t="s">
        <v>573</v>
      </c>
      <c r="E82" s="188"/>
      <c r="F82" s="188"/>
      <c r="G82" s="188"/>
      <c r="H82" s="275"/>
    </row>
    <row r="83" spans="1:11" ht="24.95" customHeight="1" x14ac:dyDescent="0.25">
      <c r="B83" s="188"/>
      <c r="D83" s="555"/>
      <c r="E83" s="308"/>
      <c r="F83" s="556"/>
    </row>
    <row r="84" spans="1:11" ht="24.95" customHeight="1" x14ac:dyDescent="0.25">
      <c r="A84" s="163"/>
      <c r="B84" s="902" t="s">
        <v>644</v>
      </c>
      <c r="C84" s="902"/>
      <c r="D84" s="902"/>
      <c r="E84" s="902"/>
      <c r="F84" s="902"/>
      <c r="G84" s="902"/>
      <c r="H84" s="902"/>
      <c r="I84" s="902"/>
      <c r="J84" s="902"/>
      <c r="K84" s="902"/>
    </row>
    <row r="85" spans="1:11" ht="24.95" customHeight="1" thickBot="1" x14ac:dyDescent="0.3">
      <c r="A85" s="242"/>
      <c r="B85" s="188"/>
      <c r="D85" s="188"/>
      <c r="E85" s="188"/>
      <c r="F85" s="188"/>
      <c r="G85" s="188"/>
      <c r="H85" s="243"/>
      <c r="I85" s="244"/>
      <c r="J85" s="188"/>
    </row>
    <row r="86" spans="1:11" ht="63.75" thickBot="1" x14ac:dyDescent="0.3">
      <c r="A86" s="245" t="s">
        <v>645</v>
      </c>
      <c r="B86" s="246" t="s">
        <v>111</v>
      </c>
      <c r="C86" s="247" t="s">
        <v>112</v>
      </c>
      <c r="D86" s="247" t="s">
        <v>113</v>
      </c>
      <c r="E86" s="247" t="s">
        <v>114</v>
      </c>
      <c r="F86" s="247" t="s">
        <v>115</v>
      </c>
      <c r="G86" s="246" t="s">
        <v>116</v>
      </c>
      <c r="H86" s="246" t="s">
        <v>117</v>
      </c>
      <c r="I86" s="246" t="s">
        <v>118</v>
      </c>
      <c r="J86" s="246" t="s">
        <v>119</v>
      </c>
      <c r="K86" s="247" t="s">
        <v>120</v>
      </c>
    </row>
    <row r="87" spans="1:11" ht="24.95" customHeight="1" x14ac:dyDescent="0.25">
      <c r="A87" s="248" t="s">
        <v>47</v>
      </c>
      <c r="B87" s="249">
        <f>J67</f>
        <v>6681537.0399999321</v>
      </c>
      <c r="C87" s="250" t="s">
        <v>646</v>
      </c>
      <c r="D87" s="251">
        <v>226639448.65000001</v>
      </c>
      <c r="E87" s="252">
        <v>17580076.25</v>
      </c>
      <c r="F87" s="252">
        <v>676826.33</v>
      </c>
      <c r="G87" s="251">
        <f>B87+D87-E87-F87</f>
        <v>215064083.10999992</v>
      </c>
      <c r="H87" s="253">
        <v>212810270.69</v>
      </c>
      <c r="I87" s="254">
        <f t="shared" ref="I87:I92" si="9">H87/G87*100</f>
        <v>98.952027513191425</v>
      </c>
      <c r="J87" s="255">
        <f>G87-H87</f>
        <v>2253812.4199999273</v>
      </c>
      <c r="K87" s="256">
        <f t="shared" ref="K87:K92" si="10">J87/G87*100</f>
        <v>1.0479724868085751</v>
      </c>
    </row>
    <row r="88" spans="1:11" ht="24.95" customHeight="1" thickBot="1" x14ac:dyDescent="0.3">
      <c r="A88" s="257" t="s">
        <v>122</v>
      </c>
      <c r="B88" s="600">
        <f>J68</f>
        <v>22550.689999999711</v>
      </c>
      <c r="C88" s="595" t="s">
        <v>646</v>
      </c>
      <c r="D88" s="258">
        <v>1949381.99</v>
      </c>
      <c r="E88" s="260">
        <v>47406.1</v>
      </c>
      <c r="F88" s="260">
        <v>15973.42</v>
      </c>
      <c r="G88" s="261">
        <f>B88+D88-E88-F88</f>
        <v>1908553.1599999997</v>
      </c>
      <c r="H88" s="262">
        <v>1890074.1399999973</v>
      </c>
      <c r="I88" s="263">
        <f t="shared" si="9"/>
        <v>99.031778606575344</v>
      </c>
      <c r="J88" s="264">
        <f>G88-H88</f>
        <v>18479.020000002347</v>
      </c>
      <c r="K88" s="260">
        <f t="shared" si="10"/>
        <v>0.96822139342465829</v>
      </c>
    </row>
    <row r="89" spans="1:11" ht="24.95" customHeight="1" thickTop="1" thickBot="1" x14ac:dyDescent="0.3">
      <c r="A89" s="265" t="s">
        <v>123</v>
      </c>
      <c r="B89" s="266">
        <f>SUM(B87:B88)</f>
        <v>6704087.7299999315</v>
      </c>
      <c r="C89" s="266"/>
      <c r="D89" s="266">
        <f>SUM(D87:D88)</f>
        <v>228588830.64000002</v>
      </c>
      <c r="E89" s="266"/>
      <c r="F89" s="266">
        <f>SUM(F87:F88)</f>
        <v>692799.75</v>
      </c>
      <c r="G89" s="266">
        <f>B89+D89-E89-F89</f>
        <v>234600118.61999995</v>
      </c>
      <c r="H89" s="266">
        <f>H87+H88</f>
        <v>214700344.82999998</v>
      </c>
      <c r="I89" s="267">
        <f t="shared" si="9"/>
        <v>91.517577268478206</v>
      </c>
      <c r="J89" s="266">
        <f>J87+J88</f>
        <v>2272291.4399999296</v>
      </c>
      <c r="K89" s="268">
        <f t="shared" si="10"/>
        <v>0.96858068673040043</v>
      </c>
    </row>
    <row r="90" spans="1:11" ht="24.95" customHeight="1" thickTop="1" thickBot="1" x14ac:dyDescent="0.3">
      <c r="A90" s="257" t="s">
        <v>124</v>
      </c>
      <c r="B90" s="258">
        <v>0</v>
      </c>
      <c r="C90" s="269" t="s">
        <v>647</v>
      </c>
      <c r="D90" s="258">
        <v>55471431.909999996</v>
      </c>
      <c r="E90" s="260">
        <v>9059344.8000000007</v>
      </c>
      <c r="F90" s="550">
        <v>0</v>
      </c>
      <c r="G90" s="251">
        <f>B90+D90-E90-F90</f>
        <v>46412087.109999999</v>
      </c>
      <c r="H90" s="262">
        <v>46412087.109999992</v>
      </c>
      <c r="I90" s="263">
        <f t="shared" si="9"/>
        <v>99.999999999999986</v>
      </c>
      <c r="J90" s="264">
        <f>G90-H90</f>
        <v>0</v>
      </c>
      <c r="K90" s="260">
        <f t="shared" si="10"/>
        <v>0</v>
      </c>
    </row>
    <row r="91" spans="1:11" ht="24.95" customHeight="1" thickTop="1" thickBot="1" x14ac:dyDescent="0.3">
      <c r="A91" s="265" t="s">
        <v>126</v>
      </c>
      <c r="B91" s="266">
        <v>0</v>
      </c>
      <c r="C91" s="266"/>
      <c r="D91" s="266">
        <f>SUM(D90:D90)</f>
        <v>55471431.909999996</v>
      </c>
      <c r="E91" s="266">
        <f>SUM(E90:E90)</f>
        <v>9059344.8000000007</v>
      </c>
      <c r="F91" s="266">
        <f>SUM(F90:F90)</f>
        <v>0</v>
      </c>
      <c r="G91" s="266">
        <f>SUM(G90:G90)</f>
        <v>46412087.109999999</v>
      </c>
      <c r="H91" s="266">
        <f>SUM(H90:H90)</f>
        <v>46412087.109999992</v>
      </c>
      <c r="I91" s="267">
        <f t="shared" si="9"/>
        <v>99.999999999999986</v>
      </c>
      <c r="J91" s="266">
        <f>SUM(J90:J90)</f>
        <v>0</v>
      </c>
      <c r="K91" s="268">
        <f t="shared" si="10"/>
        <v>0</v>
      </c>
    </row>
    <row r="92" spans="1:11" ht="24.95" customHeight="1" thickTop="1" thickBot="1" x14ac:dyDescent="0.3">
      <c r="A92" s="270" t="s">
        <v>36</v>
      </c>
      <c r="B92" s="271">
        <v>17371078.780000027</v>
      </c>
      <c r="C92" s="271"/>
      <c r="D92" s="271">
        <f>SUM(D91,D89)</f>
        <v>284060262.55000001</v>
      </c>
      <c r="E92" s="271">
        <f>SUM(E91,E89)</f>
        <v>9059344.8000000007</v>
      </c>
      <c r="F92" s="271">
        <f>SUM(F91,F89)</f>
        <v>692799.75</v>
      </c>
      <c r="G92" s="271">
        <f>SUM(G91,G89)</f>
        <v>281012205.72999996</v>
      </c>
      <c r="H92" s="271">
        <f>SUM(H91,H89)</f>
        <v>261112431.93999997</v>
      </c>
      <c r="I92" s="272">
        <f t="shared" si="9"/>
        <v>92.918537563766918</v>
      </c>
      <c r="J92" s="271">
        <f>SUM(J91,J89)</f>
        <v>2272291.4399999296</v>
      </c>
      <c r="K92" s="273">
        <f t="shared" si="10"/>
        <v>0.80860951719057206</v>
      </c>
    </row>
    <row r="93" spans="1:11" ht="24.95" customHeight="1" thickTop="1" x14ac:dyDescent="0.25">
      <c r="B93" s="188"/>
      <c r="D93" s="188"/>
      <c r="E93" s="596"/>
      <c r="F93" s="596"/>
      <c r="G93" s="188"/>
      <c r="H93" s="188"/>
      <c r="I93" s="275"/>
    </row>
    <row r="94" spans="1:11" ht="24.95" customHeight="1" x14ac:dyDescent="0.25">
      <c r="A94" s="274" t="s">
        <v>37</v>
      </c>
      <c r="D94" s="188"/>
      <c r="E94" s="188"/>
      <c r="F94" s="188"/>
      <c r="G94" s="188"/>
      <c r="H94" s="188"/>
      <c r="I94" s="275"/>
      <c r="J94" s="276"/>
    </row>
    <row r="95" spans="1:11" ht="24.95" customHeight="1" x14ac:dyDescent="0.25">
      <c r="A95" s="277" t="s">
        <v>127</v>
      </c>
      <c r="D95" s="188"/>
      <c r="E95" s="188"/>
      <c r="F95" s="188"/>
      <c r="G95" s="188"/>
      <c r="H95" s="188"/>
      <c r="I95" s="275"/>
      <c r="J95" s="276"/>
    </row>
    <row r="96" spans="1:11" ht="24.95" customHeight="1" x14ac:dyDescent="0.25">
      <c r="A96" s="277"/>
      <c r="B96" s="242" t="s">
        <v>128</v>
      </c>
      <c r="C96" s="188">
        <v>2253812.42</v>
      </c>
      <c r="D96" s="188" t="s">
        <v>129</v>
      </c>
      <c r="E96" s="188"/>
      <c r="F96" s="188"/>
      <c r="G96" s="188"/>
      <c r="H96" s="188"/>
      <c r="I96" s="275"/>
    </row>
    <row r="97" spans="1:11" ht="24.95" customHeight="1" x14ac:dyDescent="0.25">
      <c r="A97" s="277"/>
      <c r="B97" s="242" t="s">
        <v>130</v>
      </c>
      <c r="C97" s="188">
        <v>3695.34</v>
      </c>
      <c r="D97" s="188" t="s">
        <v>131</v>
      </c>
      <c r="E97" s="188"/>
      <c r="F97" s="188"/>
      <c r="G97" s="188"/>
      <c r="H97" s="188"/>
      <c r="I97" s="275"/>
    </row>
    <row r="98" spans="1:11" ht="24.95" customHeight="1" x14ac:dyDescent="0.25">
      <c r="A98" s="277"/>
      <c r="B98" s="242" t="s">
        <v>648</v>
      </c>
      <c r="C98" s="188">
        <v>6344.24</v>
      </c>
      <c r="D98" s="188" t="s">
        <v>131</v>
      </c>
      <c r="E98" s="188"/>
      <c r="F98" s="188"/>
      <c r="G98" s="188"/>
      <c r="H98" s="188"/>
      <c r="I98" s="275"/>
    </row>
    <row r="99" spans="1:11" ht="24.95" customHeight="1" x14ac:dyDescent="0.25">
      <c r="B99" s="242" t="s">
        <v>572</v>
      </c>
      <c r="C99" s="188">
        <v>19431.8</v>
      </c>
      <c r="D99" s="188" t="s">
        <v>649</v>
      </c>
      <c r="E99" s="188"/>
      <c r="F99" s="188"/>
      <c r="G99" s="188"/>
      <c r="H99" s="188"/>
      <c r="I99" s="275"/>
    </row>
    <row r="100" spans="1:11" ht="24.95" customHeight="1" x14ac:dyDescent="0.25">
      <c r="B100" s="242" t="s">
        <v>650</v>
      </c>
      <c r="C100" s="188">
        <v>2228179.83</v>
      </c>
      <c r="D100" s="188" t="s">
        <v>651</v>
      </c>
      <c r="E100" s="188"/>
      <c r="F100" s="188"/>
      <c r="G100" s="188"/>
      <c r="H100" s="188"/>
      <c r="I100" s="275"/>
    </row>
    <row r="101" spans="1:11" ht="24.95" customHeight="1" x14ac:dyDescent="0.25">
      <c r="D101" s="188"/>
      <c r="E101" s="188"/>
      <c r="F101" s="188"/>
      <c r="G101" s="188"/>
      <c r="H101" s="188"/>
      <c r="I101" s="275"/>
    </row>
    <row r="102" spans="1:11" ht="24.95" customHeight="1" x14ac:dyDescent="0.25">
      <c r="A102" s="277" t="s">
        <v>135</v>
      </c>
      <c r="B102" s="242" t="s">
        <v>128</v>
      </c>
      <c r="C102" s="188">
        <v>18479.02</v>
      </c>
      <c r="D102" s="188" t="s">
        <v>136</v>
      </c>
      <c r="E102" s="188"/>
      <c r="F102" s="188"/>
      <c r="G102" s="188"/>
      <c r="H102" s="188"/>
      <c r="I102" s="275"/>
    </row>
    <row r="103" spans="1:11" ht="24.95" customHeight="1" x14ac:dyDescent="0.25">
      <c r="B103" s="242" t="s">
        <v>652</v>
      </c>
      <c r="C103" s="188">
        <v>18479.02</v>
      </c>
      <c r="D103" s="188" t="s">
        <v>651</v>
      </c>
      <c r="E103" s="188"/>
      <c r="F103" s="188"/>
      <c r="G103" s="188"/>
      <c r="H103" s="275"/>
    </row>
    <row r="105" spans="1:11" ht="24.95" customHeight="1" x14ac:dyDescent="0.25">
      <c r="A105" s="616"/>
      <c r="B105" s="902" t="s">
        <v>770</v>
      </c>
      <c r="C105" s="902"/>
      <c r="D105" s="902"/>
      <c r="E105" s="902"/>
      <c r="F105" s="902"/>
      <c r="G105" s="902"/>
      <c r="H105" s="902"/>
      <c r="I105" s="902"/>
      <c r="J105" s="902"/>
      <c r="K105" s="902"/>
    </row>
    <row r="106" spans="1:11" ht="24.95" customHeight="1" thickBot="1" x14ac:dyDescent="0.3">
      <c r="A106" s="242"/>
      <c r="B106" s="188"/>
      <c r="D106" s="188"/>
      <c r="E106" s="188"/>
      <c r="F106" s="188"/>
      <c r="G106" s="188"/>
      <c r="H106" s="243"/>
      <c r="I106" s="244"/>
      <c r="J106" s="188"/>
    </row>
    <row r="107" spans="1:11" ht="63.75" thickBot="1" x14ac:dyDescent="0.3">
      <c r="A107" s="245" t="s">
        <v>772</v>
      </c>
      <c r="B107" s="246" t="s">
        <v>111</v>
      </c>
      <c r="C107" s="247" t="s">
        <v>112</v>
      </c>
      <c r="D107" s="247" t="s">
        <v>113</v>
      </c>
      <c r="E107" s="247" t="s">
        <v>114</v>
      </c>
      <c r="F107" s="247" t="s">
        <v>115</v>
      </c>
      <c r="G107" s="246" t="s">
        <v>116</v>
      </c>
      <c r="H107" s="246" t="s">
        <v>117</v>
      </c>
      <c r="I107" s="246" t="s">
        <v>118</v>
      </c>
      <c r="J107" s="246" t="s">
        <v>119</v>
      </c>
      <c r="K107" s="247" t="s">
        <v>120</v>
      </c>
    </row>
    <row r="108" spans="1:11" ht="24.95" customHeight="1" x14ac:dyDescent="0.25">
      <c r="A108" s="248" t="s">
        <v>47</v>
      </c>
      <c r="B108" s="249">
        <f>J87</f>
        <v>2253812.4199999273</v>
      </c>
      <c r="C108" s="250" t="s">
        <v>771</v>
      </c>
      <c r="D108" s="251">
        <v>154180012.06</v>
      </c>
      <c r="E108" s="252">
        <v>16929954.210000001</v>
      </c>
      <c r="F108" s="252">
        <v>625739.76</v>
      </c>
      <c r="G108" s="251">
        <f>B108+D108-E108-F108</f>
        <v>138878130.50999993</v>
      </c>
      <c r="H108" s="253">
        <v>136997921.03999999</v>
      </c>
      <c r="I108" s="254">
        <f t="shared" ref="I108:I113" si="11">H108/G108*100</f>
        <v>98.646144311494339</v>
      </c>
      <c r="J108" s="255">
        <f>G108-H108</f>
        <v>1880209.4699999392</v>
      </c>
      <c r="K108" s="256">
        <f t="shared" ref="K108:K113" si="12">J108/G108*100</f>
        <v>1.3538556885056532</v>
      </c>
    </row>
    <row r="109" spans="1:11" ht="24.95" customHeight="1" thickBot="1" x14ac:dyDescent="0.3">
      <c r="A109" s="257" t="s">
        <v>122</v>
      </c>
      <c r="B109" s="600">
        <f>J88</f>
        <v>18479.020000002347</v>
      </c>
      <c r="C109" s="595" t="s">
        <v>771</v>
      </c>
      <c r="D109" s="258">
        <v>1242480.27</v>
      </c>
      <c r="E109" s="260">
        <v>101842.33</v>
      </c>
      <c r="F109" s="260">
        <v>131545.67000000001</v>
      </c>
      <c r="G109" s="261">
        <f>B109+D109-E109-F109</f>
        <v>1027571.2900000022</v>
      </c>
      <c r="H109" s="262">
        <v>1009718.66</v>
      </c>
      <c r="I109" s="263">
        <f t="shared" si="11"/>
        <v>98.262638303177766</v>
      </c>
      <c r="J109" s="264">
        <f>G109-H109</f>
        <v>17852.630000002217</v>
      </c>
      <c r="K109" s="260">
        <f t="shared" si="12"/>
        <v>1.7373616968222396</v>
      </c>
    </row>
    <row r="110" spans="1:11" ht="24.95" customHeight="1" thickTop="1" thickBot="1" x14ac:dyDescent="0.3">
      <c r="A110" s="265" t="s">
        <v>123</v>
      </c>
      <c r="B110" s="266">
        <f>SUM(B108:B109)</f>
        <v>2272291.4399999296</v>
      </c>
      <c r="C110" s="266"/>
      <c r="D110" s="266">
        <f>SUM(D108:D109)</f>
        <v>155422492.33000001</v>
      </c>
      <c r="E110" s="266"/>
      <c r="F110" s="266">
        <f>SUM(F108:F109)</f>
        <v>757285.43</v>
      </c>
      <c r="G110" s="266">
        <f>B110+D110-E110-F110</f>
        <v>156937498.33999994</v>
      </c>
      <c r="H110" s="266">
        <f>H108+H109</f>
        <v>138007639.69999999</v>
      </c>
      <c r="I110" s="267">
        <f t="shared" si="11"/>
        <v>87.9379633037166</v>
      </c>
      <c r="J110" s="266">
        <f>J108+J109</f>
        <v>1898062.0999999414</v>
      </c>
      <c r="K110" s="268">
        <f t="shared" si="12"/>
        <v>1.2094382286430054</v>
      </c>
    </row>
    <row r="111" spans="1:11" ht="24.95" customHeight="1" thickTop="1" thickBot="1" x14ac:dyDescent="0.3">
      <c r="A111" s="257" t="s">
        <v>124</v>
      </c>
      <c r="B111" s="258">
        <v>0</v>
      </c>
      <c r="C111" s="269" t="s">
        <v>773</v>
      </c>
      <c r="D111" s="258">
        <v>40183881.5</v>
      </c>
      <c r="E111" s="260">
        <v>7785298.29</v>
      </c>
      <c r="F111" s="550" t="s">
        <v>774</v>
      </c>
      <c r="G111" s="261">
        <f>B111+D111-E111</f>
        <v>32398583.210000001</v>
      </c>
      <c r="H111" s="262">
        <v>32398583.210000001</v>
      </c>
      <c r="I111" s="263">
        <f t="shared" si="11"/>
        <v>100</v>
      </c>
      <c r="J111" s="264">
        <f>G111-H111</f>
        <v>0</v>
      </c>
      <c r="K111" s="260">
        <f t="shared" si="12"/>
        <v>0</v>
      </c>
    </row>
    <row r="112" spans="1:11" ht="24.95" customHeight="1" thickTop="1" thickBot="1" x14ac:dyDescent="0.3">
      <c r="A112" s="265" t="s">
        <v>126</v>
      </c>
      <c r="B112" s="266">
        <v>0</v>
      </c>
      <c r="C112" s="266"/>
      <c r="D112" s="266">
        <f>SUM(D111:D111)</f>
        <v>40183881.5</v>
      </c>
      <c r="E112" s="266">
        <f>SUM(E111:E111)</f>
        <v>7785298.29</v>
      </c>
      <c r="F112" s="266">
        <f>SUM(F111:F111)</f>
        <v>0</v>
      </c>
      <c r="G112" s="266">
        <f>SUM(G111:G111)</f>
        <v>32398583.210000001</v>
      </c>
      <c r="H112" s="266">
        <f>SUM(H111:H111)</f>
        <v>32398583.210000001</v>
      </c>
      <c r="I112" s="267">
        <f t="shared" si="11"/>
        <v>100</v>
      </c>
      <c r="J112" s="266">
        <f>SUM(J111:J111)</f>
        <v>0</v>
      </c>
      <c r="K112" s="268">
        <f t="shared" si="12"/>
        <v>0</v>
      </c>
    </row>
    <row r="113" spans="1:11" ht="24.95" customHeight="1" thickTop="1" thickBot="1" x14ac:dyDescent="0.3">
      <c r="A113" s="270" t="s">
        <v>36</v>
      </c>
      <c r="B113" s="271">
        <f>SUM(B112,B110)</f>
        <v>2272291.4399999296</v>
      </c>
      <c r="C113" s="271"/>
      <c r="D113" s="271">
        <f>SUM(D112,D110)</f>
        <v>195606373.83000001</v>
      </c>
      <c r="E113" s="271">
        <f>SUM(E112,E110)</f>
        <v>7785298.29</v>
      </c>
      <c r="F113" s="271">
        <f>SUM(F112,F110)</f>
        <v>757285.43</v>
      </c>
      <c r="G113" s="271">
        <f>SUM(G112,G110)</f>
        <v>189336081.54999995</v>
      </c>
      <c r="H113" s="271">
        <f>SUM(H112,H110)</f>
        <v>170406222.91</v>
      </c>
      <c r="I113" s="272">
        <f t="shared" si="11"/>
        <v>90.001980348895643</v>
      </c>
      <c r="J113" s="271">
        <f>SUM(J112,J110)</f>
        <v>1898062.0999999414</v>
      </c>
      <c r="K113" s="273">
        <f t="shared" si="12"/>
        <v>1.0024830367574182</v>
      </c>
    </row>
    <row r="114" spans="1:11" ht="24.95" customHeight="1" thickTop="1" x14ac:dyDescent="0.25">
      <c r="B114" s="188"/>
      <c r="D114" s="188"/>
      <c r="E114" s="596"/>
      <c r="F114" s="596"/>
      <c r="G114" s="188"/>
      <c r="H114" s="188"/>
      <c r="I114" s="275"/>
    </row>
    <row r="115" spans="1:11" ht="24.95" customHeight="1" x14ac:dyDescent="0.25">
      <c r="A115" s="274" t="s">
        <v>37</v>
      </c>
      <c r="D115" s="188"/>
      <c r="E115" s="188"/>
      <c r="F115" s="188"/>
      <c r="G115" s="188"/>
      <c r="H115" s="188"/>
      <c r="I115" s="275"/>
      <c r="J115" s="276"/>
    </row>
    <row r="116" spans="1:11" ht="24.95" customHeight="1" x14ac:dyDescent="0.25">
      <c r="A116" s="277" t="s">
        <v>127</v>
      </c>
      <c r="D116" s="188"/>
      <c r="E116" s="188"/>
      <c r="F116" s="188"/>
      <c r="G116" s="188"/>
      <c r="H116" s="188"/>
      <c r="I116" s="275"/>
      <c r="J116" s="276"/>
    </row>
    <row r="117" spans="1:11" ht="24.95" customHeight="1" x14ac:dyDescent="0.25">
      <c r="A117" s="277"/>
      <c r="B117" s="242" t="s">
        <v>128</v>
      </c>
      <c r="C117" s="188">
        <v>1880209.47</v>
      </c>
      <c r="D117" s="188" t="s">
        <v>775</v>
      </c>
      <c r="E117" s="188"/>
      <c r="F117" s="188"/>
      <c r="G117" s="188"/>
      <c r="H117" s="188"/>
      <c r="I117" s="275"/>
    </row>
    <row r="118" spans="1:11" ht="24.95" customHeight="1" x14ac:dyDescent="0.25">
      <c r="A118" s="277"/>
      <c r="B118" s="242" t="s">
        <v>130</v>
      </c>
      <c r="C118" s="188">
        <v>3695.34</v>
      </c>
      <c r="D118" s="188" t="s">
        <v>776</v>
      </c>
      <c r="E118" s="188"/>
      <c r="F118" s="188"/>
      <c r="G118" s="188"/>
      <c r="H118" s="188"/>
      <c r="I118" s="275"/>
    </row>
    <row r="119" spans="1:11" ht="24.95" customHeight="1" x14ac:dyDescent="0.25">
      <c r="B119" s="242" t="s">
        <v>648</v>
      </c>
      <c r="C119" s="188">
        <v>6344.24</v>
      </c>
      <c r="D119" s="188" t="s">
        <v>776</v>
      </c>
      <c r="E119" s="188"/>
      <c r="F119" s="188"/>
      <c r="G119" s="188"/>
      <c r="H119" s="188"/>
      <c r="I119" s="275"/>
    </row>
    <row r="120" spans="1:11" ht="24.95" customHeight="1" x14ac:dyDescent="0.25">
      <c r="B120" s="242" t="s">
        <v>777</v>
      </c>
      <c r="C120" s="188">
        <v>1870169.89</v>
      </c>
      <c r="D120" s="188" t="s">
        <v>778</v>
      </c>
      <c r="E120" s="188"/>
      <c r="F120" s="188"/>
      <c r="G120" s="188"/>
      <c r="H120" s="188"/>
      <c r="I120" s="275"/>
    </row>
    <row r="121" spans="1:11" ht="24.95" customHeight="1" x14ac:dyDescent="0.25">
      <c r="D121" s="188"/>
      <c r="E121" s="188"/>
      <c r="F121" s="188"/>
      <c r="G121" s="188"/>
      <c r="H121" s="188"/>
      <c r="I121" s="275"/>
    </row>
    <row r="122" spans="1:11" ht="24.95" customHeight="1" x14ac:dyDescent="0.25">
      <c r="A122" s="277" t="s">
        <v>135</v>
      </c>
      <c r="B122" s="242" t="s">
        <v>128</v>
      </c>
      <c r="C122" s="188">
        <v>17852.63</v>
      </c>
      <c r="D122" s="188" t="s">
        <v>324</v>
      </c>
      <c r="E122" s="188"/>
      <c r="F122" s="188"/>
      <c r="G122" s="188"/>
      <c r="H122" s="188"/>
      <c r="I122" s="275"/>
    </row>
    <row r="123" spans="1:11" ht="24.95" customHeight="1" x14ac:dyDescent="0.25">
      <c r="B123" s="242" t="s">
        <v>779</v>
      </c>
      <c r="C123" s="188">
        <v>17852.63</v>
      </c>
      <c r="D123" s="188" t="s">
        <v>778</v>
      </c>
      <c r="E123" s="188"/>
      <c r="F123" s="188"/>
      <c r="G123" s="188"/>
      <c r="H123" s="275"/>
    </row>
    <row r="124" spans="1:11" ht="24.95" customHeight="1" x14ac:dyDescent="0.25">
      <c r="A124" s="274"/>
      <c r="C124" s="242"/>
    </row>
    <row r="125" spans="1:11" s="621" customFormat="1" ht="24.95" customHeight="1" x14ac:dyDescent="0.25">
      <c r="A125" s="33"/>
      <c r="B125" s="901" t="s">
        <v>861</v>
      </c>
      <c r="C125" s="901"/>
      <c r="D125" s="901"/>
      <c r="E125" s="901"/>
      <c r="F125" s="901"/>
      <c r="G125" s="901"/>
      <c r="H125" s="901"/>
      <c r="I125" s="901"/>
      <c r="J125" s="901"/>
      <c r="K125" s="901"/>
    </row>
    <row r="126" spans="1:11" s="621" customFormat="1" ht="24.95" customHeight="1" thickBot="1" x14ac:dyDescent="0.3">
      <c r="B126" s="622"/>
      <c r="C126" s="622"/>
      <c r="D126" s="622"/>
      <c r="E126" s="622"/>
      <c r="F126" s="622"/>
      <c r="G126" s="622"/>
      <c r="H126" s="674"/>
      <c r="I126" s="26"/>
      <c r="J126" s="622"/>
      <c r="K126" s="41"/>
    </row>
    <row r="127" spans="1:11" s="621" customFormat="1" ht="66.75" thickBot="1" x14ac:dyDescent="0.3">
      <c r="A127" s="619" t="s">
        <v>862</v>
      </c>
      <c r="B127" s="675" t="s">
        <v>863</v>
      </c>
      <c r="C127" s="676" t="s">
        <v>112</v>
      </c>
      <c r="D127" s="676" t="s">
        <v>864</v>
      </c>
      <c r="E127" s="676" t="s">
        <v>865</v>
      </c>
      <c r="F127" s="676" t="s">
        <v>866</v>
      </c>
      <c r="G127" s="675" t="s">
        <v>867</v>
      </c>
      <c r="H127" s="675" t="s">
        <v>868</v>
      </c>
      <c r="I127" s="675" t="s">
        <v>869</v>
      </c>
      <c r="J127" s="675" t="s">
        <v>870</v>
      </c>
      <c r="K127" s="676" t="s">
        <v>871</v>
      </c>
    </row>
    <row r="128" spans="1:11" s="621" customFormat="1" ht="24.95" customHeight="1" x14ac:dyDescent="0.25">
      <c r="A128" s="677" t="s">
        <v>47</v>
      </c>
      <c r="B128" s="678">
        <v>1880209.4700011909</v>
      </c>
      <c r="C128" s="707" t="s">
        <v>872</v>
      </c>
      <c r="D128" s="679">
        <v>165653391.28</v>
      </c>
      <c r="E128" s="680">
        <v>19737017.390000001</v>
      </c>
      <c r="F128" s="680">
        <f>178120+414500.59+22242.59</f>
        <v>614863.18000000005</v>
      </c>
      <c r="G128" s="679">
        <f>B128+D128-E128-F128</f>
        <v>147181720.1800012</v>
      </c>
      <c r="H128" s="681">
        <v>140689590.16999999</v>
      </c>
      <c r="I128" s="682">
        <f t="shared" ref="I128:I133" si="13">H128/G128*100</f>
        <v>95.589037822046492</v>
      </c>
      <c r="J128" s="683">
        <f>G128-H128</f>
        <v>6492130.0100012124</v>
      </c>
      <c r="K128" s="684">
        <f t="shared" ref="K128:K133" si="14">J128/G128*100</f>
        <v>4.410962177953504</v>
      </c>
    </row>
    <row r="129" spans="1:11" s="621" customFormat="1" ht="24.95" customHeight="1" thickBot="1" x14ac:dyDescent="0.3">
      <c r="A129" s="685" t="s">
        <v>122</v>
      </c>
      <c r="B129" s="686">
        <f>J109</f>
        <v>17852.630000002217</v>
      </c>
      <c r="C129" s="708" t="s">
        <v>872</v>
      </c>
      <c r="D129" s="687">
        <v>1288207.69</v>
      </c>
      <c r="E129" s="688">
        <f>78139.16</f>
        <v>78139.16</v>
      </c>
      <c r="F129" s="688">
        <f>19418.68+39150.52</f>
        <v>58569.2</v>
      </c>
      <c r="G129" s="689">
        <f>B129+D129-E129-F129</f>
        <v>1169351.9600000023</v>
      </c>
      <c r="H129" s="690">
        <v>1134273.08</v>
      </c>
      <c r="I129" s="691">
        <f t="shared" si="13"/>
        <v>97.000143566698071</v>
      </c>
      <c r="J129" s="692">
        <f>G129-H129</f>
        <v>35078.880000002217</v>
      </c>
      <c r="K129" s="688">
        <f t="shared" si="14"/>
        <v>2.9998564333019244</v>
      </c>
    </row>
    <row r="130" spans="1:11" s="621" customFormat="1" ht="24.95" customHeight="1" thickTop="1" thickBot="1" x14ac:dyDescent="0.3">
      <c r="A130" s="693" t="s">
        <v>123</v>
      </c>
      <c r="B130" s="694">
        <f>SUM(B128:B129)</f>
        <v>1898062.1000011931</v>
      </c>
      <c r="C130" s="709"/>
      <c r="D130" s="694">
        <f>SUM(D128:D129)</f>
        <v>166941598.97</v>
      </c>
      <c r="E130" s="694">
        <f>SUM(E128:E129)</f>
        <v>19815156.550000001</v>
      </c>
      <c r="F130" s="694">
        <f>SUM(F128:F129)</f>
        <v>673432.38</v>
      </c>
      <c r="G130" s="694">
        <f>B130+D130-E130-F130</f>
        <v>148351072.14000118</v>
      </c>
      <c r="H130" s="694">
        <f>H128+H129</f>
        <v>141823863.25</v>
      </c>
      <c r="I130" s="695">
        <f t="shared" si="13"/>
        <v>95.600160621797627</v>
      </c>
      <c r="J130" s="694">
        <f>J128+J129</f>
        <v>6527208.890001215</v>
      </c>
      <c r="K130" s="696">
        <f t="shared" si="14"/>
        <v>4.3998393782023957</v>
      </c>
    </row>
    <row r="131" spans="1:11" s="621" customFormat="1" ht="24.95" customHeight="1" thickTop="1" thickBot="1" x14ac:dyDescent="0.3">
      <c r="A131" s="685" t="s">
        <v>124</v>
      </c>
      <c r="B131" s="687">
        <v>0</v>
      </c>
      <c r="C131" s="710" t="s">
        <v>873</v>
      </c>
      <c r="D131" s="687">
        <v>39525674.689999998</v>
      </c>
      <c r="E131" s="688">
        <v>8098591.4500000002</v>
      </c>
      <c r="F131" s="697">
        <v>8748.18</v>
      </c>
      <c r="G131" s="698">
        <f>B131+D131-E131-F131</f>
        <v>31418335.059999999</v>
      </c>
      <c r="H131" s="690">
        <v>31418335.060000002</v>
      </c>
      <c r="I131" s="691">
        <f t="shared" si="13"/>
        <v>100.00000000000003</v>
      </c>
      <c r="J131" s="692">
        <f>G131-H131</f>
        <v>0</v>
      </c>
      <c r="K131" s="688">
        <f t="shared" si="14"/>
        <v>0</v>
      </c>
    </row>
    <row r="132" spans="1:11" s="621" customFormat="1" ht="24.95" customHeight="1" thickTop="1" thickBot="1" x14ac:dyDescent="0.3">
      <c r="A132" s="693" t="s">
        <v>126</v>
      </c>
      <c r="B132" s="694">
        <v>0</v>
      </c>
      <c r="C132" s="694"/>
      <c r="D132" s="694">
        <f>SUM(D131:D131)</f>
        <v>39525674.689999998</v>
      </c>
      <c r="E132" s="694">
        <f>SUM(E131:E131)</f>
        <v>8098591.4500000002</v>
      </c>
      <c r="F132" s="694">
        <f>SUM(F131:F131)</f>
        <v>8748.18</v>
      </c>
      <c r="G132" s="694">
        <f>SUM(G131:G131)</f>
        <v>31418335.059999999</v>
      </c>
      <c r="H132" s="694">
        <f>SUM(H131:H131)</f>
        <v>31418335.060000002</v>
      </c>
      <c r="I132" s="695">
        <f t="shared" si="13"/>
        <v>100.00000000000003</v>
      </c>
      <c r="J132" s="694">
        <f>SUM(J131:J131)</f>
        <v>0</v>
      </c>
      <c r="K132" s="696">
        <f t="shared" si="14"/>
        <v>0</v>
      </c>
    </row>
    <row r="133" spans="1:11" s="621" customFormat="1" ht="24.95" customHeight="1" thickTop="1" thickBot="1" x14ac:dyDescent="0.3">
      <c r="A133" s="699" t="s">
        <v>36</v>
      </c>
      <c r="B133" s="700">
        <f>SUM(B130,B132)</f>
        <v>1898062.1000011931</v>
      </c>
      <c r="C133" s="700"/>
      <c r="D133" s="700">
        <f>SUM(D130,D132)</f>
        <v>206467273.66</v>
      </c>
      <c r="E133" s="700">
        <f>SUM(E130,E132)</f>
        <v>27913748</v>
      </c>
      <c r="F133" s="700">
        <f>SUM(F130,F132)</f>
        <v>682180.56</v>
      </c>
      <c r="G133" s="700">
        <f>SUM(G130,G132)</f>
        <v>179769407.20000118</v>
      </c>
      <c r="H133" s="700">
        <f>SUM(H130,H132)</f>
        <v>173242198.31</v>
      </c>
      <c r="I133" s="701">
        <f t="shared" si="13"/>
        <v>96.369121425238177</v>
      </c>
      <c r="J133" s="700">
        <f>SUM(J130,J132)</f>
        <v>6527208.890001215</v>
      </c>
      <c r="K133" s="702">
        <f t="shared" si="14"/>
        <v>3.6308785747618422</v>
      </c>
    </row>
    <row r="134" spans="1:11" s="621" customFormat="1" ht="24.95" customHeight="1" thickTop="1" x14ac:dyDescent="0.25">
      <c r="A134" s="358"/>
      <c r="B134" s="622"/>
      <c r="C134" s="622"/>
      <c r="D134" s="622"/>
      <c r="E134" s="703"/>
      <c r="F134" s="703"/>
      <c r="G134" s="622"/>
      <c r="H134" s="622"/>
      <c r="I134" s="22"/>
    </row>
    <row r="135" spans="1:11" s="621" customFormat="1" ht="24.95" customHeight="1" x14ac:dyDescent="0.25">
      <c r="A135" s="704" t="s">
        <v>37</v>
      </c>
      <c r="C135" s="622"/>
      <c r="D135" s="622"/>
      <c r="E135" s="622"/>
      <c r="F135" s="622"/>
      <c r="G135" s="622"/>
      <c r="H135" s="622"/>
      <c r="I135" s="22"/>
      <c r="J135" s="705"/>
    </row>
    <row r="136" spans="1:11" s="621" customFormat="1" ht="24.95" customHeight="1" x14ac:dyDescent="0.25">
      <c r="A136" s="706" t="s">
        <v>127</v>
      </c>
      <c r="C136" s="622"/>
      <c r="D136" s="622"/>
      <c r="E136" s="622"/>
      <c r="F136" s="622"/>
      <c r="G136" s="622"/>
      <c r="H136" s="622"/>
      <c r="I136" s="22"/>
      <c r="J136" s="705"/>
    </row>
    <row r="137" spans="1:11" s="621" customFormat="1" ht="24.95" customHeight="1" x14ac:dyDescent="0.25">
      <c r="A137" s="706"/>
      <c r="B137" s="621" t="s">
        <v>128</v>
      </c>
      <c r="C137" s="622">
        <f>C138+C139</f>
        <v>6492130.0099999998</v>
      </c>
      <c r="D137" s="622" t="s">
        <v>129</v>
      </c>
      <c r="E137" s="622"/>
      <c r="F137" s="622"/>
      <c r="G137" s="622"/>
      <c r="H137" s="622"/>
      <c r="I137" s="22"/>
    </row>
    <row r="138" spans="1:11" s="621" customFormat="1" ht="24.95" customHeight="1" x14ac:dyDescent="0.25">
      <c r="A138" s="706"/>
      <c r="B138" s="621" t="s">
        <v>130</v>
      </c>
      <c r="C138" s="622">
        <v>3695.34</v>
      </c>
      <c r="D138" s="622" t="s">
        <v>131</v>
      </c>
      <c r="E138" s="622"/>
      <c r="F138" s="622"/>
      <c r="G138" s="622"/>
      <c r="H138" s="622"/>
      <c r="I138" s="22"/>
    </row>
    <row r="139" spans="1:11" s="621" customFormat="1" ht="24.95" customHeight="1" x14ac:dyDescent="0.25">
      <c r="A139" s="358"/>
      <c r="B139" s="621" t="s">
        <v>874</v>
      </c>
      <c r="C139" s="622">
        <v>6488434.6699999999</v>
      </c>
      <c r="D139" s="622" t="s">
        <v>875</v>
      </c>
      <c r="E139" s="622"/>
      <c r="F139" s="622"/>
      <c r="G139" s="622"/>
      <c r="H139" s="622"/>
      <c r="I139" s="22"/>
    </row>
    <row r="140" spans="1:11" s="621" customFormat="1" ht="24.95" customHeight="1" x14ac:dyDescent="0.25">
      <c r="A140" s="358"/>
      <c r="C140" s="622"/>
      <c r="D140" s="622"/>
      <c r="E140" s="622"/>
      <c r="F140" s="622"/>
      <c r="G140" s="622"/>
      <c r="H140" s="622"/>
      <c r="I140" s="22"/>
    </row>
    <row r="141" spans="1:11" s="621" customFormat="1" ht="24.95" customHeight="1" x14ac:dyDescent="0.25">
      <c r="A141" s="706" t="s">
        <v>135</v>
      </c>
      <c r="B141" s="621" t="s">
        <v>128</v>
      </c>
      <c r="C141" s="622">
        <v>35078.879999999997</v>
      </c>
      <c r="D141" s="622" t="s">
        <v>136</v>
      </c>
      <c r="E141" s="622"/>
      <c r="F141" s="622"/>
      <c r="G141" s="622"/>
      <c r="H141" s="622"/>
      <c r="I141" s="22"/>
    </row>
    <row r="142" spans="1:11" s="621" customFormat="1" ht="24.95" customHeight="1" x14ac:dyDescent="0.25">
      <c r="A142" s="358"/>
      <c r="B142" s="621" t="s">
        <v>876</v>
      </c>
      <c r="C142" s="622">
        <v>35078.879999999997</v>
      </c>
      <c r="D142" s="622" t="s">
        <v>875</v>
      </c>
      <c r="E142" s="622"/>
      <c r="F142" s="622"/>
      <c r="G142" s="622"/>
      <c r="H142" s="22"/>
    </row>
    <row r="143" spans="1:11" ht="24.95" customHeight="1" x14ac:dyDescent="0.25">
      <c r="A143" s="274"/>
      <c r="C143" s="242"/>
    </row>
    <row r="144" spans="1:11" s="621" customFormat="1" ht="24.95" customHeight="1" x14ac:dyDescent="0.25">
      <c r="A144" s="33"/>
      <c r="B144" s="901" t="s">
        <v>988</v>
      </c>
      <c r="C144" s="901"/>
      <c r="D144" s="901"/>
      <c r="E144" s="901"/>
      <c r="F144" s="901"/>
      <c r="G144" s="901"/>
      <c r="H144" s="901"/>
      <c r="I144" s="901"/>
      <c r="J144" s="901"/>
      <c r="K144" s="901"/>
    </row>
    <row r="145" spans="1:11" s="621" customFormat="1" ht="24.95" customHeight="1" thickBot="1" x14ac:dyDescent="0.3">
      <c r="B145" s="622"/>
      <c r="C145" s="622"/>
      <c r="D145" s="622"/>
      <c r="E145" s="622"/>
      <c r="F145" s="622"/>
      <c r="G145" s="622"/>
      <c r="H145" s="674"/>
      <c r="I145" s="26"/>
      <c r="J145" s="622"/>
      <c r="K145" s="41"/>
    </row>
    <row r="146" spans="1:11" s="621" customFormat="1" ht="66.75" thickBot="1" x14ac:dyDescent="0.3">
      <c r="A146" s="619" t="s">
        <v>989</v>
      </c>
      <c r="B146" s="675" t="s">
        <v>863</v>
      </c>
      <c r="C146" s="676" t="s">
        <v>112</v>
      </c>
      <c r="D146" s="676" t="s">
        <v>864</v>
      </c>
      <c r="E146" s="676" t="s">
        <v>865</v>
      </c>
      <c r="F146" s="676" t="s">
        <v>866</v>
      </c>
      <c r="G146" s="675" t="s">
        <v>867</v>
      </c>
      <c r="H146" s="675" t="s">
        <v>868</v>
      </c>
      <c r="I146" s="675" t="s">
        <v>869</v>
      </c>
      <c r="J146" s="675" t="s">
        <v>870</v>
      </c>
      <c r="K146" s="676" t="s">
        <v>871</v>
      </c>
    </row>
    <row r="147" spans="1:11" s="621" customFormat="1" ht="24.95" customHeight="1" x14ac:dyDescent="0.25">
      <c r="A147" s="677" t="s">
        <v>47</v>
      </c>
      <c r="B147" s="678">
        <v>6492130.0100012124</v>
      </c>
      <c r="C147" s="738" t="s">
        <v>990</v>
      </c>
      <c r="D147" s="679">
        <v>201027849.68999887</v>
      </c>
      <c r="E147" s="680">
        <v>20379042.149999999</v>
      </c>
      <c r="F147" s="680">
        <v>1012656.65</v>
      </c>
      <c r="G147" s="679">
        <f>B147+D147-E147-F147</f>
        <v>186128280.90000007</v>
      </c>
      <c r="H147" s="681">
        <v>180128161.40000007</v>
      </c>
      <c r="I147" s="682">
        <f t="shared" ref="I147:I152" si="15">H147/G147*100</f>
        <v>96.776352593497791</v>
      </c>
      <c r="J147" s="683">
        <f>G147-H147</f>
        <v>6000119.5</v>
      </c>
      <c r="K147" s="684">
        <f t="shared" ref="K147:K152" si="16">J147/G147*100</f>
        <v>3.2236474065022098</v>
      </c>
    </row>
    <row r="148" spans="1:11" s="621" customFormat="1" ht="24.95" customHeight="1" thickBot="1" x14ac:dyDescent="0.3">
      <c r="A148" s="685" t="s">
        <v>122</v>
      </c>
      <c r="B148" s="686">
        <v>35078.880000001751</v>
      </c>
      <c r="C148" s="739" t="s">
        <v>990</v>
      </c>
      <c r="D148" s="687">
        <v>1458590.4599999951</v>
      </c>
      <c r="E148" s="688">
        <v>45453.75</v>
      </c>
      <c r="F148" s="688">
        <v>32886.41999999946</v>
      </c>
      <c r="G148" s="689">
        <f>B148+D148-E148-F148</f>
        <v>1415329.1699999974</v>
      </c>
      <c r="H148" s="690">
        <v>1394031.2499999974</v>
      </c>
      <c r="I148" s="691">
        <f t="shared" si="15"/>
        <v>98.495196703958271</v>
      </c>
      <c r="J148" s="692">
        <f>G148-H148</f>
        <v>21297.919999999925</v>
      </c>
      <c r="K148" s="688">
        <f t="shared" si="16"/>
        <v>1.5048032960417232</v>
      </c>
    </row>
    <row r="149" spans="1:11" s="621" customFormat="1" ht="24.95" customHeight="1" thickTop="1" thickBot="1" x14ac:dyDescent="0.3">
      <c r="A149" s="693" t="s">
        <v>123</v>
      </c>
      <c r="B149" s="694">
        <f>SUM(B147:B148)</f>
        <v>6527208.8900012141</v>
      </c>
      <c r="C149" s="694"/>
      <c r="D149" s="694">
        <f>SUM(D147:D148)</f>
        <v>202486440.14999887</v>
      </c>
      <c r="E149" s="694">
        <f>SUM(E147:E148)</f>
        <v>20424495.899999999</v>
      </c>
      <c r="F149" s="694">
        <f>SUM(F147:F148)</f>
        <v>1045543.0699999995</v>
      </c>
      <c r="G149" s="694">
        <f>SUM(G147:G148)</f>
        <v>187543610.07000005</v>
      </c>
      <c r="H149" s="694">
        <f>SUM(H147:H148)</f>
        <v>181522192.65000007</v>
      </c>
      <c r="I149" s="695">
        <f t="shared" si="15"/>
        <v>96.789324137595244</v>
      </c>
      <c r="J149" s="694">
        <f>SUM(J147:J148)</f>
        <v>6021417.4199999999</v>
      </c>
      <c r="K149" s="696">
        <f t="shared" si="16"/>
        <v>3.2106758624047633</v>
      </c>
    </row>
    <row r="150" spans="1:11" s="621" customFormat="1" ht="24.95" customHeight="1" thickTop="1" thickBot="1" x14ac:dyDescent="0.3">
      <c r="A150" s="685" t="s">
        <v>124</v>
      </c>
      <c r="B150" s="687">
        <v>0</v>
      </c>
      <c r="C150" s="740" t="s">
        <v>991</v>
      </c>
      <c r="D150" s="687">
        <v>55841513.68</v>
      </c>
      <c r="E150" s="688">
        <v>10269039.869999999</v>
      </c>
      <c r="F150" s="697">
        <v>10254</v>
      </c>
      <c r="G150" s="698">
        <f>B150+D150-E150-F150</f>
        <v>45562219.810000002</v>
      </c>
      <c r="H150" s="690">
        <v>45562219.810000002</v>
      </c>
      <c r="I150" s="691">
        <f t="shared" si="15"/>
        <v>100</v>
      </c>
      <c r="J150" s="692">
        <f>G150-H150</f>
        <v>0</v>
      </c>
      <c r="K150" s="688">
        <f t="shared" si="16"/>
        <v>0</v>
      </c>
    </row>
    <row r="151" spans="1:11" s="621" customFormat="1" ht="24.95" customHeight="1" thickTop="1" thickBot="1" x14ac:dyDescent="0.3">
      <c r="A151" s="693" t="s">
        <v>126</v>
      </c>
      <c r="B151" s="694">
        <v>0</v>
      </c>
      <c r="C151" s="694"/>
      <c r="D151" s="694">
        <f>SUM(D150:D150)</f>
        <v>55841513.68</v>
      </c>
      <c r="E151" s="694">
        <f>SUM(E150:E150)</f>
        <v>10269039.869999999</v>
      </c>
      <c r="F151" s="694">
        <f>SUM(F150:F150)</f>
        <v>10254</v>
      </c>
      <c r="G151" s="694">
        <f>SUM(G150:G150)</f>
        <v>45562219.810000002</v>
      </c>
      <c r="H151" s="694">
        <f>SUM(H150:H150)</f>
        <v>45562219.810000002</v>
      </c>
      <c r="I151" s="695">
        <f t="shared" si="15"/>
        <v>100</v>
      </c>
      <c r="J151" s="694">
        <f>SUM(J150:J150)</f>
        <v>0</v>
      </c>
      <c r="K151" s="696">
        <f t="shared" si="16"/>
        <v>0</v>
      </c>
    </row>
    <row r="152" spans="1:11" s="621" customFormat="1" ht="24.95" customHeight="1" thickTop="1" thickBot="1" x14ac:dyDescent="0.3">
      <c r="A152" s="699" t="s">
        <v>36</v>
      </c>
      <c r="B152" s="700">
        <f>SUM(B149+B151)</f>
        <v>6527208.8900012141</v>
      </c>
      <c r="C152" s="700"/>
      <c r="D152" s="700">
        <f>SUM(D151,D149)</f>
        <v>258327953.82999888</v>
      </c>
      <c r="E152" s="700">
        <f>SUM(E151,E149)</f>
        <v>30693535.769999996</v>
      </c>
      <c r="F152" s="700">
        <f>SUM(F151,F149)</f>
        <v>1055797.0699999994</v>
      </c>
      <c r="G152" s="700">
        <f>SUM(G151,G149)</f>
        <v>233105829.88000005</v>
      </c>
      <c r="H152" s="700">
        <f>SUM(H151,H149)</f>
        <v>227084412.46000007</v>
      </c>
      <c r="I152" s="701">
        <f t="shared" si="15"/>
        <v>97.416873948154901</v>
      </c>
      <c r="J152" s="700">
        <f>SUM(J151,J149)</f>
        <v>6021417.4199999999</v>
      </c>
      <c r="K152" s="702">
        <f t="shared" si="16"/>
        <v>2.5831260518450994</v>
      </c>
    </row>
    <row r="153" spans="1:11" s="621" customFormat="1" ht="24.95" customHeight="1" thickTop="1" x14ac:dyDescent="0.25">
      <c r="A153" s="358"/>
      <c r="B153" s="622"/>
      <c r="C153" s="622"/>
      <c r="D153" s="622"/>
      <c r="E153" s="703"/>
      <c r="F153" s="703"/>
      <c r="G153" s="622"/>
      <c r="H153" s="622"/>
      <c r="I153" s="22"/>
    </row>
    <row r="154" spans="1:11" s="621" customFormat="1" ht="24.95" customHeight="1" x14ac:dyDescent="0.25">
      <c r="A154" s="704" t="s">
        <v>37</v>
      </c>
      <c r="C154" s="622"/>
      <c r="D154" s="622"/>
      <c r="E154" s="622"/>
      <c r="F154" s="622"/>
      <c r="G154" s="622"/>
      <c r="H154" s="622"/>
      <c r="I154" s="22"/>
      <c r="J154" s="705"/>
    </row>
    <row r="155" spans="1:11" s="621" customFormat="1" ht="24.95" customHeight="1" x14ac:dyDescent="0.25">
      <c r="A155" s="706" t="s">
        <v>127</v>
      </c>
      <c r="C155" s="622"/>
      <c r="D155" s="622"/>
      <c r="E155" s="622"/>
      <c r="F155" s="622"/>
      <c r="G155" s="622"/>
      <c r="H155" s="622"/>
      <c r="I155" s="22"/>
      <c r="J155" s="705"/>
    </row>
    <row r="156" spans="1:11" s="621" customFormat="1" ht="24.95" customHeight="1" x14ac:dyDescent="0.25">
      <c r="A156" s="706"/>
      <c r="B156" s="621" t="s">
        <v>128</v>
      </c>
      <c r="C156" s="622">
        <v>6000119.5</v>
      </c>
      <c r="D156" s="622" t="s">
        <v>129</v>
      </c>
      <c r="E156" s="622"/>
      <c r="F156" s="622"/>
      <c r="G156" s="622"/>
      <c r="H156" s="622"/>
      <c r="I156" s="22"/>
    </row>
    <row r="157" spans="1:11" s="621" customFormat="1" ht="24.95" customHeight="1" x14ac:dyDescent="0.25">
      <c r="A157" s="706"/>
      <c r="B157" s="621" t="s">
        <v>130</v>
      </c>
      <c r="C157" s="622">
        <v>3695.34</v>
      </c>
      <c r="D157" s="622" t="s">
        <v>992</v>
      </c>
      <c r="E157" s="622"/>
      <c r="F157" s="622"/>
      <c r="G157" s="622"/>
      <c r="H157" s="622"/>
      <c r="I157" s="22"/>
    </row>
    <row r="158" spans="1:11" s="621" customFormat="1" ht="24.95" customHeight="1" x14ac:dyDescent="0.25">
      <c r="A158" s="358"/>
      <c r="B158" s="621" t="s">
        <v>993</v>
      </c>
      <c r="C158" s="622">
        <f>C156-C157</f>
        <v>5996424.1600000001</v>
      </c>
      <c r="D158" s="622" t="s">
        <v>875</v>
      </c>
      <c r="E158" s="622"/>
      <c r="F158" s="622"/>
      <c r="G158" s="622"/>
      <c r="H158" s="622"/>
      <c r="I158" s="22"/>
    </row>
    <row r="159" spans="1:11" s="621" customFormat="1" ht="24.95" customHeight="1" x14ac:dyDescent="0.25">
      <c r="A159" s="358"/>
      <c r="C159" s="622"/>
      <c r="D159" s="622"/>
      <c r="E159" s="622"/>
      <c r="F159" s="622"/>
      <c r="G159" s="622"/>
      <c r="H159" s="622"/>
      <c r="I159" s="22"/>
    </row>
    <row r="160" spans="1:11" s="621" customFormat="1" ht="24.95" customHeight="1" x14ac:dyDescent="0.25">
      <c r="A160" s="706" t="s">
        <v>135</v>
      </c>
      <c r="B160" s="621" t="s">
        <v>128</v>
      </c>
      <c r="C160" s="622">
        <v>21297.919999999998</v>
      </c>
      <c r="D160" s="622" t="s">
        <v>136</v>
      </c>
      <c r="E160" s="622"/>
      <c r="F160" s="622"/>
      <c r="G160" s="622"/>
      <c r="H160" s="622"/>
      <c r="I160" s="22"/>
    </row>
    <row r="161" spans="1:11" s="621" customFormat="1" ht="24.95" customHeight="1" x14ac:dyDescent="0.25">
      <c r="A161" s="358"/>
      <c r="B161" s="621" t="s">
        <v>994</v>
      </c>
      <c r="C161" s="622">
        <v>21297.919999999998</v>
      </c>
      <c r="D161" s="622" t="s">
        <v>995</v>
      </c>
      <c r="E161" s="622"/>
      <c r="F161" s="622"/>
      <c r="G161" s="622"/>
      <c r="H161" s="22"/>
    </row>
    <row r="162" spans="1:11" ht="24.95" customHeight="1" x14ac:dyDescent="0.25">
      <c r="A162" s="274"/>
      <c r="C162" s="242"/>
      <c r="D162" s="275"/>
      <c r="E162" s="276"/>
    </row>
    <row r="163" spans="1:11" s="781" customFormat="1" ht="24.95" customHeight="1" x14ac:dyDescent="0.25">
      <c r="A163" s="33"/>
      <c r="B163" s="901" t="s">
        <v>1091</v>
      </c>
      <c r="C163" s="901"/>
      <c r="D163" s="901"/>
      <c r="E163" s="901"/>
      <c r="F163" s="901"/>
      <c r="G163" s="901"/>
      <c r="H163" s="901"/>
      <c r="I163" s="901"/>
      <c r="J163" s="901"/>
      <c r="K163" s="901"/>
    </row>
    <row r="164" spans="1:11" s="781" customFormat="1" ht="24.95" customHeight="1" thickBot="1" x14ac:dyDescent="0.3">
      <c r="B164" s="780"/>
      <c r="C164" s="780"/>
      <c r="D164" s="780"/>
      <c r="E164" s="780"/>
      <c r="F164" s="780"/>
      <c r="G164" s="780"/>
      <c r="H164" s="674"/>
      <c r="I164" s="796"/>
      <c r="J164" s="780"/>
      <c r="K164" s="41"/>
    </row>
    <row r="165" spans="1:11" s="781" customFormat="1" ht="66.75" thickBot="1" x14ac:dyDescent="0.3">
      <c r="A165" s="783" t="s">
        <v>1092</v>
      </c>
      <c r="B165" s="675" t="s">
        <v>863</v>
      </c>
      <c r="C165" s="676" t="s">
        <v>112</v>
      </c>
      <c r="D165" s="676" t="s">
        <v>864</v>
      </c>
      <c r="E165" s="676" t="s">
        <v>865</v>
      </c>
      <c r="F165" s="676" t="s">
        <v>866</v>
      </c>
      <c r="G165" s="675" t="s">
        <v>867</v>
      </c>
      <c r="H165" s="675" t="s">
        <v>868</v>
      </c>
      <c r="I165" s="675" t="s">
        <v>869</v>
      </c>
      <c r="J165" s="675" t="s">
        <v>870</v>
      </c>
      <c r="K165" s="676" t="s">
        <v>871</v>
      </c>
    </row>
    <row r="166" spans="1:11" s="781" customFormat="1" ht="24.95" customHeight="1" thickBot="1" x14ac:dyDescent="0.3">
      <c r="A166" s="677" t="s">
        <v>47</v>
      </c>
      <c r="B166" s="678">
        <f>J147</f>
        <v>6000119.5</v>
      </c>
      <c r="C166" s="738" t="s">
        <v>1093</v>
      </c>
      <c r="D166" s="679">
        <v>169375213.25999999</v>
      </c>
      <c r="E166" s="680">
        <v>24646644.120000001</v>
      </c>
      <c r="F166" s="680">
        <v>704049.67</v>
      </c>
      <c r="G166" s="679">
        <f>B166+D166-E166-F166</f>
        <v>150024638.97</v>
      </c>
      <c r="H166" s="681">
        <v>148265046.49999994</v>
      </c>
      <c r="I166" s="682">
        <f t="shared" ref="I166:I171" si="17">H166/G166*100</f>
        <v>98.827131008559249</v>
      </c>
      <c r="J166" s="683">
        <f>G166-H166</f>
        <v>1759592.4700000584</v>
      </c>
      <c r="K166" s="684">
        <f t="shared" ref="K166:K171" si="18">J166/G166*100</f>
        <v>1.1728689914407453</v>
      </c>
    </row>
    <row r="167" spans="1:11" s="781" customFormat="1" ht="24.95" customHeight="1" thickBot="1" x14ac:dyDescent="0.3">
      <c r="A167" s="685" t="s">
        <v>122</v>
      </c>
      <c r="B167" s="686">
        <f>J148</f>
        <v>21297.919999999925</v>
      </c>
      <c r="C167" s="738" t="s">
        <v>1093</v>
      </c>
      <c r="D167" s="687">
        <v>1001626.27</v>
      </c>
      <c r="E167" s="688">
        <v>190839.45</v>
      </c>
      <c r="F167" s="688">
        <v>12528.16</v>
      </c>
      <c r="G167" s="689">
        <f>B167+D167-E167-F167</f>
        <v>819556.58</v>
      </c>
      <c r="H167" s="690">
        <v>815484.93</v>
      </c>
      <c r="I167" s="691">
        <f t="shared" si="17"/>
        <v>99.503188663313537</v>
      </c>
      <c r="J167" s="692">
        <f>G167-H167</f>
        <v>4071.6499999999069</v>
      </c>
      <c r="K167" s="688">
        <f t="shared" si="18"/>
        <v>0.4968113366864686</v>
      </c>
    </row>
    <row r="168" spans="1:11" s="781" customFormat="1" ht="24.95" customHeight="1" thickTop="1" thickBot="1" x14ac:dyDescent="0.3">
      <c r="A168" s="693" t="s">
        <v>123</v>
      </c>
      <c r="B168" s="694">
        <f>SUM(B166:B167)</f>
        <v>6021417.4199999999</v>
      </c>
      <c r="C168" s="694"/>
      <c r="D168" s="694">
        <f>SUM(D166:D167)</f>
        <v>170376839.53</v>
      </c>
      <c r="E168" s="694">
        <f>SUM(E166:E167)</f>
        <v>24837483.57</v>
      </c>
      <c r="F168" s="694">
        <f>SUM(F166:F167)</f>
        <v>716577.83000000007</v>
      </c>
      <c r="G168" s="694">
        <f>B168+D168-E168-F168</f>
        <v>150844195.54999998</v>
      </c>
      <c r="H168" s="694">
        <f>H166+H167</f>
        <v>149080531.42999995</v>
      </c>
      <c r="I168" s="695">
        <f t="shared" si="17"/>
        <v>98.830804119728001</v>
      </c>
      <c r="J168" s="694">
        <f>J166+J167</f>
        <v>1763664.1200000583</v>
      </c>
      <c r="K168" s="696">
        <f t="shared" si="18"/>
        <v>1.1691958802720126</v>
      </c>
    </row>
    <row r="169" spans="1:11" s="781" customFormat="1" ht="24.95" customHeight="1" thickTop="1" thickBot="1" x14ac:dyDescent="0.3">
      <c r="A169" s="685" t="s">
        <v>124</v>
      </c>
      <c r="B169" s="687"/>
      <c r="C169" s="740" t="s">
        <v>1094</v>
      </c>
      <c r="D169" s="687">
        <v>49784783.530000001</v>
      </c>
      <c r="E169" s="688">
        <v>9531659.6899999995</v>
      </c>
      <c r="F169" s="697">
        <v>2158.85</v>
      </c>
      <c r="G169" s="698">
        <f>B169+D169-E169-F169</f>
        <v>40250964.990000002</v>
      </c>
      <c r="H169" s="690">
        <v>39933524.68</v>
      </c>
      <c r="I169" s="691">
        <f t="shared" si="17"/>
        <v>99.211347330234517</v>
      </c>
      <c r="J169" s="692">
        <f>G169-H169</f>
        <v>317440.31000000238</v>
      </c>
      <c r="K169" s="688">
        <f t="shared" si="18"/>
        <v>0.78865266976547665</v>
      </c>
    </row>
    <row r="170" spans="1:11" s="781" customFormat="1" ht="24.95" customHeight="1" thickTop="1" thickBot="1" x14ac:dyDescent="0.3">
      <c r="A170" s="693" t="s">
        <v>126</v>
      </c>
      <c r="B170" s="694">
        <v>0</v>
      </c>
      <c r="C170" s="694"/>
      <c r="D170" s="694">
        <f>SUM(D169:D169)</f>
        <v>49784783.530000001</v>
      </c>
      <c r="E170" s="694">
        <f>SUM(E169:E169)</f>
        <v>9531659.6899999995</v>
      </c>
      <c r="F170" s="694">
        <f>SUM(F169:F169)</f>
        <v>2158.85</v>
      </c>
      <c r="G170" s="694">
        <f>SUM(G169:G169)</f>
        <v>40250964.990000002</v>
      </c>
      <c r="H170" s="694">
        <f>SUM(H169)</f>
        <v>39933524.68</v>
      </c>
      <c r="I170" s="695">
        <f t="shared" si="17"/>
        <v>99.211347330234517</v>
      </c>
      <c r="J170" s="694">
        <f>SUM(J169:J169)</f>
        <v>317440.31000000238</v>
      </c>
      <c r="K170" s="696">
        <f t="shared" si="18"/>
        <v>0.78865266976547665</v>
      </c>
    </row>
    <row r="171" spans="1:11" s="781" customFormat="1" ht="24.95" customHeight="1" thickTop="1" thickBot="1" x14ac:dyDescent="0.3">
      <c r="A171" s="699" t="s">
        <v>36</v>
      </c>
      <c r="B171" s="700">
        <f>SUM(B168+B170)</f>
        <v>6021417.4199999999</v>
      </c>
      <c r="C171" s="700"/>
      <c r="D171" s="700">
        <f>SUM(D170,D168)</f>
        <v>220161623.06</v>
      </c>
      <c r="E171" s="700">
        <f>SUM(E170,E168)</f>
        <v>34369143.259999998</v>
      </c>
      <c r="F171" s="700">
        <f>SUM(F170,F168)</f>
        <v>718736.68</v>
      </c>
      <c r="G171" s="700">
        <f>SUM(G170,G168)</f>
        <v>191095160.53999999</v>
      </c>
      <c r="H171" s="700">
        <f>SUM(H170,H168)</f>
        <v>189014056.10999995</v>
      </c>
      <c r="I171" s="701">
        <f t="shared" si="17"/>
        <v>98.910959113711087</v>
      </c>
      <c r="J171" s="700">
        <f>SUM(J170,J168)</f>
        <v>2081104.4300000607</v>
      </c>
      <c r="K171" s="702">
        <f t="shared" si="18"/>
        <v>1.0890408862889254</v>
      </c>
    </row>
    <row r="172" spans="1:11" s="781" customFormat="1" ht="24.95" customHeight="1" thickTop="1" x14ac:dyDescent="0.25">
      <c r="A172" s="358"/>
      <c r="B172" s="780"/>
      <c r="C172" s="780"/>
      <c r="D172" s="780"/>
      <c r="E172" s="703"/>
      <c r="F172" s="703"/>
      <c r="G172" s="780"/>
      <c r="H172" s="780"/>
      <c r="I172" s="782"/>
    </row>
    <row r="173" spans="1:11" s="781" customFormat="1" ht="24.95" customHeight="1" x14ac:dyDescent="0.25">
      <c r="A173" s="704" t="s">
        <v>37</v>
      </c>
      <c r="C173" s="780"/>
      <c r="D173" s="780"/>
      <c r="E173" s="780"/>
      <c r="F173" s="780"/>
      <c r="G173" s="780"/>
      <c r="H173" s="780"/>
      <c r="I173" s="782"/>
      <c r="J173" s="705"/>
    </row>
    <row r="174" spans="1:11" s="781" customFormat="1" ht="24.95" customHeight="1" x14ac:dyDescent="0.25">
      <c r="A174" s="706" t="s">
        <v>127</v>
      </c>
      <c r="C174" s="780"/>
      <c r="D174" s="780"/>
      <c r="E174" s="780"/>
      <c r="F174" s="780"/>
      <c r="G174" s="780"/>
      <c r="H174" s="780"/>
      <c r="I174" s="782"/>
      <c r="J174" s="705"/>
    </row>
    <row r="175" spans="1:11" s="781" customFormat="1" ht="24.95" customHeight="1" x14ac:dyDescent="0.25">
      <c r="A175" s="706"/>
      <c r="B175" s="781" t="s">
        <v>128</v>
      </c>
      <c r="C175" s="780">
        <f>SUM(C176:C177)</f>
        <v>1759592.47</v>
      </c>
      <c r="D175" s="780" t="s">
        <v>129</v>
      </c>
      <c r="E175" s="780"/>
      <c r="F175" s="780"/>
      <c r="G175" s="780"/>
      <c r="H175" s="780"/>
      <c r="I175" s="782"/>
    </row>
    <row r="176" spans="1:11" s="781" customFormat="1" ht="24.95" customHeight="1" x14ac:dyDescent="0.25">
      <c r="A176" s="706"/>
      <c r="B176" s="781" t="s">
        <v>130</v>
      </c>
      <c r="C176" s="780">
        <v>3695.34</v>
      </c>
      <c r="D176" s="780" t="s">
        <v>992</v>
      </c>
      <c r="E176" s="780"/>
      <c r="F176" s="780"/>
      <c r="G176" s="780"/>
      <c r="H176" s="780"/>
      <c r="I176" s="782"/>
    </row>
    <row r="177" spans="1:11" s="781" customFormat="1" ht="24.95" customHeight="1" x14ac:dyDescent="0.25">
      <c r="A177" s="358"/>
      <c r="B177" s="781" t="s">
        <v>993</v>
      </c>
      <c r="C177" s="780">
        <v>1755897.13</v>
      </c>
      <c r="D177" s="780" t="s">
        <v>1095</v>
      </c>
      <c r="E177" s="780"/>
      <c r="F177" s="780"/>
      <c r="G177" s="780"/>
      <c r="H177" s="780"/>
      <c r="I177" s="782"/>
    </row>
    <row r="178" spans="1:11" s="781" customFormat="1" ht="24.95" customHeight="1" x14ac:dyDescent="0.25">
      <c r="A178" s="358"/>
      <c r="C178" s="780"/>
      <c r="D178" s="780"/>
      <c r="E178" s="780"/>
      <c r="F178" s="780"/>
      <c r="G178" s="780"/>
      <c r="H178" s="780"/>
      <c r="I178" s="782"/>
    </row>
    <row r="179" spans="1:11" s="781" customFormat="1" ht="24.95" customHeight="1" x14ac:dyDescent="0.25">
      <c r="A179" s="706" t="s">
        <v>135</v>
      </c>
      <c r="B179" s="781" t="s">
        <v>128</v>
      </c>
      <c r="C179" s="780">
        <f>C180</f>
        <v>4071.65</v>
      </c>
      <c r="D179" s="780" t="s">
        <v>136</v>
      </c>
      <c r="E179" s="780"/>
      <c r="F179" s="780"/>
      <c r="G179" s="780"/>
      <c r="H179" s="780"/>
      <c r="I179" s="782"/>
    </row>
    <row r="180" spans="1:11" s="781" customFormat="1" ht="24.95" customHeight="1" x14ac:dyDescent="0.25">
      <c r="A180" s="358"/>
      <c r="B180" s="781" t="s">
        <v>1096</v>
      </c>
      <c r="C180" s="780">
        <v>4071.65</v>
      </c>
      <c r="D180" s="780" t="s">
        <v>1095</v>
      </c>
      <c r="E180" s="780"/>
      <c r="F180" s="780"/>
      <c r="G180" s="780"/>
      <c r="H180" s="782"/>
    </row>
    <row r="181" spans="1:11" s="781" customFormat="1" ht="24.95" customHeight="1" x14ac:dyDescent="0.25">
      <c r="A181" s="358"/>
      <c r="C181" s="780"/>
      <c r="D181" s="780"/>
      <c r="E181" s="780"/>
      <c r="F181" s="780"/>
      <c r="G181" s="780"/>
      <c r="H181" s="780"/>
      <c r="I181" s="782"/>
    </row>
    <row r="182" spans="1:11" s="781" customFormat="1" ht="24.95" customHeight="1" x14ac:dyDescent="0.25">
      <c r="A182" s="706" t="s">
        <v>425</v>
      </c>
      <c r="B182" s="781" t="s">
        <v>128</v>
      </c>
      <c r="C182" s="780">
        <v>317440.31</v>
      </c>
      <c r="D182" s="780" t="s">
        <v>136</v>
      </c>
      <c r="E182" s="780"/>
      <c r="F182" s="780"/>
      <c r="G182" s="780"/>
      <c r="H182" s="780"/>
      <c r="I182" s="782"/>
    </row>
    <row r="183" spans="1:11" s="781" customFormat="1" ht="24.95" customHeight="1" x14ac:dyDescent="0.25">
      <c r="A183" s="358"/>
      <c r="B183" s="781" t="s">
        <v>1097</v>
      </c>
      <c r="C183" s="780">
        <v>317440.31</v>
      </c>
      <c r="D183" s="780" t="s">
        <v>1098</v>
      </c>
      <c r="E183" s="780"/>
      <c r="F183" s="780"/>
      <c r="G183" s="780"/>
      <c r="H183" s="782"/>
    </row>
    <row r="184" spans="1:11" ht="24.95" customHeight="1" x14ac:dyDescent="0.25">
      <c r="D184" s="275"/>
    </row>
    <row r="185" spans="1:11" s="781" customFormat="1" ht="24.95" customHeight="1" x14ac:dyDescent="0.25">
      <c r="A185" s="33"/>
      <c r="B185" s="901" t="s">
        <v>1248</v>
      </c>
      <c r="C185" s="901"/>
      <c r="D185" s="901"/>
      <c r="E185" s="901"/>
      <c r="F185" s="901"/>
      <c r="G185" s="901"/>
      <c r="H185" s="901"/>
      <c r="I185" s="901"/>
      <c r="J185" s="901"/>
      <c r="K185" s="901"/>
    </row>
    <row r="186" spans="1:11" s="781" customFormat="1" ht="24.95" customHeight="1" thickBot="1" x14ac:dyDescent="0.3">
      <c r="B186" s="780"/>
      <c r="C186" s="780"/>
      <c r="D186" s="780"/>
      <c r="E186" s="780"/>
      <c r="F186" s="780"/>
      <c r="G186" s="780"/>
      <c r="H186" s="674"/>
      <c r="I186" s="796"/>
      <c r="J186" s="780"/>
      <c r="K186" s="41"/>
    </row>
    <row r="187" spans="1:11" s="781" customFormat="1" ht="66.75" thickBot="1" x14ac:dyDescent="0.3">
      <c r="A187" s="783" t="s">
        <v>1249</v>
      </c>
      <c r="B187" s="675" t="s">
        <v>863</v>
      </c>
      <c r="C187" s="676" t="s">
        <v>112</v>
      </c>
      <c r="D187" s="676" t="s">
        <v>864</v>
      </c>
      <c r="E187" s="676" t="s">
        <v>865</v>
      </c>
      <c r="F187" s="676" t="s">
        <v>866</v>
      </c>
      <c r="G187" s="675" t="s">
        <v>867</v>
      </c>
      <c r="H187" s="675" t="s">
        <v>868</v>
      </c>
      <c r="I187" s="675" t="s">
        <v>869</v>
      </c>
      <c r="J187" s="675" t="s">
        <v>870</v>
      </c>
      <c r="K187" s="676" t="s">
        <v>871</v>
      </c>
    </row>
    <row r="188" spans="1:11" s="781" customFormat="1" ht="24.95" customHeight="1" x14ac:dyDescent="0.25">
      <c r="A188" s="677" t="s">
        <v>47</v>
      </c>
      <c r="B188" s="678">
        <v>1759592.4700000584</v>
      </c>
      <c r="C188" s="738" t="s">
        <v>1250</v>
      </c>
      <c r="D188" s="679">
        <v>219923782.16999999</v>
      </c>
      <c r="E188" s="680">
        <v>26156257.379999999</v>
      </c>
      <c r="F188" s="680">
        <v>1037285.36</v>
      </c>
      <c r="G188" s="679">
        <f>B188+D188-E188-F188</f>
        <v>194489831.90000004</v>
      </c>
      <c r="H188" s="681">
        <v>135565723.52000001</v>
      </c>
      <c r="I188" s="682">
        <f t="shared" ref="I188:I193" si="19">H188/G188*100</f>
        <v>69.70324473811219</v>
      </c>
      <c r="J188" s="683">
        <f>G188-H188</f>
        <v>58924108.380000025</v>
      </c>
      <c r="K188" s="684">
        <f t="shared" ref="K188:K193" si="20">J188/G188*100</f>
        <v>30.296755261887814</v>
      </c>
    </row>
    <row r="189" spans="1:11" s="781" customFormat="1" ht="24.95" customHeight="1" thickBot="1" x14ac:dyDescent="0.3">
      <c r="A189" s="685" t="s">
        <v>122</v>
      </c>
      <c r="B189" s="686">
        <v>4071.6499999999069</v>
      </c>
      <c r="C189" s="739" t="s">
        <v>1250</v>
      </c>
      <c r="D189" s="687">
        <v>1365569.01</v>
      </c>
      <c r="E189" s="688">
        <v>102588.09</v>
      </c>
      <c r="F189" s="688">
        <v>103670.55</v>
      </c>
      <c r="G189" s="689">
        <f>B189+D189-E189-F189</f>
        <v>1163382.0199999998</v>
      </c>
      <c r="H189" s="690">
        <v>882124.88</v>
      </c>
      <c r="I189" s="691">
        <f t="shared" si="19"/>
        <v>75.824180263676439</v>
      </c>
      <c r="J189" s="692">
        <f>G189-H189</f>
        <v>281257.13999999978</v>
      </c>
      <c r="K189" s="688">
        <f t="shared" si="20"/>
        <v>24.175819736323572</v>
      </c>
    </row>
    <row r="190" spans="1:11" s="781" customFormat="1" ht="24.95" customHeight="1" thickTop="1" thickBot="1" x14ac:dyDescent="0.3">
      <c r="A190" s="693" t="s">
        <v>123</v>
      </c>
      <c r="B190" s="694">
        <f>SUM(B188:B189)</f>
        <v>1763664.1200000583</v>
      </c>
      <c r="C190" s="694"/>
      <c r="D190" s="694">
        <f>SUM(D188:D189)</f>
        <v>221289351.17999998</v>
      </c>
      <c r="E190" s="694">
        <f>SUM(E188:E189)</f>
        <v>26258845.469999999</v>
      </c>
      <c r="F190" s="694">
        <f>SUM(F188:F189)</f>
        <v>1140955.9099999999</v>
      </c>
      <c r="G190" s="694">
        <f>B190+D190-E190-F190</f>
        <v>195653213.92000005</v>
      </c>
      <c r="H190" s="694">
        <f>H188+H189</f>
        <v>136447848.40000001</v>
      </c>
      <c r="I190" s="695">
        <f t="shared" si="19"/>
        <v>69.739640697030254</v>
      </c>
      <c r="J190" s="694">
        <f>J188+J189</f>
        <v>59205365.520000026</v>
      </c>
      <c r="K190" s="696">
        <f t="shared" si="20"/>
        <v>30.260359302969743</v>
      </c>
    </row>
    <row r="191" spans="1:11" s="781" customFormat="1" ht="24.95" customHeight="1" thickTop="1" thickBot="1" x14ac:dyDescent="0.3">
      <c r="A191" s="685" t="s">
        <v>124</v>
      </c>
      <c r="B191" s="687">
        <v>317440.31000000238</v>
      </c>
      <c r="C191" s="740" t="s">
        <v>1251</v>
      </c>
      <c r="D191" s="687">
        <v>34310187.840000004</v>
      </c>
      <c r="E191" s="688">
        <v>5276485.1900000004</v>
      </c>
      <c r="F191" s="697">
        <v>0</v>
      </c>
      <c r="G191" s="698">
        <f>B191+D191-E191-F191</f>
        <v>29351142.960000005</v>
      </c>
      <c r="H191" s="690">
        <v>23569043.449999999</v>
      </c>
      <c r="I191" s="691">
        <f t="shared" si="19"/>
        <v>80.300257751870504</v>
      </c>
      <c r="J191" s="692">
        <f>G191-H191</f>
        <v>5782099.5100000054</v>
      </c>
      <c r="K191" s="688">
        <f t="shared" si="20"/>
        <v>19.699742248129489</v>
      </c>
    </row>
    <row r="192" spans="1:11" s="781" customFormat="1" ht="24.95" customHeight="1" thickTop="1" thickBot="1" x14ac:dyDescent="0.3">
      <c r="A192" s="693" t="s">
        <v>126</v>
      </c>
      <c r="B192" s="694">
        <f>SUM(B191)</f>
        <v>317440.31000000238</v>
      </c>
      <c r="C192" s="694"/>
      <c r="D192" s="694">
        <f>SUM(D191:D191)</f>
        <v>34310187.840000004</v>
      </c>
      <c r="E192" s="694">
        <f>SUM(E191:E191)</f>
        <v>5276485.1900000004</v>
      </c>
      <c r="F192" s="694">
        <f>SUM(F191:F191)</f>
        <v>0</v>
      </c>
      <c r="G192" s="694">
        <f>SUM(G191:G191)</f>
        <v>29351142.960000005</v>
      </c>
      <c r="H192" s="694">
        <f>SUM(H191)</f>
        <v>23569043.449999999</v>
      </c>
      <c r="I192" s="695">
        <f t="shared" si="19"/>
        <v>80.300257751870504</v>
      </c>
      <c r="J192" s="694">
        <f>SUM(J191:J191)</f>
        <v>5782099.5100000054</v>
      </c>
      <c r="K192" s="696">
        <f t="shared" si="20"/>
        <v>19.699742248129489</v>
      </c>
    </row>
    <row r="193" spans="1:11" s="781" customFormat="1" ht="24.95" customHeight="1" thickTop="1" thickBot="1" x14ac:dyDescent="0.3">
      <c r="A193" s="699" t="s">
        <v>36</v>
      </c>
      <c r="B193" s="700">
        <f>SUM(B191:B192)</f>
        <v>634880.62000000477</v>
      </c>
      <c r="C193" s="700"/>
      <c r="D193" s="700">
        <f>SUM(D192,D190)</f>
        <v>255599539.01999998</v>
      </c>
      <c r="E193" s="700">
        <f>SUM(E192,E190)</f>
        <v>31535330.66</v>
      </c>
      <c r="F193" s="700">
        <f>SUM(F192,F190)</f>
        <v>1140955.9099999999</v>
      </c>
      <c r="G193" s="700">
        <f>SUM(G192,G190)</f>
        <v>225004356.88000005</v>
      </c>
      <c r="H193" s="700">
        <f>SUM(H192,H190)</f>
        <v>160016891.84999999</v>
      </c>
      <c r="I193" s="701">
        <f t="shared" si="19"/>
        <v>71.117241492057261</v>
      </c>
      <c r="J193" s="700">
        <f>SUM(J192,J190)</f>
        <v>64987465.030000031</v>
      </c>
      <c r="K193" s="702">
        <f t="shared" si="20"/>
        <v>28.882758507942725</v>
      </c>
    </row>
    <row r="194" spans="1:11" s="781" customFormat="1" ht="24.95" customHeight="1" thickTop="1" x14ac:dyDescent="0.25">
      <c r="A194" s="358"/>
      <c r="B194" s="780"/>
      <c r="C194" s="780"/>
      <c r="D194" s="780"/>
      <c r="E194" s="703"/>
      <c r="F194" s="703"/>
      <c r="G194" s="780"/>
      <c r="H194" s="780"/>
      <c r="I194" s="782"/>
    </row>
    <row r="195" spans="1:11" s="781" customFormat="1" ht="24.95" customHeight="1" x14ac:dyDescent="0.25">
      <c r="A195" s="704" t="s">
        <v>37</v>
      </c>
      <c r="C195" s="780"/>
      <c r="D195" s="780"/>
      <c r="E195" s="780"/>
      <c r="F195" s="780"/>
      <c r="G195" s="780"/>
      <c r="H195" s="780"/>
      <c r="I195" s="782"/>
      <c r="J195" s="705"/>
    </row>
    <row r="196" spans="1:11" s="781" customFormat="1" ht="24.95" customHeight="1" x14ac:dyDescent="0.25">
      <c r="A196" s="706" t="s">
        <v>127</v>
      </c>
      <c r="C196" s="780"/>
      <c r="D196" s="780"/>
      <c r="E196" s="780"/>
      <c r="F196" s="780"/>
      <c r="G196" s="780"/>
      <c r="H196" s="780"/>
      <c r="I196" s="782"/>
      <c r="J196" s="705"/>
    </row>
    <row r="197" spans="1:11" s="781" customFormat="1" ht="24.95" customHeight="1" x14ac:dyDescent="0.25">
      <c r="A197" s="706"/>
      <c r="B197" s="781" t="s">
        <v>128</v>
      </c>
      <c r="C197" s="780">
        <f>SUM(C198:C201)</f>
        <v>58924108.380000003</v>
      </c>
      <c r="D197" s="780" t="s">
        <v>129</v>
      </c>
      <c r="E197" s="780"/>
      <c r="F197" s="780"/>
      <c r="G197" s="780"/>
      <c r="H197" s="780"/>
      <c r="I197" s="782"/>
    </row>
    <row r="198" spans="1:11" s="781" customFormat="1" ht="24.95" customHeight="1" x14ac:dyDescent="0.25">
      <c r="A198" s="706"/>
      <c r="B198" s="781" t="s">
        <v>130</v>
      </c>
      <c r="C198" s="780">
        <v>3695.34</v>
      </c>
      <c r="D198" s="780" t="s">
        <v>992</v>
      </c>
      <c r="E198" s="780"/>
      <c r="F198" s="780"/>
      <c r="G198" s="780"/>
      <c r="H198" s="780"/>
      <c r="I198" s="782"/>
    </row>
    <row r="199" spans="1:11" s="781" customFormat="1" ht="24.95" customHeight="1" x14ac:dyDescent="0.25">
      <c r="A199" s="358"/>
      <c r="B199" s="781" t="s">
        <v>1252</v>
      </c>
      <c r="C199" s="780">
        <v>4239.34</v>
      </c>
      <c r="D199" s="780" t="s">
        <v>1253</v>
      </c>
      <c r="E199" s="780"/>
      <c r="F199" s="780"/>
      <c r="G199" s="780"/>
      <c r="H199" s="780"/>
      <c r="I199" s="782"/>
    </row>
    <row r="200" spans="1:11" s="781" customFormat="1" ht="24.95" customHeight="1" x14ac:dyDescent="0.25">
      <c r="A200" s="358"/>
      <c r="B200" s="781" t="s">
        <v>1254</v>
      </c>
      <c r="C200" s="780">
        <v>49106.39</v>
      </c>
      <c r="D200" s="780" t="s">
        <v>1255</v>
      </c>
      <c r="E200" s="780"/>
      <c r="F200" s="780"/>
      <c r="G200" s="780"/>
      <c r="H200" s="780"/>
      <c r="I200" s="782"/>
    </row>
    <row r="201" spans="1:11" s="781" customFormat="1" ht="24.95" customHeight="1" x14ac:dyDescent="0.25">
      <c r="A201" s="358"/>
      <c r="B201" s="781" t="s">
        <v>1256</v>
      </c>
      <c r="C201" s="780">
        <v>58867067.310000002</v>
      </c>
      <c r="D201" s="780" t="s">
        <v>1255</v>
      </c>
      <c r="E201" s="780"/>
      <c r="F201" s="780"/>
      <c r="G201" s="780"/>
      <c r="H201" s="780"/>
      <c r="I201" s="782"/>
    </row>
    <row r="202" spans="1:11" s="781" customFormat="1" ht="24.95" customHeight="1" x14ac:dyDescent="0.25">
      <c r="A202" s="358"/>
      <c r="C202" s="780"/>
      <c r="D202" s="780"/>
      <c r="E202" s="780"/>
      <c r="F202" s="780"/>
      <c r="G202" s="780"/>
      <c r="H202" s="780"/>
      <c r="I202" s="782"/>
    </row>
    <row r="203" spans="1:11" s="781" customFormat="1" ht="24.95" customHeight="1" x14ac:dyDescent="0.25">
      <c r="A203" s="706" t="s">
        <v>135</v>
      </c>
      <c r="B203" s="781" t="s">
        <v>128</v>
      </c>
      <c r="C203" s="780">
        <f>C204</f>
        <v>281257.14</v>
      </c>
      <c r="D203" s="780" t="s">
        <v>136</v>
      </c>
      <c r="E203" s="780"/>
      <c r="F203" s="780"/>
      <c r="G203" s="780"/>
      <c r="H203" s="780"/>
      <c r="I203" s="782"/>
    </row>
    <row r="204" spans="1:11" s="781" customFormat="1" ht="24.95" customHeight="1" x14ac:dyDescent="0.25">
      <c r="A204" s="358"/>
      <c r="B204" s="781" t="s">
        <v>1257</v>
      </c>
      <c r="C204" s="780">
        <v>281257.14</v>
      </c>
      <c r="D204" s="780" t="s">
        <v>1258</v>
      </c>
      <c r="E204" s="780"/>
      <c r="F204" s="780"/>
      <c r="G204" s="780"/>
      <c r="H204" s="782"/>
    </row>
    <row r="205" spans="1:11" s="781" customFormat="1" ht="24.95" customHeight="1" x14ac:dyDescent="0.25">
      <c r="A205" s="358"/>
      <c r="C205" s="780"/>
      <c r="D205" s="780"/>
      <c r="E205" s="780"/>
      <c r="F205" s="780"/>
      <c r="G205" s="780"/>
      <c r="H205" s="780"/>
      <c r="I205" s="782"/>
    </row>
    <row r="206" spans="1:11" s="781" customFormat="1" ht="24.95" customHeight="1" x14ac:dyDescent="0.25">
      <c r="A206" s="706" t="s">
        <v>425</v>
      </c>
      <c r="B206" s="781" t="s">
        <v>128</v>
      </c>
      <c r="C206" s="780">
        <v>5782099.5099999998</v>
      </c>
      <c r="D206" s="780" t="s">
        <v>136</v>
      </c>
      <c r="E206" s="780"/>
      <c r="F206" s="780"/>
      <c r="G206" s="780"/>
      <c r="H206" s="780"/>
      <c r="I206" s="782"/>
    </row>
    <row r="207" spans="1:11" s="781" customFormat="1" ht="24.95" customHeight="1" x14ac:dyDescent="0.25">
      <c r="A207" s="358"/>
      <c r="B207" s="781" t="s">
        <v>1259</v>
      </c>
      <c r="C207" s="780">
        <v>5782099.5099999998</v>
      </c>
      <c r="D207" s="780" t="s">
        <v>1260</v>
      </c>
      <c r="E207" s="780"/>
      <c r="F207" s="780"/>
      <c r="G207" s="780"/>
      <c r="H207" s="782"/>
    </row>
    <row r="208" spans="1:11" ht="24.95" customHeight="1" x14ac:dyDescent="0.25">
      <c r="B208" s="188"/>
      <c r="D208" s="555"/>
      <c r="E208" s="308"/>
      <c r="F208" s="556"/>
    </row>
    <row r="209" spans="1:11" s="781" customFormat="1" ht="24.95" customHeight="1" x14ac:dyDescent="0.25">
      <c r="A209" s="33"/>
      <c r="B209" s="901" t="s">
        <v>1396</v>
      </c>
      <c r="C209" s="901"/>
      <c r="D209" s="901"/>
      <c r="E209" s="901"/>
      <c r="F209" s="901"/>
      <c r="G209" s="901"/>
      <c r="H209" s="901"/>
      <c r="I209" s="901"/>
      <c r="J209" s="901"/>
      <c r="K209" s="901"/>
    </row>
    <row r="210" spans="1:11" s="781" customFormat="1" ht="24.95" customHeight="1" thickBot="1" x14ac:dyDescent="0.3">
      <c r="B210" s="780"/>
      <c r="C210" s="780"/>
      <c r="D210" s="780"/>
      <c r="E210" s="780"/>
      <c r="F210" s="780"/>
      <c r="G210" s="780"/>
      <c r="H210" s="674"/>
      <c r="I210" s="796"/>
      <c r="J210" s="780"/>
      <c r="K210" s="41"/>
    </row>
    <row r="211" spans="1:11" s="781" customFormat="1" ht="66.75" thickBot="1" x14ac:dyDescent="0.3">
      <c r="A211" s="783" t="s">
        <v>1364</v>
      </c>
      <c r="B211" s="675" t="s">
        <v>863</v>
      </c>
      <c r="C211" s="676" t="s">
        <v>112</v>
      </c>
      <c r="D211" s="676" t="s">
        <v>864</v>
      </c>
      <c r="E211" s="676" t="s">
        <v>865</v>
      </c>
      <c r="F211" s="676" t="s">
        <v>866</v>
      </c>
      <c r="G211" s="675" t="s">
        <v>867</v>
      </c>
      <c r="H211" s="675" t="s">
        <v>868</v>
      </c>
      <c r="I211" s="675" t="s">
        <v>869</v>
      </c>
      <c r="J211" s="675" t="s">
        <v>870</v>
      </c>
      <c r="K211" s="676" t="s">
        <v>871</v>
      </c>
    </row>
    <row r="212" spans="1:11" s="781" customFormat="1" ht="24.95" customHeight="1" x14ac:dyDescent="0.25">
      <c r="A212" s="677" t="s">
        <v>47</v>
      </c>
      <c r="B212" s="678">
        <v>58924108.380000003</v>
      </c>
      <c r="C212" s="738" t="s">
        <v>1365</v>
      </c>
      <c r="D212" s="679">
        <v>170174077.80000001</v>
      </c>
      <c r="E212" s="680">
        <v>25707421.640000001</v>
      </c>
      <c r="F212" s="680">
        <v>599019.88</v>
      </c>
      <c r="G212" s="679">
        <f>B212+D212-E212-F212</f>
        <v>202791744.66000003</v>
      </c>
      <c r="H212" s="681">
        <v>200126909.40000001</v>
      </c>
      <c r="I212" s="682">
        <f t="shared" ref="I212:I217" si="21">H212/G212*100</f>
        <v>98.685925176851811</v>
      </c>
      <c r="J212" s="683">
        <f>G212-H212</f>
        <v>2664835.2600000203</v>
      </c>
      <c r="K212" s="684">
        <f t="shared" ref="K212:K217" si="22">J212/G212*100</f>
        <v>1.314074823148188</v>
      </c>
    </row>
    <row r="213" spans="1:11" s="781" customFormat="1" ht="24.95" customHeight="1" thickBot="1" x14ac:dyDescent="0.3">
      <c r="A213" s="685" t="s">
        <v>122</v>
      </c>
      <c r="B213" s="686">
        <v>281257.14</v>
      </c>
      <c r="C213" s="739" t="s">
        <v>1365</v>
      </c>
      <c r="D213" s="687">
        <v>1164805.3999999999</v>
      </c>
      <c r="E213" s="688">
        <v>166290.89000000001</v>
      </c>
      <c r="F213" s="688">
        <v>35078.9</v>
      </c>
      <c r="G213" s="689">
        <f>B213+D213-E213-F213</f>
        <v>1244692.75</v>
      </c>
      <c r="H213" s="690">
        <v>1230598.56</v>
      </c>
      <c r="I213" s="691">
        <f t="shared" si="21"/>
        <v>98.867657098508857</v>
      </c>
      <c r="J213" s="692">
        <f>G213-H213</f>
        <v>14094.189999999944</v>
      </c>
      <c r="K213" s="688">
        <f t="shared" si="22"/>
        <v>1.1323429014911466</v>
      </c>
    </row>
    <row r="214" spans="1:11" s="781" customFormat="1" ht="24.95" customHeight="1" thickTop="1" thickBot="1" x14ac:dyDescent="0.3">
      <c r="A214" s="693" t="s">
        <v>123</v>
      </c>
      <c r="B214" s="694">
        <f>SUM(B212:B213)</f>
        <v>59205365.520000003</v>
      </c>
      <c r="C214" s="694"/>
      <c r="D214" s="694">
        <f>SUM(D212:D213)</f>
        <v>171338883.20000002</v>
      </c>
      <c r="E214" s="694">
        <f>SUM(E212:E213)</f>
        <v>25873712.530000001</v>
      </c>
      <c r="F214" s="694">
        <f>SUM(F212:F213)</f>
        <v>634098.78</v>
      </c>
      <c r="G214" s="694">
        <f>B214+D214-E214-F214</f>
        <v>204036437.41000003</v>
      </c>
      <c r="H214" s="694">
        <f>H212+H213</f>
        <v>201357507.96000001</v>
      </c>
      <c r="I214" s="695">
        <f t="shared" si="21"/>
        <v>98.687033804350904</v>
      </c>
      <c r="J214" s="694">
        <f>J212+J213</f>
        <v>2678929.4500000202</v>
      </c>
      <c r="K214" s="696">
        <f t="shared" si="22"/>
        <v>1.312966195649093</v>
      </c>
    </row>
    <row r="215" spans="1:11" s="781" customFormat="1" ht="24.95" customHeight="1" thickTop="1" thickBot="1" x14ac:dyDescent="0.3">
      <c r="A215" s="685" t="s">
        <v>124</v>
      </c>
      <c r="B215" s="687">
        <v>5782099.5099999998</v>
      </c>
      <c r="C215" s="740" t="s">
        <v>1366</v>
      </c>
      <c r="D215" s="687">
        <v>45294518.18</v>
      </c>
      <c r="E215" s="688">
        <v>7059865.1900000004</v>
      </c>
      <c r="F215" s="697">
        <v>29048.66</v>
      </c>
      <c r="G215" s="698">
        <f>B215+D215-E215-F215</f>
        <v>43987703.840000004</v>
      </c>
      <c r="H215" s="690">
        <v>43987703.840000004</v>
      </c>
      <c r="I215" s="691">
        <f t="shared" si="21"/>
        <v>100</v>
      </c>
      <c r="J215" s="692">
        <f>G215-H215</f>
        <v>0</v>
      </c>
      <c r="K215" s="688">
        <f t="shared" si="22"/>
        <v>0</v>
      </c>
    </row>
    <row r="216" spans="1:11" s="781" customFormat="1" ht="24.95" customHeight="1" thickTop="1" thickBot="1" x14ac:dyDescent="0.3">
      <c r="A216" s="693" t="s">
        <v>126</v>
      </c>
      <c r="B216" s="694">
        <f>SUM(B215)</f>
        <v>5782099.5099999998</v>
      </c>
      <c r="C216" s="694"/>
      <c r="D216" s="694">
        <f>SUM(D215:D215)</f>
        <v>45294518.18</v>
      </c>
      <c r="E216" s="694">
        <f>SUM(E215:E215)</f>
        <v>7059865.1900000004</v>
      </c>
      <c r="F216" s="694">
        <f>SUM(F215:F215)</f>
        <v>29048.66</v>
      </c>
      <c r="G216" s="694">
        <f>SUM(G215:G215)</f>
        <v>43987703.840000004</v>
      </c>
      <c r="H216" s="694">
        <f>SUM(H215)</f>
        <v>43987703.840000004</v>
      </c>
      <c r="I216" s="695">
        <f t="shared" si="21"/>
        <v>100</v>
      </c>
      <c r="J216" s="694">
        <f>SUM(J215:J215)</f>
        <v>0</v>
      </c>
      <c r="K216" s="696">
        <f t="shared" si="22"/>
        <v>0</v>
      </c>
    </row>
    <row r="217" spans="1:11" s="781" customFormat="1" ht="24.95" customHeight="1" thickTop="1" thickBot="1" x14ac:dyDescent="0.3">
      <c r="A217" s="699" t="s">
        <v>36</v>
      </c>
      <c r="B217" s="700">
        <f>SUM(B215:B216)</f>
        <v>11564199.02</v>
      </c>
      <c r="C217" s="700"/>
      <c r="D217" s="700">
        <f>SUM(D216,D214)</f>
        <v>216633401.38000003</v>
      </c>
      <c r="E217" s="700">
        <f>SUM(E216,E214)</f>
        <v>32933577.720000003</v>
      </c>
      <c r="F217" s="700">
        <f>SUM(F216,F214)</f>
        <v>663147.44000000006</v>
      </c>
      <c r="G217" s="700">
        <f>SUM(G216,G214)</f>
        <v>248024141.25000003</v>
      </c>
      <c r="H217" s="700">
        <f>SUM(H216,H214)</f>
        <v>245345211.80000001</v>
      </c>
      <c r="I217" s="701">
        <f t="shared" si="21"/>
        <v>98.919891653893586</v>
      </c>
      <c r="J217" s="700">
        <f>SUM(J216,J214)</f>
        <v>2678929.4500000202</v>
      </c>
      <c r="K217" s="702">
        <f t="shared" si="22"/>
        <v>1.0801083461064176</v>
      </c>
    </row>
    <row r="218" spans="1:11" s="781" customFormat="1" ht="24.95" customHeight="1" thickTop="1" x14ac:dyDescent="0.25">
      <c r="A218" s="358"/>
      <c r="B218" s="780"/>
      <c r="C218" s="780"/>
      <c r="D218" s="780"/>
      <c r="E218" s="703"/>
      <c r="F218" s="703"/>
      <c r="G218" s="780"/>
      <c r="H218" s="780"/>
      <c r="I218" s="782"/>
    </row>
    <row r="219" spans="1:11" s="781" customFormat="1" ht="24.95" customHeight="1" x14ac:dyDescent="0.25">
      <c r="A219" s="704" t="s">
        <v>37</v>
      </c>
      <c r="C219" s="780"/>
      <c r="D219" s="780"/>
      <c r="E219" s="780"/>
      <c r="F219" s="780"/>
      <c r="G219" s="780"/>
      <c r="H219" s="780"/>
      <c r="I219" s="782"/>
      <c r="J219" s="705"/>
    </row>
    <row r="220" spans="1:11" s="781" customFormat="1" ht="24.95" customHeight="1" x14ac:dyDescent="0.25">
      <c r="A220" s="706" t="s">
        <v>127</v>
      </c>
      <c r="C220" s="780"/>
      <c r="D220" s="780"/>
      <c r="E220" s="780"/>
      <c r="F220" s="780"/>
      <c r="G220" s="780"/>
      <c r="H220" s="780"/>
      <c r="I220" s="782"/>
      <c r="J220" s="705"/>
    </row>
    <row r="221" spans="1:11" s="781" customFormat="1" ht="24.95" customHeight="1" x14ac:dyDescent="0.25">
      <c r="A221" s="706"/>
      <c r="B221" s="781" t="s">
        <v>128</v>
      </c>
      <c r="C221" s="780">
        <v>2664835.2599999998</v>
      </c>
      <c r="D221" s="780" t="s">
        <v>775</v>
      </c>
      <c r="E221" s="780"/>
      <c r="F221" s="780"/>
      <c r="G221" s="780"/>
      <c r="H221" s="780"/>
      <c r="I221" s="782"/>
    </row>
    <row r="222" spans="1:11" s="781" customFormat="1" ht="24.95" customHeight="1" x14ac:dyDescent="0.25">
      <c r="A222" s="706"/>
      <c r="B222" s="781" t="s">
        <v>130</v>
      </c>
      <c r="C222" s="780">
        <v>3695.34</v>
      </c>
      <c r="D222" s="780" t="s">
        <v>1367</v>
      </c>
      <c r="E222" s="780"/>
      <c r="F222" s="780"/>
      <c r="G222" s="780"/>
      <c r="H222" s="780"/>
      <c r="I222" s="782"/>
    </row>
    <row r="223" spans="1:11" s="781" customFormat="1" ht="24.95" customHeight="1" x14ac:dyDescent="0.25">
      <c r="A223" s="358"/>
      <c r="B223" s="781" t="s">
        <v>1252</v>
      </c>
      <c r="C223" s="780">
        <v>4239.34</v>
      </c>
      <c r="D223" s="780" t="s">
        <v>1368</v>
      </c>
      <c r="E223" s="780"/>
      <c r="F223" s="780"/>
      <c r="G223" s="780"/>
      <c r="H223" s="780"/>
      <c r="I223" s="782"/>
    </row>
    <row r="224" spans="1:11" s="781" customFormat="1" ht="24.95" customHeight="1" x14ac:dyDescent="0.25">
      <c r="A224" s="358"/>
      <c r="B224" s="781" t="s">
        <v>1254</v>
      </c>
      <c r="C224" s="780">
        <v>1141.5999999999999</v>
      </c>
      <c r="D224" s="780" t="s">
        <v>1369</v>
      </c>
      <c r="E224" s="780"/>
      <c r="F224" s="780"/>
      <c r="G224" s="780"/>
      <c r="H224" s="780"/>
      <c r="I224" s="782"/>
    </row>
    <row r="225" spans="1:11" s="781" customFormat="1" ht="24.95" customHeight="1" x14ac:dyDescent="0.25">
      <c r="A225" s="358"/>
      <c r="B225" s="781" t="s">
        <v>1256</v>
      </c>
      <c r="C225" s="780">
        <v>55273.79</v>
      </c>
      <c r="D225" s="780" t="s">
        <v>1370</v>
      </c>
      <c r="E225" s="780"/>
      <c r="F225" s="780"/>
      <c r="G225" s="780"/>
      <c r="H225" s="780"/>
      <c r="I225" s="782"/>
    </row>
    <row r="226" spans="1:11" s="781" customFormat="1" ht="24.95" customHeight="1" x14ac:dyDescent="0.25">
      <c r="A226" s="358"/>
      <c r="B226" s="781" t="s">
        <v>1371</v>
      </c>
      <c r="C226" s="780">
        <v>2600485.19</v>
      </c>
      <c r="D226" s="780" t="s">
        <v>1372</v>
      </c>
      <c r="E226" s="780"/>
      <c r="F226" s="780"/>
      <c r="G226" s="780"/>
      <c r="H226" s="780"/>
      <c r="I226" s="782"/>
    </row>
    <row r="227" spans="1:11" s="781" customFormat="1" ht="24.95" customHeight="1" x14ac:dyDescent="0.25">
      <c r="A227" s="706"/>
      <c r="C227" s="780"/>
      <c r="D227" s="780"/>
      <c r="E227" s="780"/>
      <c r="F227" s="780"/>
      <c r="G227" s="780"/>
      <c r="H227" s="780"/>
      <c r="I227" s="782"/>
    </row>
    <row r="228" spans="1:11" s="781" customFormat="1" ht="24.95" customHeight="1" x14ac:dyDescent="0.25">
      <c r="A228" s="706" t="s">
        <v>135</v>
      </c>
      <c r="B228" s="781" t="s">
        <v>128</v>
      </c>
      <c r="C228" s="780">
        <v>14094.19</v>
      </c>
      <c r="D228" s="780" t="s">
        <v>324</v>
      </c>
      <c r="E228" s="780"/>
      <c r="F228" s="780"/>
      <c r="G228" s="780"/>
      <c r="H228" s="782"/>
    </row>
    <row r="229" spans="1:11" s="781" customFormat="1" ht="24.95" customHeight="1" x14ac:dyDescent="0.25">
      <c r="A229" s="358"/>
      <c r="B229" s="781" t="s">
        <v>1504</v>
      </c>
      <c r="C229" s="780">
        <v>14094.19</v>
      </c>
      <c r="D229" s="780" t="s">
        <v>1372</v>
      </c>
      <c r="E229" s="780"/>
      <c r="F229" s="780"/>
      <c r="G229" s="780"/>
      <c r="H229" s="780"/>
      <c r="I229" s="782"/>
    </row>
    <row r="230" spans="1:11" s="781" customFormat="1" ht="24.95" customHeight="1" x14ac:dyDescent="0.25">
      <c r="A230" s="706"/>
      <c r="C230" s="780"/>
      <c r="D230" s="780"/>
      <c r="E230" s="780"/>
      <c r="F230" s="780"/>
      <c r="G230" s="780"/>
      <c r="H230" s="780"/>
      <c r="I230" s="782"/>
    </row>
    <row r="231" spans="1:11" s="781" customFormat="1" ht="16.5" x14ac:dyDescent="0.25">
      <c r="A231" s="33"/>
      <c r="B231" s="901" t="s">
        <v>1505</v>
      </c>
      <c r="C231" s="901"/>
      <c r="D231" s="901"/>
      <c r="E231" s="901"/>
      <c r="F231" s="901"/>
      <c r="G231" s="901"/>
      <c r="H231" s="901"/>
      <c r="I231" s="901"/>
      <c r="J231" s="901"/>
      <c r="K231" s="901"/>
    </row>
    <row r="232" spans="1:11" s="781" customFormat="1" ht="17.25" thickBot="1" x14ac:dyDescent="0.3">
      <c r="B232" s="780"/>
      <c r="C232" s="780"/>
      <c r="D232" s="780"/>
      <c r="E232" s="780"/>
      <c r="F232" s="780"/>
      <c r="G232" s="780"/>
      <c r="H232" s="674"/>
      <c r="I232" s="796"/>
      <c r="J232" s="780"/>
      <c r="K232" s="41"/>
    </row>
    <row r="233" spans="1:11" s="781" customFormat="1" ht="66.75" thickBot="1" x14ac:dyDescent="0.3">
      <c r="A233" s="783" t="s">
        <v>1506</v>
      </c>
      <c r="B233" s="675" t="s">
        <v>863</v>
      </c>
      <c r="C233" s="676" t="s">
        <v>112</v>
      </c>
      <c r="D233" s="676" t="s">
        <v>864</v>
      </c>
      <c r="E233" s="676" t="s">
        <v>865</v>
      </c>
      <c r="F233" s="676" t="s">
        <v>866</v>
      </c>
      <c r="G233" s="675" t="s">
        <v>867</v>
      </c>
      <c r="H233" s="675" t="s">
        <v>868</v>
      </c>
      <c r="I233" s="675" t="s">
        <v>869</v>
      </c>
      <c r="J233" s="675" t="s">
        <v>870</v>
      </c>
      <c r="K233" s="676" t="s">
        <v>871</v>
      </c>
    </row>
    <row r="234" spans="1:11" s="781" customFormat="1" ht="24.75" customHeight="1" x14ac:dyDescent="0.25">
      <c r="A234" s="677" t="s">
        <v>47</v>
      </c>
      <c r="B234" s="678">
        <v>2664835.2600000501</v>
      </c>
      <c r="C234" s="738" t="s">
        <v>1507</v>
      </c>
      <c r="D234" s="679">
        <v>187782415.83000001</v>
      </c>
      <c r="E234" s="680">
        <v>36392056.469999999</v>
      </c>
      <c r="F234" s="680">
        <v>733309.47</v>
      </c>
      <c r="G234" s="679">
        <f>B234+D234-E234-F234</f>
        <v>153321885.15000007</v>
      </c>
      <c r="H234" s="681">
        <v>149006536.49000001</v>
      </c>
      <c r="I234" s="682">
        <f t="shared" ref="I234:I239" si="23">H234/G234*100</f>
        <v>97.185432036804002</v>
      </c>
      <c r="J234" s="683">
        <f>G234-H234</f>
        <v>4315348.660000056</v>
      </c>
      <c r="K234" s="684">
        <f t="shared" ref="K234:K239" si="24">J234/G234*100</f>
        <v>2.8145679631959926</v>
      </c>
    </row>
    <row r="235" spans="1:11" s="781" customFormat="1" ht="24.75" customHeight="1" thickBot="1" x14ac:dyDescent="0.3">
      <c r="A235" s="685" t="s">
        <v>122</v>
      </c>
      <c r="B235" s="686">
        <v>14094.189999999478</v>
      </c>
      <c r="C235" s="739" t="s">
        <v>1507</v>
      </c>
      <c r="D235" s="687">
        <f>1083373.1-14094.19+57629.55</f>
        <v>1126908.4600000002</v>
      </c>
      <c r="E235" s="688">
        <v>270181.39</v>
      </c>
      <c r="F235" s="688">
        <v>133111.66</v>
      </c>
      <c r="G235" s="689">
        <f>B235+D235-E235-F235</f>
        <v>737709.59999999963</v>
      </c>
      <c r="H235" s="690">
        <v>680080.05</v>
      </c>
      <c r="I235" s="691">
        <f t="shared" si="23"/>
        <v>92.188043913214685</v>
      </c>
      <c r="J235" s="692">
        <f>G235-H235</f>
        <v>57629.549999999581</v>
      </c>
      <c r="K235" s="688">
        <f t="shared" si="24"/>
        <v>7.8119560867853171</v>
      </c>
    </row>
    <row r="236" spans="1:11" s="781" customFormat="1" ht="24.75" customHeight="1" thickTop="1" thickBot="1" x14ac:dyDescent="0.3">
      <c r="A236" s="693" t="s">
        <v>123</v>
      </c>
      <c r="B236" s="694">
        <f>SUM(B234:B235)</f>
        <v>2678929.4500000495</v>
      </c>
      <c r="C236" s="694"/>
      <c r="D236" s="694">
        <f>SUM(D234:D235)</f>
        <v>188909324.29000002</v>
      </c>
      <c r="E236" s="694">
        <f>SUM(E234:E235)</f>
        <v>36662237.859999999</v>
      </c>
      <c r="F236" s="694">
        <f>SUM(F234:F235)</f>
        <v>866421.13</v>
      </c>
      <c r="G236" s="694">
        <f>B236+D236-E236-F236</f>
        <v>154059594.75000006</v>
      </c>
      <c r="H236" s="694">
        <f>H234+H235</f>
        <v>149686616.54000002</v>
      </c>
      <c r="I236" s="695">
        <f t="shared" si="23"/>
        <v>97.161502198486062</v>
      </c>
      <c r="J236" s="694">
        <f>J234+J235</f>
        <v>4372978.2100000558</v>
      </c>
      <c r="K236" s="696">
        <f t="shared" si="24"/>
        <v>2.8384978015139524</v>
      </c>
    </row>
    <row r="237" spans="1:11" s="781" customFormat="1" ht="24.75" customHeight="1" thickTop="1" thickBot="1" x14ac:dyDescent="0.3">
      <c r="A237" s="685" t="s">
        <v>124</v>
      </c>
      <c r="B237" s="687">
        <v>5782099.5100000054</v>
      </c>
      <c r="C237" s="740" t="s">
        <v>1508</v>
      </c>
      <c r="D237" s="687">
        <v>59095858.240000002</v>
      </c>
      <c r="E237" s="688">
        <f>5562+9481259.11</f>
        <v>9486821.1099999994</v>
      </c>
      <c r="F237" s="697">
        <v>3397.58</v>
      </c>
      <c r="G237" s="698">
        <f>B237+D237-E237-F237</f>
        <v>55387739.06000001</v>
      </c>
      <c r="H237" s="690">
        <f>20301610.91+33092052.36</f>
        <v>53393663.269999996</v>
      </c>
      <c r="I237" s="691">
        <f t="shared" si="23"/>
        <v>96.39978842999912</v>
      </c>
      <c r="J237" s="692">
        <f>G237-H237</f>
        <v>1994075.790000014</v>
      </c>
      <c r="K237" s="688">
        <f t="shared" si="24"/>
        <v>3.6002115700008748</v>
      </c>
    </row>
    <row r="238" spans="1:11" s="781" customFormat="1" ht="24.75" customHeight="1" thickTop="1" thickBot="1" x14ac:dyDescent="0.3">
      <c r="A238" s="693" t="s">
        <v>126</v>
      </c>
      <c r="B238" s="694">
        <f>SUM(B237)</f>
        <v>5782099.5100000054</v>
      </c>
      <c r="C238" s="694"/>
      <c r="D238" s="694">
        <f>SUM(D237:D237)</f>
        <v>59095858.240000002</v>
      </c>
      <c r="E238" s="694">
        <f>SUM(E237:E237)</f>
        <v>9486821.1099999994</v>
      </c>
      <c r="F238" s="694">
        <f>SUM(F237:F237)</f>
        <v>3397.58</v>
      </c>
      <c r="G238" s="694">
        <f>SUM(G237:G237)</f>
        <v>55387739.06000001</v>
      </c>
      <c r="H238" s="694">
        <f>SUM(H237)</f>
        <v>53393663.269999996</v>
      </c>
      <c r="I238" s="695">
        <f t="shared" si="23"/>
        <v>96.39978842999912</v>
      </c>
      <c r="J238" s="694">
        <f>SUM(J237:J237)</f>
        <v>1994075.790000014</v>
      </c>
      <c r="K238" s="696">
        <f t="shared" si="24"/>
        <v>3.6002115700008748</v>
      </c>
    </row>
    <row r="239" spans="1:11" s="781" customFormat="1" ht="24.75" customHeight="1" thickTop="1" thickBot="1" x14ac:dyDescent="0.3">
      <c r="A239" s="699" t="s">
        <v>36</v>
      </c>
      <c r="B239" s="700">
        <f>SUM(B237:B238)</f>
        <v>11564199.020000011</v>
      </c>
      <c r="C239" s="700"/>
      <c r="D239" s="700">
        <f>SUM(D238,D236)</f>
        <v>248005182.53000003</v>
      </c>
      <c r="E239" s="700">
        <f>SUM(E238,E236)</f>
        <v>46149058.969999999</v>
      </c>
      <c r="F239" s="700">
        <f>SUM(F238,F236)</f>
        <v>869818.71</v>
      </c>
      <c r="G239" s="700">
        <f>SUM(G238,G236)</f>
        <v>209447333.81000006</v>
      </c>
      <c r="H239" s="700">
        <f>SUM(H238,H236)</f>
        <v>203080279.81</v>
      </c>
      <c r="I239" s="701">
        <f t="shared" si="23"/>
        <v>96.960069204902879</v>
      </c>
      <c r="J239" s="700">
        <f>SUM(J238,J236)</f>
        <v>6367054.0000000698</v>
      </c>
      <c r="K239" s="702">
        <f t="shared" si="24"/>
        <v>3.0399307950971273</v>
      </c>
    </row>
    <row r="240" spans="1:11" s="781" customFormat="1" ht="24.75" customHeight="1" thickTop="1" x14ac:dyDescent="0.25">
      <c r="A240" s="358"/>
      <c r="B240" s="780"/>
      <c r="C240" s="780"/>
      <c r="D240" s="780"/>
      <c r="E240" s="703"/>
      <c r="F240" s="703"/>
      <c r="G240" s="780"/>
      <c r="H240" s="780"/>
      <c r="I240" s="782"/>
    </row>
    <row r="241" spans="1:10" s="781" customFormat="1" ht="24.75" customHeight="1" x14ac:dyDescent="0.25">
      <c r="A241" s="704" t="s">
        <v>37</v>
      </c>
      <c r="C241" s="780"/>
      <c r="D241" s="780"/>
      <c r="E241" s="780"/>
      <c r="F241" s="780"/>
      <c r="G241" s="780"/>
      <c r="H241" s="780"/>
      <c r="I241" s="782"/>
      <c r="J241" s="705"/>
    </row>
    <row r="242" spans="1:10" s="781" customFormat="1" ht="24.75" customHeight="1" x14ac:dyDescent="0.25">
      <c r="A242" s="706" t="s">
        <v>127</v>
      </c>
      <c r="C242" s="780"/>
      <c r="D242" s="780"/>
      <c r="E242" s="780"/>
      <c r="F242" s="780"/>
      <c r="G242" s="780"/>
      <c r="H242" s="780"/>
      <c r="I242" s="782"/>
      <c r="J242" s="705"/>
    </row>
    <row r="243" spans="1:10" s="781" customFormat="1" ht="24.75" customHeight="1" x14ac:dyDescent="0.25">
      <c r="A243" s="706"/>
      <c r="B243" s="781" t="s">
        <v>128</v>
      </c>
      <c r="C243" s="780">
        <v>4315348.66</v>
      </c>
      <c r="D243" s="780" t="s">
        <v>129</v>
      </c>
      <c r="E243" s="780"/>
      <c r="F243" s="780"/>
      <c r="G243" s="780"/>
      <c r="H243" s="780"/>
      <c r="I243" s="782"/>
    </row>
    <row r="244" spans="1:10" s="781" customFormat="1" ht="24.75" customHeight="1" x14ac:dyDescent="0.25">
      <c r="A244" s="358"/>
      <c r="B244" s="781" t="s">
        <v>1509</v>
      </c>
      <c r="C244" s="780">
        <v>2119.67</v>
      </c>
      <c r="D244" s="780" t="s">
        <v>1510</v>
      </c>
      <c r="E244" s="780"/>
      <c r="F244" s="780"/>
      <c r="G244" s="780"/>
      <c r="H244" s="780"/>
      <c r="I244" s="782"/>
    </row>
    <row r="245" spans="1:10" s="781" customFormat="1" ht="24.75" customHeight="1" x14ac:dyDescent="0.25">
      <c r="A245" s="358"/>
      <c r="B245" s="781" t="s">
        <v>1511</v>
      </c>
      <c r="C245" s="780">
        <v>3777.23</v>
      </c>
      <c r="D245" s="780" t="s">
        <v>1510</v>
      </c>
      <c r="E245" s="780"/>
      <c r="F245" s="780"/>
      <c r="G245" s="780"/>
      <c r="H245" s="780"/>
      <c r="I245" s="782"/>
    </row>
    <row r="246" spans="1:10" s="781" customFormat="1" ht="24.75" customHeight="1" x14ac:dyDescent="0.25">
      <c r="A246" s="358"/>
      <c r="B246" s="781" t="s">
        <v>1512</v>
      </c>
      <c r="C246" s="780">
        <v>7114.15</v>
      </c>
      <c r="D246" s="780" t="s">
        <v>1510</v>
      </c>
      <c r="E246" s="780"/>
      <c r="F246" s="780"/>
      <c r="G246" s="780"/>
      <c r="H246" s="780"/>
      <c r="I246" s="782"/>
    </row>
    <row r="247" spans="1:10" s="781" customFormat="1" ht="24.75" customHeight="1" x14ac:dyDescent="0.25">
      <c r="A247" s="358"/>
      <c r="B247" s="781" t="s">
        <v>1513</v>
      </c>
      <c r="C247" s="780">
        <v>4302337.6100000003</v>
      </c>
      <c r="D247" s="780" t="s">
        <v>1514</v>
      </c>
      <c r="E247" s="780"/>
      <c r="F247" s="780"/>
      <c r="G247" s="780"/>
      <c r="H247" s="780"/>
      <c r="I247" s="782"/>
    </row>
    <row r="248" spans="1:10" s="781" customFormat="1" ht="24.75" customHeight="1" x14ac:dyDescent="0.25">
      <c r="A248" s="358"/>
      <c r="C248" s="780"/>
      <c r="D248" s="780"/>
      <c r="E248" s="780"/>
      <c r="F248" s="780"/>
      <c r="G248" s="780"/>
      <c r="H248" s="780"/>
      <c r="I248" s="782"/>
    </row>
    <row r="249" spans="1:10" s="781" customFormat="1" ht="24.75" customHeight="1" x14ac:dyDescent="0.25">
      <c r="A249" s="706" t="s">
        <v>135</v>
      </c>
      <c r="B249" s="781" t="s">
        <v>128</v>
      </c>
      <c r="C249" s="780">
        <v>57629.55</v>
      </c>
      <c r="D249" s="780" t="s">
        <v>136</v>
      </c>
      <c r="E249" s="780"/>
      <c r="F249" s="780"/>
      <c r="G249" s="780"/>
      <c r="H249" s="780"/>
      <c r="I249" s="782"/>
    </row>
    <row r="250" spans="1:10" s="781" customFormat="1" ht="24.75" customHeight="1" x14ac:dyDescent="0.25">
      <c r="A250" s="358"/>
      <c r="B250" s="781" t="s">
        <v>1515</v>
      </c>
      <c r="C250" s="780">
        <v>57629.55</v>
      </c>
      <c r="D250" s="780" t="s">
        <v>1516</v>
      </c>
      <c r="E250" s="780"/>
      <c r="F250" s="780"/>
      <c r="G250" s="780"/>
      <c r="H250" s="782"/>
    </row>
    <row r="251" spans="1:10" s="781" customFormat="1" ht="24.75" customHeight="1" x14ac:dyDescent="0.25">
      <c r="A251" s="358"/>
      <c r="C251" s="780"/>
      <c r="D251" s="780"/>
      <c r="E251" s="780"/>
      <c r="F251" s="780"/>
      <c r="G251" s="780"/>
      <c r="H251" s="780"/>
      <c r="I251" s="782"/>
    </row>
    <row r="252" spans="1:10" s="781" customFormat="1" ht="24.75" customHeight="1" x14ac:dyDescent="0.25">
      <c r="A252" s="706" t="s">
        <v>425</v>
      </c>
      <c r="B252" s="781" t="s">
        <v>128</v>
      </c>
      <c r="C252" s="780">
        <v>1994075.790000014</v>
      </c>
      <c r="D252" s="780" t="s">
        <v>136</v>
      </c>
      <c r="E252" s="780"/>
      <c r="F252" s="780"/>
      <c r="G252" s="780"/>
      <c r="H252" s="780"/>
      <c r="I252" s="782"/>
    </row>
    <row r="253" spans="1:10" s="781" customFormat="1" ht="24.75" customHeight="1" x14ac:dyDescent="0.25">
      <c r="A253" s="358"/>
      <c r="B253" s="781" t="s">
        <v>1517</v>
      </c>
      <c r="C253" s="780">
        <v>1994075.79</v>
      </c>
      <c r="D253" s="780" t="s">
        <v>1518</v>
      </c>
      <c r="E253" s="780"/>
      <c r="F253" s="780"/>
      <c r="G253" s="780"/>
      <c r="H253" s="782"/>
    </row>
    <row r="254" spans="1:10" ht="24.75" customHeight="1" x14ac:dyDescent="0.25">
      <c r="D254" s="275"/>
    </row>
    <row r="255" spans="1:10" ht="24.75" customHeight="1" x14ac:dyDescent="0.25">
      <c r="D255" s="275"/>
    </row>
    <row r="256" spans="1:10" ht="24.95" customHeight="1" x14ac:dyDescent="0.25">
      <c r="A256" s="277"/>
      <c r="D256" s="275"/>
    </row>
    <row r="257" spans="1:7" ht="24.95" customHeight="1" x14ac:dyDescent="0.25">
      <c r="D257" s="275"/>
    </row>
    <row r="258" spans="1:7" ht="24.95" customHeight="1" x14ac:dyDescent="0.25">
      <c r="A258" s="559"/>
      <c r="B258" s="188"/>
      <c r="D258" s="555"/>
      <c r="E258" s="556"/>
      <c r="F258" s="556"/>
      <c r="G258" s="188"/>
    </row>
    <row r="259" spans="1:7" ht="24.95" customHeight="1" x14ac:dyDescent="0.25">
      <c r="A259" s="559"/>
      <c r="B259" s="188"/>
      <c r="D259" s="555"/>
      <c r="E259" s="556"/>
      <c r="F259" s="556"/>
    </row>
    <row r="260" spans="1:7" ht="24.95" customHeight="1" x14ac:dyDescent="0.25">
      <c r="A260" s="559"/>
      <c r="B260" s="560"/>
      <c r="C260" s="560"/>
      <c r="D260" s="561"/>
      <c r="E260" s="562"/>
      <c r="F260" s="562"/>
    </row>
    <row r="261" spans="1:7" ht="24.95" customHeight="1" x14ac:dyDescent="0.25">
      <c r="A261" s="559"/>
      <c r="B261" s="560"/>
      <c r="C261" s="560"/>
      <c r="D261" s="562"/>
      <c r="E261" s="562"/>
    </row>
    <row r="262" spans="1:7" ht="24.95" customHeight="1" x14ac:dyDescent="0.25">
      <c r="A262" s="563"/>
      <c r="C262" s="242"/>
      <c r="D262" s="275"/>
      <c r="E262" s="276"/>
    </row>
    <row r="263" spans="1:7" ht="24.95" customHeight="1" x14ac:dyDescent="0.25">
      <c r="A263" s="564"/>
      <c r="D263" s="275"/>
    </row>
    <row r="264" spans="1:7" ht="24.95" customHeight="1" x14ac:dyDescent="0.25">
      <c r="D264" s="275"/>
    </row>
    <row r="265" spans="1:7" ht="24.95" customHeight="1" x14ac:dyDescent="0.25">
      <c r="D265" s="275"/>
    </row>
    <row r="266" spans="1:7" ht="24.95" customHeight="1" x14ac:dyDescent="0.25">
      <c r="D266" s="275"/>
    </row>
    <row r="267" spans="1:7" ht="24.95" customHeight="1" x14ac:dyDescent="0.25">
      <c r="D267" s="275"/>
    </row>
    <row r="268" spans="1:7" ht="24.95" customHeight="1" x14ac:dyDescent="0.25">
      <c r="D268" s="275"/>
    </row>
    <row r="269" spans="1:7" ht="24.95" customHeight="1" x14ac:dyDescent="0.25">
      <c r="D269" s="275"/>
    </row>
    <row r="270" spans="1:7" ht="24.95" customHeight="1" x14ac:dyDescent="0.25">
      <c r="D270" s="275"/>
    </row>
    <row r="271" spans="1:7" ht="24.95" customHeight="1" x14ac:dyDescent="0.25">
      <c r="D271" s="275"/>
    </row>
    <row r="272" spans="1:7" ht="24.95" customHeight="1" x14ac:dyDescent="0.25">
      <c r="D272" s="275"/>
    </row>
    <row r="273" spans="1:4" ht="24.95" customHeight="1" x14ac:dyDescent="0.25">
      <c r="A273" s="564"/>
      <c r="D273" s="275"/>
    </row>
    <row r="274" spans="1:4" ht="24.95" customHeight="1" x14ac:dyDescent="0.25">
      <c r="D274" s="275"/>
    </row>
    <row r="275" spans="1:4" ht="24.95" customHeight="1" x14ac:dyDescent="0.25">
      <c r="D275" s="275"/>
    </row>
    <row r="276" spans="1:4" ht="24.95" customHeight="1" x14ac:dyDescent="0.25">
      <c r="D276" s="275"/>
    </row>
    <row r="277" spans="1:4" ht="24.95" customHeight="1" x14ac:dyDescent="0.25">
      <c r="D277" s="275"/>
    </row>
    <row r="279" spans="1:4" ht="24.95" customHeight="1" x14ac:dyDescent="0.25">
      <c r="A279" s="563"/>
      <c r="C279" s="242"/>
    </row>
    <row r="280" spans="1:4" ht="24.95" customHeight="1" x14ac:dyDescent="0.25">
      <c r="A280" s="564"/>
    </row>
    <row r="286" spans="1:4" ht="24.95" customHeight="1" x14ac:dyDescent="0.25">
      <c r="A286" s="564"/>
    </row>
    <row r="293" spans="1:7" ht="24.95" customHeight="1" x14ac:dyDescent="0.25">
      <c r="A293" s="551"/>
      <c r="B293" s="163"/>
      <c r="C293" s="165"/>
      <c r="D293" s="163"/>
      <c r="E293" s="213"/>
    </row>
    <row r="295" spans="1:7" ht="24.95" customHeight="1" x14ac:dyDescent="0.25">
      <c r="A295" s="552"/>
      <c r="B295" s="553"/>
      <c r="C295" s="553"/>
      <c r="D295" s="553"/>
      <c r="E295" s="553"/>
      <c r="F295" s="554"/>
    </row>
    <row r="296" spans="1:7" ht="24.95" customHeight="1" x14ac:dyDescent="0.25">
      <c r="B296" s="188"/>
      <c r="D296" s="555"/>
      <c r="E296" s="556"/>
      <c r="F296" s="556"/>
    </row>
    <row r="297" spans="1:7" ht="24.95" customHeight="1" x14ac:dyDescent="0.25">
      <c r="B297" s="188"/>
      <c r="D297" s="555"/>
      <c r="E297" s="308"/>
      <c r="F297" s="556"/>
    </row>
    <row r="298" spans="1:7" ht="24.95" customHeight="1" x14ac:dyDescent="0.25">
      <c r="A298" s="559"/>
      <c r="B298" s="188"/>
      <c r="D298" s="555"/>
      <c r="E298" s="556"/>
      <c r="F298" s="556"/>
      <c r="G298" s="188"/>
    </row>
    <row r="299" spans="1:7" ht="24.95" customHeight="1" x14ac:dyDescent="0.25">
      <c r="A299" s="559"/>
      <c r="B299" s="188"/>
      <c r="D299" s="555"/>
      <c r="E299" s="556"/>
      <c r="F299" s="556"/>
    </row>
    <row r="300" spans="1:7" ht="24.95" customHeight="1" x14ac:dyDescent="0.25">
      <c r="A300" s="559"/>
      <c r="B300" s="560"/>
      <c r="C300" s="560"/>
      <c r="D300" s="561"/>
      <c r="E300" s="562"/>
      <c r="F300" s="562"/>
    </row>
    <row r="301" spans="1:7" ht="24.95" customHeight="1" x14ac:dyDescent="0.25">
      <c r="A301" s="559"/>
      <c r="B301" s="560"/>
      <c r="C301" s="560"/>
      <c r="D301" s="562"/>
      <c r="E301" s="562"/>
    </row>
    <row r="302" spans="1:7" ht="24.95" customHeight="1" x14ac:dyDescent="0.25">
      <c r="A302" s="563"/>
      <c r="C302" s="242"/>
      <c r="D302" s="275"/>
      <c r="E302" s="276"/>
    </row>
    <row r="303" spans="1:7" ht="24.95" customHeight="1" x14ac:dyDescent="0.25">
      <c r="A303" s="564"/>
      <c r="D303" s="275"/>
    </row>
    <row r="304" spans="1:7" ht="24.95" customHeight="1" x14ac:dyDescent="0.25">
      <c r="D304" s="275"/>
    </row>
    <row r="305" spans="1:4" ht="24.95" customHeight="1" x14ac:dyDescent="0.25">
      <c r="D305" s="275"/>
    </row>
    <row r="306" spans="1:4" ht="24.95" customHeight="1" x14ac:dyDescent="0.25">
      <c r="D306" s="275"/>
    </row>
    <row r="307" spans="1:4" ht="24.95" customHeight="1" x14ac:dyDescent="0.25">
      <c r="D307" s="275"/>
    </row>
    <row r="308" spans="1:4" ht="24.95" customHeight="1" x14ac:dyDescent="0.25">
      <c r="D308" s="275"/>
    </row>
    <row r="309" spans="1:4" ht="24.95" customHeight="1" x14ac:dyDescent="0.25">
      <c r="D309" s="275"/>
    </row>
    <row r="310" spans="1:4" ht="24.95" customHeight="1" x14ac:dyDescent="0.25">
      <c r="D310" s="275"/>
    </row>
    <row r="311" spans="1:4" ht="24.95" customHeight="1" x14ac:dyDescent="0.25">
      <c r="D311" s="275"/>
    </row>
    <row r="312" spans="1:4" ht="24.95" customHeight="1" x14ac:dyDescent="0.25">
      <c r="A312" s="564"/>
      <c r="D312" s="275"/>
    </row>
    <row r="313" spans="1:4" ht="24.95" customHeight="1" x14ac:dyDescent="0.25">
      <c r="D313" s="275"/>
    </row>
    <row r="314" spans="1:4" ht="24.95" customHeight="1" x14ac:dyDescent="0.25">
      <c r="D314" s="275"/>
    </row>
    <row r="316" spans="1:4" ht="24.95" customHeight="1" x14ac:dyDescent="0.25">
      <c r="A316" s="563"/>
      <c r="C316" s="242"/>
    </row>
    <row r="317" spans="1:4" ht="24.95" customHeight="1" x14ac:dyDescent="0.25">
      <c r="A317" s="564"/>
    </row>
    <row r="321" spans="1:7" ht="24.95" customHeight="1" x14ac:dyDescent="0.25">
      <c r="A321" s="564"/>
    </row>
    <row r="325" spans="1:7" ht="24.95" customHeight="1" x14ac:dyDescent="0.25">
      <c r="A325" s="551"/>
      <c r="B325" s="163"/>
      <c r="C325" s="165"/>
      <c r="D325" s="163"/>
      <c r="E325" s="213"/>
    </row>
    <row r="327" spans="1:7" ht="24.95" customHeight="1" x14ac:dyDescent="0.25">
      <c r="A327" s="552"/>
      <c r="B327" s="553"/>
      <c r="C327" s="553"/>
      <c r="D327" s="553"/>
      <c r="E327" s="553"/>
      <c r="F327" s="554"/>
    </row>
    <row r="328" spans="1:7" ht="24.95" customHeight="1" x14ac:dyDescent="0.25">
      <c r="B328" s="188"/>
      <c r="D328" s="555"/>
      <c r="E328" s="556"/>
      <c r="F328" s="556"/>
    </row>
    <row r="329" spans="1:7" ht="24.95" customHeight="1" x14ac:dyDescent="0.25">
      <c r="B329" s="188"/>
      <c r="D329" s="555"/>
      <c r="E329" s="308"/>
      <c r="F329" s="556"/>
    </row>
    <row r="330" spans="1:7" ht="24.95" customHeight="1" x14ac:dyDescent="0.25">
      <c r="B330" s="188"/>
      <c r="D330" s="555"/>
      <c r="E330" s="556"/>
      <c r="F330" s="556"/>
      <c r="G330" s="188"/>
    </row>
    <row r="331" spans="1:7" ht="24.95" customHeight="1" x14ac:dyDescent="0.25">
      <c r="B331" s="188"/>
      <c r="D331" s="555"/>
      <c r="E331" s="556"/>
      <c r="F331" s="556"/>
    </row>
    <row r="332" spans="1:7" ht="24.95" customHeight="1" x14ac:dyDescent="0.25">
      <c r="B332" s="188"/>
      <c r="D332" s="557"/>
      <c r="E332" s="556"/>
      <c r="F332" s="556"/>
    </row>
    <row r="333" spans="1:7" ht="24.95" customHeight="1" x14ac:dyDescent="0.25">
      <c r="B333" s="188"/>
      <c r="D333" s="556"/>
      <c r="E333" s="558"/>
    </row>
    <row r="334" spans="1:7" ht="24.95" customHeight="1" x14ac:dyDescent="0.25">
      <c r="A334" s="274"/>
      <c r="C334" s="242"/>
      <c r="D334" s="275"/>
      <c r="E334" s="276"/>
    </row>
    <row r="335" spans="1:7" ht="24.95" customHeight="1" x14ac:dyDescent="0.25">
      <c r="A335" s="277"/>
      <c r="D335" s="275"/>
    </row>
    <row r="336" spans="1:7" ht="24.95" customHeight="1" x14ac:dyDescent="0.25">
      <c r="D336" s="275"/>
    </row>
    <row r="337" spans="1:4" ht="24.95" customHeight="1" x14ac:dyDescent="0.25">
      <c r="D337" s="275"/>
    </row>
    <row r="338" spans="1:4" ht="24.95" customHeight="1" x14ac:dyDescent="0.25">
      <c r="D338" s="275"/>
    </row>
    <row r="339" spans="1:4" ht="24.95" customHeight="1" x14ac:dyDescent="0.25">
      <c r="D339" s="275"/>
    </row>
    <row r="340" spans="1:4" ht="24.95" customHeight="1" x14ac:dyDescent="0.25">
      <c r="D340" s="275"/>
    </row>
    <row r="341" spans="1:4" ht="24.95" customHeight="1" x14ac:dyDescent="0.25">
      <c r="D341" s="275"/>
    </row>
    <row r="342" spans="1:4" ht="24.95" customHeight="1" x14ac:dyDescent="0.25">
      <c r="D342" s="275"/>
    </row>
    <row r="343" spans="1:4" ht="24.95" customHeight="1" x14ac:dyDescent="0.25">
      <c r="D343" s="275"/>
    </row>
    <row r="344" spans="1:4" ht="24.95" customHeight="1" x14ac:dyDescent="0.25">
      <c r="D344" s="275"/>
    </row>
    <row r="345" spans="1:4" ht="24.95" customHeight="1" x14ac:dyDescent="0.25">
      <c r="A345" s="277"/>
      <c r="D345" s="275"/>
    </row>
    <row r="346" spans="1:4" ht="24.95" customHeight="1" x14ac:dyDescent="0.25">
      <c r="D346" s="275"/>
    </row>
    <row r="347" spans="1:4" ht="24.95" customHeight="1" x14ac:dyDescent="0.25">
      <c r="D347" s="275"/>
    </row>
    <row r="349" spans="1:4" ht="24.95" customHeight="1" x14ac:dyDescent="0.25">
      <c r="A349" s="274"/>
      <c r="C349" s="242"/>
    </row>
    <row r="350" spans="1:4" ht="24.95" customHeight="1" x14ac:dyDescent="0.25">
      <c r="A350" s="277"/>
    </row>
    <row r="355" spans="1:7" ht="24.95" customHeight="1" x14ac:dyDescent="0.25">
      <c r="A355" s="277"/>
    </row>
    <row r="359" spans="1:7" ht="24.95" customHeight="1" x14ac:dyDescent="0.25">
      <c r="A359" s="551"/>
      <c r="B359" s="163"/>
      <c r="C359" s="165"/>
      <c r="D359" s="163"/>
      <c r="E359" s="213"/>
    </row>
    <row r="361" spans="1:7" ht="24.95" customHeight="1" x14ac:dyDescent="0.25">
      <c r="A361" s="552"/>
      <c r="B361" s="553"/>
      <c r="C361" s="553"/>
      <c r="D361" s="553"/>
      <c r="E361" s="553"/>
      <c r="F361" s="554"/>
    </row>
    <row r="362" spans="1:7" ht="24.95" customHeight="1" x14ac:dyDescent="0.25">
      <c r="B362" s="188"/>
      <c r="D362" s="555"/>
      <c r="E362" s="556"/>
      <c r="F362" s="556"/>
    </row>
    <row r="363" spans="1:7" ht="24.95" customHeight="1" x14ac:dyDescent="0.25">
      <c r="B363" s="188"/>
      <c r="D363" s="555"/>
      <c r="E363" s="308"/>
      <c r="F363" s="556"/>
    </row>
    <row r="364" spans="1:7" ht="24.95" customHeight="1" x14ac:dyDescent="0.25">
      <c r="B364" s="188"/>
      <c r="D364" s="555"/>
      <c r="E364" s="556"/>
      <c r="F364" s="556"/>
      <c r="G364" s="188"/>
    </row>
    <row r="365" spans="1:7" ht="24.95" customHeight="1" x14ac:dyDescent="0.25">
      <c r="B365" s="188"/>
      <c r="D365" s="555"/>
      <c r="E365" s="556"/>
      <c r="F365" s="556"/>
    </row>
    <row r="366" spans="1:7" ht="24.95" customHeight="1" x14ac:dyDescent="0.25">
      <c r="B366" s="188"/>
      <c r="D366" s="557"/>
      <c r="E366" s="556"/>
      <c r="F366" s="556"/>
    </row>
    <row r="367" spans="1:7" ht="24.95" customHeight="1" x14ac:dyDescent="0.25">
      <c r="B367" s="188"/>
      <c r="D367" s="556"/>
      <c r="E367" s="558"/>
    </row>
    <row r="368" spans="1:7" ht="24.95" customHeight="1" x14ac:dyDescent="0.25">
      <c r="A368" s="274"/>
      <c r="C368" s="242"/>
      <c r="D368" s="275"/>
      <c r="E368" s="276"/>
    </row>
    <row r="369" spans="1:4" ht="24.95" customHeight="1" x14ac:dyDescent="0.25">
      <c r="A369" s="277"/>
      <c r="D369" s="275"/>
    </row>
    <row r="370" spans="1:4" ht="24.95" customHeight="1" x14ac:dyDescent="0.25">
      <c r="D370" s="275"/>
    </row>
    <row r="371" spans="1:4" ht="24.95" customHeight="1" x14ac:dyDescent="0.25">
      <c r="D371" s="275"/>
    </row>
    <row r="372" spans="1:4" ht="24.95" customHeight="1" x14ac:dyDescent="0.25">
      <c r="D372" s="275"/>
    </row>
    <row r="373" spans="1:4" ht="24.95" customHeight="1" x14ac:dyDescent="0.25">
      <c r="D373" s="275"/>
    </row>
    <row r="374" spans="1:4" ht="24.95" customHeight="1" x14ac:dyDescent="0.25">
      <c r="D374" s="275"/>
    </row>
    <row r="375" spans="1:4" ht="24.95" customHeight="1" x14ac:dyDescent="0.25">
      <c r="D375" s="275"/>
    </row>
    <row r="376" spans="1:4" ht="24.95" customHeight="1" x14ac:dyDescent="0.25">
      <c r="D376" s="275"/>
    </row>
    <row r="377" spans="1:4" ht="24.95" customHeight="1" x14ac:dyDescent="0.25">
      <c r="D377" s="275"/>
    </row>
    <row r="378" spans="1:4" ht="24.95" customHeight="1" x14ac:dyDescent="0.25">
      <c r="D378" s="275"/>
    </row>
    <row r="379" spans="1:4" ht="24.95" customHeight="1" x14ac:dyDescent="0.25">
      <c r="A379" s="277"/>
      <c r="D379" s="275"/>
    </row>
    <row r="380" spans="1:4" ht="24.95" customHeight="1" x14ac:dyDescent="0.25">
      <c r="D380" s="275"/>
    </row>
    <row r="381" spans="1:4" ht="24.95" customHeight="1" x14ac:dyDescent="0.25">
      <c r="D381" s="275"/>
    </row>
    <row r="383" spans="1:4" ht="24.95" customHeight="1" x14ac:dyDescent="0.25">
      <c r="A383" s="274"/>
      <c r="C383" s="242"/>
    </row>
    <row r="384" spans="1:4" ht="24.95" customHeight="1" x14ac:dyDescent="0.25">
      <c r="A384" s="277"/>
    </row>
    <row r="390" spans="1:7" ht="24.95" customHeight="1" x14ac:dyDescent="0.25">
      <c r="A390" s="277"/>
    </row>
    <row r="393" spans="1:7" ht="24.95" customHeight="1" x14ac:dyDescent="0.25">
      <c r="A393" s="551"/>
      <c r="B393" s="163"/>
      <c r="C393" s="165"/>
      <c r="D393" s="163"/>
      <c r="E393" s="213"/>
    </row>
    <row r="395" spans="1:7" ht="24.95" customHeight="1" x14ac:dyDescent="0.25">
      <c r="A395" s="552"/>
      <c r="B395" s="553"/>
      <c r="C395" s="553"/>
      <c r="D395" s="553"/>
      <c r="E395" s="553"/>
      <c r="F395" s="554"/>
    </row>
    <row r="396" spans="1:7" ht="24.95" customHeight="1" x14ac:dyDescent="0.25">
      <c r="B396" s="188"/>
      <c r="D396" s="555"/>
      <c r="E396" s="556"/>
      <c r="F396" s="556"/>
    </row>
    <row r="397" spans="1:7" ht="24.95" customHeight="1" x14ac:dyDescent="0.25">
      <c r="B397" s="188"/>
      <c r="D397" s="555"/>
      <c r="E397" s="308"/>
      <c r="F397" s="556"/>
    </row>
    <row r="398" spans="1:7" ht="24.95" customHeight="1" x14ac:dyDescent="0.25">
      <c r="B398" s="188"/>
      <c r="D398" s="555"/>
      <c r="E398" s="556"/>
      <c r="F398" s="556"/>
      <c r="G398" s="188"/>
    </row>
    <row r="399" spans="1:7" ht="24.95" customHeight="1" x14ac:dyDescent="0.25">
      <c r="B399" s="188"/>
      <c r="D399" s="555"/>
      <c r="E399" s="556"/>
      <c r="F399" s="556"/>
    </row>
    <row r="400" spans="1:7" ht="24.95" customHeight="1" x14ac:dyDescent="0.25">
      <c r="B400" s="188"/>
      <c r="D400" s="557"/>
      <c r="E400" s="556"/>
      <c r="F400" s="556"/>
    </row>
    <row r="401" spans="1:5" ht="24.95" customHeight="1" x14ac:dyDescent="0.25">
      <c r="B401" s="188"/>
      <c r="D401" s="556"/>
      <c r="E401" s="558"/>
    </row>
    <row r="402" spans="1:5" ht="24.95" customHeight="1" x14ac:dyDescent="0.25">
      <c r="A402" s="274"/>
      <c r="C402" s="242"/>
      <c r="D402" s="275"/>
      <c r="E402" s="276"/>
    </row>
    <row r="403" spans="1:5" ht="24.95" customHeight="1" x14ac:dyDescent="0.25">
      <c r="A403" s="277"/>
      <c r="D403" s="275"/>
    </row>
    <row r="404" spans="1:5" ht="24.95" customHeight="1" x14ac:dyDescent="0.25">
      <c r="D404" s="275"/>
    </row>
    <row r="405" spans="1:5" ht="24.95" customHeight="1" x14ac:dyDescent="0.25">
      <c r="D405" s="275"/>
    </row>
    <row r="406" spans="1:5" ht="24.95" customHeight="1" x14ac:dyDescent="0.25">
      <c r="D406" s="275"/>
    </row>
    <row r="407" spans="1:5" ht="24.95" customHeight="1" x14ac:dyDescent="0.25">
      <c r="D407" s="275"/>
    </row>
    <row r="408" spans="1:5" ht="24.95" customHeight="1" x14ac:dyDescent="0.25">
      <c r="D408" s="275"/>
    </row>
    <row r="409" spans="1:5" ht="24.95" customHeight="1" x14ac:dyDescent="0.25">
      <c r="D409" s="275"/>
    </row>
    <row r="410" spans="1:5" ht="24.95" customHeight="1" x14ac:dyDescent="0.25">
      <c r="D410" s="275"/>
    </row>
    <row r="411" spans="1:5" ht="24.95" customHeight="1" x14ac:dyDescent="0.25">
      <c r="D411" s="275"/>
    </row>
    <row r="412" spans="1:5" ht="24.95" customHeight="1" x14ac:dyDescent="0.25">
      <c r="D412" s="275"/>
    </row>
    <row r="413" spans="1:5" ht="24.95" customHeight="1" x14ac:dyDescent="0.25">
      <c r="A413" s="277"/>
      <c r="D413" s="275"/>
    </row>
    <row r="414" spans="1:5" ht="24.95" customHeight="1" x14ac:dyDescent="0.25">
      <c r="D414" s="275"/>
    </row>
    <row r="415" spans="1:5" ht="24.95" customHeight="1" x14ac:dyDescent="0.25">
      <c r="D415" s="275"/>
    </row>
    <row r="417" spans="1:3" ht="24.95" customHeight="1" x14ac:dyDescent="0.25">
      <c r="A417" s="274"/>
      <c r="C417" s="242"/>
    </row>
    <row r="418" spans="1:3" ht="24.95" customHeight="1" x14ac:dyDescent="0.25">
      <c r="A418" s="277"/>
    </row>
    <row r="420" spans="1:3" ht="24.95" customHeight="1" x14ac:dyDescent="0.25">
      <c r="A420" s="277"/>
    </row>
  </sheetData>
  <mergeCells count="11">
    <mergeCell ref="B125:K125"/>
    <mergeCell ref="B21:K21"/>
    <mergeCell ref="B41:K41"/>
    <mergeCell ref="B64:K64"/>
    <mergeCell ref="B84:K84"/>
    <mergeCell ref="B105:K105"/>
    <mergeCell ref="B231:K231"/>
    <mergeCell ref="B209:K209"/>
    <mergeCell ref="B185:K185"/>
    <mergeCell ref="B163:K163"/>
    <mergeCell ref="B144:K144"/>
  </mergeCells>
  <printOptions horizontalCentered="1"/>
  <pageMargins left="0.3" right="0.3" top="0.7" bottom="0.7" header="0.3" footer="0.3"/>
  <pageSetup scale="57" fitToHeight="0" orientation="landscape" r:id="rId1"/>
  <headerFooter>
    <oddHeader>&amp;F</oddHeader>
    <oddFooter>&amp;A&amp;RPage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9"/>
  <sheetViews>
    <sheetView topLeftCell="A199" zoomScaleNormal="100" workbookViewId="0">
      <selection activeCell="J205" sqref="J205"/>
    </sheetView>
  </sheetViews>
  <sheetFormatPr defaultColWidth="13.85546875" defaultRowHeight="20.100000000000001" customHeight="1" x14ac:dyDescent="0.3"/>
  <cols>
    <col min="1" max="1" width="29.140625" style="131" customWidth="1"/>
    <col min="2" max="2" width="32.5703125" style="132" bestFit="1" customWidth="1"/>
    <col min="3" max="3" width="20.7109375" style="17" customWidth="1"/>
    <col min="4" max="10" width="20.7109375" style="131" customWidth="1"/>
    <col min="11" max="16384" width="13.85546875" style="131"/>
  </cols>
  <sheetData>
    <row r="1" spans="1:12" ht="20.100000000000001" customHeight="1" x14ac:dyDescent="0.3">
      <c r="A1" s="33"/>
      <c r="B1" s="33"/>
      <c r="C1" s="366" t="s">
        <v>80</v>
      </c>
      <c r="D1" s="366"/>
      <c r="E1" s="366"/>
      <c r="F1" s="366"/>
      <c r="G1" s="366"/>
      <c r="H1" s="65"/>
      <c r="I1" s="67"/>
      <c r="J1" s="33"/>
    </row>
    <row r="2" spans="1:12" ht="20.100000000000001" customHeight="1" thickBot="1" x14ac:dyDescent="0.35">
      <c r="C2" s="132"/>
      <c r="D2" s="132"/>
      <c r="E2" s="132"/>
      <c r="F2" s="132"/>
      <c r="G2" s="132"/>
      <c r="H2" s="17"/>
      <c r="I2" s="59"/>
    </row>
    <row r="3" spans="1:12" s="354" customFormat="1" ht="50.25" thickBot="1" x14ac:dyDescent="0.3">
      <c r="A3" s="169" t="s">
        <v>81</v>
      </c>
      <c r="B3" s="170" t="s">
        <v>14</v>
      </c>
      <c r="C3" s="171" t="s">
        <v>82</v>
      </c>
      <c r="D3" s="171" t="s">
        <v>17</v>
      </c>
      <c r="E3" s="171" t="s">
        <v>18</v>
      </c>
      <c r="F3" s="170" t="s">
        <v>19</v>
      </c>
      <c r="G3" s="170" t="s">
        <v>59</v>
      </c>
      <c r="H3" s="170" t="s">
        <v>60</v>
      </c>
      <c r="I3" s="170" t="s">
        <v>61</v>
      </c>
      <c r="J3" s="214" t="s">
        <v>83</v>
      </c>
      <c r="K3" s="94"/>
    </row>
    <row r="4" spans="1:12" ht="20.100000000000001" customHeight="1" x14ac:dyDescent="0.3">
      <c r="A4" s="215" t="s">
        <v>47</v>
      </c>
      <c r="B4" s="216">
        <v>4227841.2399999946</v>
      </c>
      <c r="C4" s="217">
        <v>38316846.659999996</v>
      </c>
      <c r="D4" s="218">
        <v>0</v>
      </c>
      <c r="E4" s="218">
        <v>835230.89</v>
      </c>
      <c r="F4" s="219">
        <f>B4+C4-D4-E4</f>
        <v>41709457.00999999</v>
      </c>
      <c r="G4" s="216">
        <f>26840521.94-E4</f>
        <v>26005291.050000001</v>
      </c>
      <c r="H4" s="216">
        <f>G4/F4*100</f>
        <v>62.348668417728717</v>
      </c>
      <c r="I4" s="216">
        <f>F4-G4</f>
        <v>15704165.95999999</v>
      </c>
      <c r="J4" s="216">
        <f>I4/F4*100</f>
        <v>37.651331582271283</v>
      </c>
      <c r="K4" s="49"/>
      <c r="L4" s="95"/>
    </row>
    <row r="5" spans="1:12" ht="20.100000000000001" customHeight="1" thickBot="1" x14ac:dyDescent="0.35">
      <c r="A5" s="220" t="s">
        <v>50</v>
      </c>
      <c r="B5" s="222">
        <v>335843.29999999981</v>
      </c>
      <c r="C5" s="221">
        <v>11917447.77</v>
      </c>
      <c r="D5" s="222">
        <v>0</v>
      </c>
      <c r="E5" s="223">
        <v>21249.49</v>
      </c>
      <c r="F5" s="221">
        <f>B5+C5-D5-E5</f>
        <v>12232041.58</v>
      </c>
      <c r="G5" s="222">
        <f>10719989.48-E5</f>
        <v>10698739.99</v>
      </c>
      <c r="H5" s="411">
        <f>G5/F5*100</f>
        <v>87.464875916486221</v>
      </c>
      <c r="I5" s="222">
        <f>F5-G5</f>
        <v>1533301.5899999999</v>
      </c>
      <c r="J5" s="411">
        <f>I5/F5*100</f>
        <v>12.535124083513782</v>
      </c>
      <c r="K5" s="49"/>
      <c r="L5" s="95"/>
    </row>
    <row r="6" spans="1:12" ht="20.100000000000001" customHeight="1" thickTop="1" thickBot="1" x14ac:dyDescent="0.35">
      <c r="A6" s="412" t="s">
        <v>36</v>
      </c>
      <c r="B6" s="413">
        <f>SUM(B4:B5)</f>
        <v>4563684.5399999944</v>
      </c>
      <c r="C6" s="413">
        <f>SUM(C4:C5)</f>
        <v>50234294.429999992</v>
      </c>
      <c r="D6" s="414">
        <v>0</v>
      </c>
      <c r="E6" s="413">
        <f>SUM(E4:E5)</f>
        <v>856480.38</v>
      </c>
      <c r="F6" s="413">
        <f>SUM(F4:F5)</f>
        <v>53941498.589999989</v>
      </c>
      <c r="G6" s="413">
        <f>SUM(G4:G5)</f>
        <v>36704031.039999999</v>
      </c>
      <c r="H6" s="415">
        <f>G6/F6*100</f>
        <v>68.044144118021265</v>
      </c>
      <c r="I6" s="413">
        <f>SUM(I4:I5)</f>
        <v>17237467.54999999</v>
      </c>
      <c r="J6" s="415">
        <f>I6/F6*100</f>
        <v>31.955855881978739</v>
      </c>
    </row>
    <row r="7" spans="1:12" ht="20.100000000000001" customHeight="1" thickTop="1" x14ac:dyDescent="0.3">
      <c r="B7" s="131"/>
      <c r="C7" s="132"/>
      <c r="D7" s="132"/>
      <c r="E7" s="132"/>
      <c r="F7" s="132"/>
      <c r="G7" s="132"/>
      <c r="H7" s="17"/>
      <c r="I7" s="52"/>
    </row>
    <row r="8" spans="1:12" ht="20.100000000000001" customHeight="1" x14ac:dyDescent="0.3">
      <c r="A8" s="53" t="s">
        <v>84</v>
      </c>
      <c r="B8" s="131"/>
      <c r="C8" s="56"/>
      <c r="D8" s="132"/>
      <c r="E8" s="132"/>
      <c r="F8" s="132"/>
      <c r="G8" s="132"/>
      <c r="H8" s="17"/>
      <c r="I8" s="62"/>
      <c r="J8" s="63"/>
      <c r="K8" s="62"/>
    </row>
    <row r="9" spans="1:12" ht="20.100000000000001" customHeight="1" x14ac:dyDescent="0.3">
      <c r="A9" s="54" t="s">
        <v>47</v>
      </c>
      <c r="B9" s="131" t="s">
        <v>85</v>
      </c>
      <c r="C9" s="51">
        <f>I4</f>
        <v>15704165.95999999</v>
      </c>
      <c r="D9" s="132" t="s">
        <v>86</v>
      </c>
      <c r="E9" s="132"/>
      <c r="F9" s="224"/>
      <c r="G9" s="132"/>
      <c r="H9" s="17"/>
      <c r="I9" s="49"/>
    </row>
    <row r="10" spans="1:12" ht="20.100000000000001" customHeight="1" x14ac:dyDescent="0.3">
      <c r="A10" s="131">
        <v>1</v>
      </c>
      <c r="B10" s="131" t="s">
        <v>87</v>
      </c>
      <c r="C10" s="56">
        <v>315600.39</v>
      </c>
      <c r="D10" s="132" t="s">
        <v>88</v>
      </c>
      <c r="E10" s="132"/>
      <c r="F10" s="66"/>
      <c r="G10" s="61"/>
      <c r="H10" s="17"/>
      <c r="I10" s="49"/>
    </row>
    <row r="11" spans="1:12" ht="20.100000000000001" customHeight="1" x14ac:dyDescent="0.3">
      <c r="A11" s="131">
        <v>2</v>
      </c>
      <c r="B11" s="131" t="s">
        <v>89</v>
      </c>
      <c r="C11" s="56">
        <v>5121.2700000000004</v>
      </c>
      <c r="D11" s="132" t="s">
        <v>90</v>
      </c>
      <c r="E11" s="132"/>
      <c r="F11" s="66"/>
      <c r="G11" s="61"/>
      <c r="H11" s="17"/>
      <c r="I11" s="49"/>
    </row>
    <row r="12" spans="1:12" ht="20.100000000000001" customHeight="1" x14ac:dyDescent="0.3">
      <c r="A12" s="131">
        <v>3</v>
      </c>
      <c r="B12" s="131" t="s">
        <v>91</v>
      </c>
      <c r="C12" s="56">
        <v>10436.299999999999</v>
      </c>
      <c r="D12" s="132" t="s">
        <v>92</v>
      </c>
      <c r="E12" s="132"/>
      <c r="F12" s="66"/>
      <c r="G12" s="61"/>
      <c r="H12" s="17"/>
      <c r="I12" s="49"/>
    </row>
    <row r="13" spans="1:12" ht="20.100000000000001" customHeight="1" x14ac:dyDescent="0.3">
      <c r="A13" s="70">
        <v>4</v>
      </c>
      <c r="B13" s="131" t="s">
        <v>93</v>
      </c>
      <c r="C13" s="56">
        <v>15373008</v>
      </c>
      <c r="D13" s="131" t="s">
        <v>92</v>
      </c>
      <c r="E13" s="132"/>
      <c r="F13" s="132"/>
      <c r="G13" s="132"/>
      <c r="H13" s="17"/>
      <c r="I13" s="49"/>
    </row>
    <row r="14" spans="1:12" ht="20.100000000000001" customHeight="1" x14ac:dyDescent="0.3">
      <c r="A14" s="70"/>
      <c r="B14" s="131"/>
      <c r="C14" s="56"/>
      <c r="E14" s="132"/>
    </row>
    <row r="15" spans="1:12" ht="20.100000000000001" customHeight="1" x14ac:dyDescent="0.3">
      <c r="A15" s="53" t="s">
        <v>84</v>
      </c>
      <c r="B15" s="131"/>
      <c r="C15" s="132"/>
      <c r="D15" s="132"/>
      <c r="E15" s="132"/>
      <c r="F15" s="132"/>
      <c r="G15" s="132"/>
      <c r="H15" s="17"/>
    </row>
    <row r="16" spans="1:12" ht="20.100000000000001" customHeight="1" x14ac:dyDescent="0.3">
      <c r="A16" s="54" t="s">
        <v>50</v>
      </c>
      <c r="B16" s="131" t="s">
        <v>94</v>
      </c>
      <c r="C16" s="51">
        <f>I5</f>
        <v>1533301.5899999999</v>
      </c>
      <c r="D16" s="132" t="s">
        <v>86</v>
      </c>
      <c r="E16" s="132"/>
      <c r="F16" s="132"/>
      <c r="G16" s="132"/>
      <c r="H16" s="17"/>
    </row>
    <row r="17" spans="1:12" ht="20.100000000000001" customHeight="1" x14ac:dyDescent="0.3">
      <c r="A17" s="131">
        <v>1</v>
      </c>
      <c r="B17" s="131" t="s">
        <v>93</v>
      </c>
      <c r="C17" s="132">
        <v>1533301.59</v>
      </c>
      <c r="D17" s="131" t="s">
        <v>92</v>
      </c>
      <c r="E17" s="132"/>
      <c r="F17" s="132"/>
      <c r="G17" s="132"/>
      <c r="H17" s="17"/>
    </row>
    <row r="18" spans="1:12" ht="20.100000000000001" customHeight="1" x14ac:dyDescent="0.3">
      <c r="D18" s="49"/>
    </row>
    <row r="19" spans="1:12" ht="20.100000000000001" customHeight="1" x14ac:dyDescent="0.3">
      <c r="A19" s="53"/>
    </row>
    <row r="20" spans="1:12" ht="18" customHeight="1" x14ac:dyDescent="0.3">
      <c r="A20" s="163"/>
      <c r="B20" s="163"/>
      <c r="C20" s="165" t="s">
        <v>299</v>
      </c>
      <c r="D20" s="165"/>
      <c r="E20" s="165"/>
      <c r="F20" s="165"/>
      <c r="G20" s="165"/>
      <c r="H20" s="192"/>
      <c r="I20" s="213"/>
      <c r="J20" s="163"/>
    </row>
    <row r="21" spans="1:12" ht="18" customHeight="1" thickBot="1" x14ac:dyDescent="0.35">
      <c r="C21" s="132"/>
      <c r="D21" s="132"/>
      <c r="E21" s="132"/>
      <c r="F21" s="132"/>
      <c r="G21" s="132"/>
      <c r="H21" s="17"/>
      <c r="I21" s="59"/>
    </row>
    <row r="22" spans="1:12" ht="50.25" thickBot="1" x14ac:dyDescent="0.35">
      <c r="A22" s="487" t="s">
        <v>300</v>
      </c>
      <c r="B22" s="488" t="s">
        <v>14</v>
      </c>
      <c r="C22" s="489" t="s">
        <v>301</v>
      </c>
      <c r="D22" s="489" t="s">
        <v>17</v>
      </c>
      <c r="E22" s="489" t="s">
        <v>18</v>
      </c>
      <c r="F22" s="490" t="s">
        <v>19</v>
      </c>
      <c r="G22" s="490" t="s">
        <v>59</v>
      </c>
      <c r="H22" s="490" t="s">
        <v>60</v>
      </c>
      <c r="I22" s="490" t="s">
        <v>61</v>
      </c>
      <c r="J22" s="214" t="s">
        <v>83</v>
      </c>
      <c r="K22" s="94"/>
    </row>
    <row r="23" spans="1:12" ht="18" customHeight="1" x14ac:dyDescent="0.3">
      <c r="A23" s="215" t="s">
        <v>47</v>
      </c>
      <c r="B23" s="216">
        <v>15704165.95999999</v>
      </c>
      <c r="C23" s="217">
        <v>52718238.850000001</v>
      </c>
      <c r="D23" s="218"/>
      <c r="E23" s="218">
        <v>1111704.77</v>
      </c>
      <c r="F23" s="219">
        <f>B23+C23-D23-E23</f>
        <v>67310700.039999992</v>
      </c>
      <c r="G23" s="216">
        <f>58079634.39-3451.55-E23</f>
        <v>56964478.07</v>
      </c>
      <c r="H23" s="216">
        <f>G23/F23*100</f>
        <v>84.629157082229639</v>
      </c>
      <c r="I23" s="216">
        <f>F23-G23</f>
        <v>10346221.969999991</v>
      </c>
      <c r="J23" s="216">
        <f>I23/F23*100</f>
        <v>15.370842917770364</v>
      </c>
      <c r="K23" s="49"/>
      <c r="L23" s="95"/>
    </row>
    <row r="24" spans="1:12" ht="18" customHeight="1" thickBot="1" x14ac:dyDescent="0.35">
      <c r="A24" s="220" t="s">
        <v>50</v>
      </c>
      <c r="B24" s="216">
        <v>1533301.5899999999</v>
      </c>
      <c r="C24" s="221">
        <v>14616535.92</v>
      </c>
      <c r="D24" s="222"/>
      <c r="E24" s="223">
        <v>34519.019999999997</v>
      </c>
      <c r="F24" s="219">
        <f>B24+C24-D24-E24</f>
        <v>16115318.49</v>
      </c>
      <c r="G24" s="222">
        <f>14640782.35-E24</f>
        <v>14606263.33</v>
      </c>
      <c r="H24" s="491">
        <f>G24/F24*100</f>
        <v>90.635896144799062</v>
      </c>
      <c r="I24" s="216">
        <f>F24-G24</f>
        <v>1509055.1600000001</v>
      </c>
      <c r="J24" s="491">
        <f>I24/F24*100</f>
        <v>9.3641038552009412</v>
      </c>
      <c r="K24" s="49"/>
      <c r="L24" s="95"/>
    </row>
    <row r="25" spans="1:12" ht="18" customHeight="1" thickTop="1" thickBot="1" x14ac:dyDescent="0.35">
      <c r="A25" s="492" t="s">
        <v>36</v>
      </c>
      <c r="B25" s="493">
        <f>SUM(B23:B24)</f>
        <v>17237467.54999999</v>
      </c>
      <c r="C25" s="494">
        <f>SUM(C23:C24)</f>
        <v>67334774.769999996</v>
      </c>
      <c r="D25" s="495"/>
      <c r="E25" s="494">
        <f>SUM(E23:E24)</f>
        <v>1146223.79</v>
      </c>
      <c r="F25" s="493">
        <f>SUM(F23:F24)</f>
        <v>83426018.529999986</v>
      </c>
      <c r="G25" s="496">
        <f>SUM(G23:G24)</f>
        <v>71570741.400000006</v>
      </c>
      <c r="H25" s="497">
        <f>G25/F25*100</f>
        <v>85.789472710199135</v>
      </c>
      <c r="I25" s="493">
        <f>SUM(I23:I24)</f>
        <v>11855277.129999992</v>
      </c>
      <c r="J25" s="497">
        <f>I25/F25*100</f>
        <v>14.210527289800886</v>
      </c>
    </row>
    <row r="26" spans="1:12" ht="18" customHeight="1" thickTop="1" x14ac:dyDescent="0.3">
      <c r="B26" s="131"/>
      <c r="C26" s="132"/>
      <c r="D26" s="132"/>
      <c r="E26" s="132"/>
      <c r="F26" s="132"/>
      <c r="G26" s="132"/>
      <c r="H26" s="17"/>
      <c r="I26" s="52"/>
    </row>
    <row r="27" spans="1:12" ht="18" customHeight="1" x14ac:dyDescent="0.3">
      <c r="A27" s="53" t="s">
        <v>84</v>
      </c>
      <c r="B27" s="131"/>
      <c r="C27" s="56"/>
      <c r="D27" s="132"/>
      <c r="E27" s="132"/>
      <c r="F27" s="132"/>
      <c r="G27" s="132"/>
      <c r="H27" s="17"/>
      <c r="I27" s="62"/>
      <c r="J27" s="63"/>
      <c r="K27" s="62"/>
      <c r="L27" s="95"/>
    </row>
    <row r="28" spans="1:12" ht="18" customHeight="1" x14ac:dyDescent="0.3">
      <c r="A28" s="54" t="s">
        <v>47</v>
      </c>
      <c r="B28" s="131" t="s">
        <v>468</v>
      </c>
      <c r="C28" s="51">
        <f>I23</f>
        <v>10346221.969999991</v>
      </c>
      <c r="D28" s="132" t="s">
        <v>86</v>
      </c>
      <c r="E28" s="132"/>
      <c r="F28" s="224"/>
      <c r="G28" s="132"/>
      <c r="H28" s="17"/>
      <c r="I28" s="49"/>
    </row>
    <row r="29" spans="1:12" ht="18" customHeight="1" x14ac:dyDescent="0.3">
      <c r="A29" s="131">
        <v>1</v>
      </c>
      <c r="B29" s="131" t="s">
        <v>87</v>
      </c>
      <c r="C29" s="56">
        <v>315600.39</v>
      </c>
      <c r="D29" s="132" t="s">
        <v>88</v>
      </c>
      <c r="E29" s="132"/>
      <c r="F29" s="66"/>
      <c r="G29" s="61"/>
      <c r="H29" s="17"/>
      <c r="I29" s="49"/>
    </row>
    <row r="30" spans="1:12" ht="18" customHeight="1" x14ac:dyDescent="0.3">
      <c r="A30" s="131">
        <v>2</v>
      </c>
      <c r="B30" s="131" t="s">
        <v>91</v>
      </c>
      <c r="C30" s="56">
        <v>10436.299999999999</v>
      </c>
      <c r="D30" s="132" t="s">
        <v>319</v>
      </c>
      <c r="E30" s="132"/>
      <c r="F30" s="66"/>
      <c r="G30" s="61"/>
      <c r="H30" s="17"/>
      <c r="I30" s="49"/>
    </row>
    <row r="31" spans="1:12" ht="18" customHeight="1" x14ac:dyDescent="0.3">
      <c r="A31" s="131">
        <v>3</v>
      </c>
      <c r="B31" s="131" t="s">
        <v>303</v>
      </c>
      <c r="C31" s="56">
        <v>161765.79</v>
      </c>
      <c r="D31" s="132" t="s">
        <v>304</v>
      </c>
      <c r="E31" s="132"/>
      <c r="F31" s="66"/>
      <c r="G31" s="61"/>
      <c r="H31" s="17"/>
      <c r="I31" s="49"/>
    </row>
    <row r="32" spans="1:12" ht="18" customHeight="1" x14ac:dyDescent="0.3">
      <c r="A32" s="70">
        <v>4</v>
      </c>
      <c r="B32" s="131" t="s">
        <v>93</v>
      </c>
      <c r="C32" s="56">
        <v>9858419.4900000002</v>
      </c>
      <c r="D32" s="131" t="s">
        <v>302</v>
      </c>
      <c r="E32" s="132"/>
      <c r="F32" s="132"/>
      <c r="G32" s="132"/>
      <c r="H32" s="17"/>
      <c r="I32" s="49"/>
    </row>
    <row r="33" spans="1:12" ht="18" customHeight="1" x14ac:dyDescent="0.3">
      <c r="A33" s="70"/>
      <c r="B33" s="131"/>
      <c r="C33" s="56"/>
      <c r="E33" s="132"/>
    </row>
    <row r="34" spans="1:12" ht="18" customHeight="1" x14ac:dyDescent="0.3">
      <c r="A34" s="53" t="s">
        <v>84</v>
      </c>
      <c r="B34" s="131"/>
      <c r="C34" s="132"/>
      <c r="D34" s="132"/>
      <c r="E34" s="132"/>
      <c r="F34" s="132"/>
      <c r="G34" s="132"/>
      <c r="H34" s="17"/>
    </row>
    <row r="35" spans="1:12" ht="18" customHeight="1" x14ac:dyDescent="0.3">
      <c r="A35" s="54" t="s">
        <v>50</v>
      </c>
      <c r="B35" s="131" t="s">
        <v>467</v>
      </c>
      <c r="C35" s="51">
        <f>I24</f>
        <v>1509055.1600000001</v>
      </c>
      <c r="D35" s="132" t="s">
        <v>86</v>
      </c>
      <c r="E35" s="132"/>
      <c r="F35" s="132"/>
      <c r="G35" s="132"/>
      <c r="H35" s="17"/>
    </row>
    <row r="36" spans="1:12" ht="18" customHeight="1" x14ac:dyDescent="0.3">
      <c r="A36" s="70">
        <v>1</v>
      </c>
      <c r="B36" s="131" t="s">
        <v>305</v>
      </c>
      <c r="C36" s="132">
        <v>2298.36</v>
      </c>
      <c r="D36" s="132" t="s">
        <v>306</v>
      </c>
      <c r="E36" s="132"/>
      <c r="F36" s="132"/>
      <c r="G36" s="132"/>
      <c r="H36" s="17"/>
    </row>
    <row r="37" spans="1:12" ht="16.5" x14ac:dyDescent="0.3">
      <c r="A37" s="131">
        <v>2</v>
      </c>
      <c r="B37" s="131" t="s">
        <v>307</v>
      </c>
      <c r="C37" s="132">
        <v>1506756.8</v>
      </c>
      <c r="D37" s="131" t="s">
        <v>302</v>
      </c>
      <c r="E37" s="132"/>
      <c r="F37" s="132"/>
      <c r="G37" s="132"/>
      <c r="H37" s="17"/>
    </row>
    <row r="38" spans="1:12" ht="20.100000000000001" customHeight="1" x14ac:dyDescent="0.3">
      <c r="A38" s="80"/>
      <c r="B38" s="81"/>
      <c r="C38" s="81"/>
      <c r="D38" s="81"/>
      <c r="E38" s="81"/>
      <c r="F38" s="49"/>
      <c r="G38" s="95"/>
    </row>
    <row r="39" spans="1:12" ht="20.100000000000001" customHeight="1" x14ac:dyDescent="0.3">
      <c r="A39" s="80"/>
      <c r="B39" s="81"/>
      <c r="C39" s="81"/>
      <c r="D39" s="81"/>
      <c r="E39" s="81"/>
      <c r="F39" s="49"/>
      <c r="G39" s="95"/>
    </row>
    <row r="40" spans="1:12" ht="18" customHeight="1" x14ac:dyDescent="0.3">
      <c r="A40" s="163"/>
      <c r="B40" s="163"/>
      <c r="C40" s="165" t="s">
        <v>435</v>
      </c>
      <c r="D40" s="165"/>
      <c r="E40" s="165"/>
      <c r="F40" s="165"/>
      <c r="G40" s="165"/>
      <c r="H40" s="192"/>
      <c r="I40" s="213"/>
      <c r="J40" s="163"/>
    </row>
    <row r="41" spans="1:12" ht="18" customHeight="1" thickBot="1" x14ac:dyDescent="0.35">
      <c r="C41" s="132"/>
      <c r="D41" s="132"/>
      <c r="E41" s="132"/>
      <c r="F41" s="132"/>
      <c r="G41" s="132"/>
      <c r="H41" s="17"/>
      <c r="I41" s="59"/>
    </row>
    <row r="42" spans="1:12" ht="50.25" thickBot="1" x14ac:dyDescent="0.35">
      <c r="A42" s="487" t="s">
        <v>436</v>
      </c>
      <c r="B42" s="488" t="s">
        <v>14</v>
      </c>
      <c r="C42" s="489" t="s">
        <v>437</v>
      </c>
      <c r="D42" s="489" t="s">
        <v>17</v>
      </c>
      <c r="E42" s="489" t="s">
        <v>18</v>
      </c>
      <c r="F42" s="490" t="s">
        <v>19</v>
      </c>
      <c r="G42" s="490" t="s">
        <v>59</v>
      </c>
      <c r="H42" s="490" t="s">
        <v>60</v>
      </c>
      <c r="I42" s="490" t="s">
        <v>61</v>
      </c>
      <c r="J42" s="214" t="s">
        <v>83</v>
      </c>
      <c r="K42" s="94"/>
    </row>
    <row r="43" spans="1:12" ht="18" customHeight="1" x14ac:dyDescent="0.3">
      <c r="A43" s="215" t="s">
        <v>47</v>
      </c>
      <c r="B43" s="216">
        <v>10346221.969999991</v>
      </c>
      <c r="C43" s="217">
        <v>44233106.009999998</v>
      </c>
      <c r="D43" s="218"/>
      <c r="E43" s="218">
        <v>2049411.26</v>
      </c>
      <c r="F43" s="219">
        <f>B43+C43-D43-E43</f>
        <v>52529916.719999991</v>
      </c>
      <c r="G43" s="216">
        <f>54253291.29-E43</f>
        <v>52203880.030000001</v>
      </c>
      <c r="H43" s="216">
        <f>G43/F43*100</f>
        <v>99.379331416537624</v>
      </c>
      <c r="I43" s="216">
        <f>F43-G43</f>
        <v>326036.68999999017</v>
      </c>
      <c r="J43" s="216">
        <f>I43/F43*100</f>
        <v>0.62066858346237674</v>
      </c>
      <c r="K43" s="49"/>
      <c r="L43" s="95"/>
    </row>
    <row r="44" spans="1:12" ht="18" customHeight="1" thickBot="1" x14ac:dyDescent="0.35">
      <c r="A44" s="220" t="s">
        <v>50</v>
      </c>
      <c r="B44" s="216">
        <v>1509055.1600000001</v>
      </c>
      <c r="C44" s="221">
        <v>18315801.84</v>
      </c>
      <c r="D44" s="222"/>
      <c r="E44" s="223">
        <v>58810.53</v>
      </c>
      <c r="F44" s="219">
        <f>B44+C44-D44-E44</f>
        <v>19766046.469999999</v>
      </c>
      <c r="G44" s="222">
        <f>19824857-E44</f>
        <v>19766046.469999999</v>
      </c>
      <c r="H44" s="491">
        <f>G44/F44*100</f>
        <v>100</v>
      </c>
      <c r="I44" s="216">
        <f>F44-G44</f>
        <v>0</v>
      </c>
      <c r="J44" s="491">
        <f>I44/F44*100</f>
        <v>0</v>
      </c>
      <c r="K44" s="49"/>
      <c r="L44" s="95"/>
    </row>
    <row r="45" spans="1:12" ht="18" customHeight="1" thickTop="1" thickBot="1" x14ac:dyDescent="0.35">
      <c r="A45" s="492" t="s">
        <v>36</v>
      </c>
      <c r="B45" s="493">
        <f>SUM(B43:B44)</f>
        <v>11855277.129999992</v>
      </c>
      <c r="C45" s="494">
        <f>SUM(C43:C44)</f>
        <v>62548907.849999994</v>
      </c>
      <c r="D45" s="495"/>
      <c r="E45" s="494">
        <f>SUM(E43:E44)</f>
        <v>2108221.79</v>
      </c>
      <c r="F45" s="493">
        <f>SUM(F43:F44)</f>
        <v>72295963.189999998</v>
      </c>
      <c r="G45" s="496">
        <f>SUM(G43:G44)</f>
        <v>71969926.5</v>
      </c>
      <c r="H45" s="497">
        <f>G45/F45*100</f>
        <v>99.549025041490708</v>
      </c>
      <c r="I45" s="493">
        <f>SUM(I43:I44)</f>
        <v>326036.68999999017</v>
      </c>
      <c r="J45" s="497">
        <f>I45/F45*100</f>
        <v>0.4509749585092846</v>
      </c>
    </row>
    <row r="46" spans="1:12" ht="18" customHeight="1" thickTop="1" x14ac:dyDescent="0.3">
      <c r="B46" s="131"/>
      <c r="C46" s="132"/>
      <c r="D46" s="132"/>
      <c r="E46" s="132"/>
      <c r="F46" s="132"/>
      <c r="G46" s="132"/>
      <c r="H46" s="17"/>
      <c r="I46" s="52"/>
    </row>
    <row r="47" spans="1:12" ht="18" customHeight="1" x14ac:dyDescent="0.3">
      <c r="A47" s="53" t="s">
        <v>84</v>
      </c>
      <c r="B47" s="131"/>
      <c r="C47" s="56"/>
      <c r="D47" s="132"/>
      <c r="E47" s="132"/>
      <c r="F47" s="132"/>
      <c r="G47" s="132"/>
      <c r="H47" s="17"/>
      <c r="I47" s="62"/>
      <c r="J47" s="63"/>
      <c r="K47" s="62"/>
      <c r="L47" s="95"/>
    </row>
    <row r="48" spans="1:12" ht="18" customHeight="1" x14ac:dyDescent="0.3">
      <c r="A48" s="54" t="s">
        <v>47</v>
      </c>
      <c r="B48" s="131" t="s">
        <v>466</v>
      </c>
      <c r="C48" s="51">
        <f>I43</f>
        <v>326036.68999999017</v>
      </c>
      <c r="D48" s="132" t="s">
        <v>86</v>
      </c>
      <c r="E48" s="132"/>
      <c r="F48" s="224"/>
      <c r="G48" s="132"/>
      <c r="H48" s="17"/>
      <c r="I48" s="49"/>
    </row>
    <row r="49" spans="1:12" ht="18" customHeight="1" x14ac:dyDescent="0.3">
      <c r="A49" s="131">
        <v>1</v>
      </c>
      <c r="B49" s="131" t="s">
        <v>87</v>
      </c>
      <c r="C49" s="56">
        <v>315600.39</v>
      </c>
      <c r="D49" s="132" t="s">
        <v>88</v>
      </c>
      <c r="E49" s="132"/>
      <c r="F49" s="66"/>
      <c r="G49" s="61"/>
      <c r="H49" s="17"/>
      <c r="I49" s="49"/>
    </row>
    <row r="50" spans="1:12" ht="18" customHeight="1" x14ac:dyDescent="0.3">
      <c r="A50" s="131">
        <v>2</v>
      </c>
      <c r="B50" s="131" t="s">
        <v>91</v>
      </c>
      <c r="C50" s="56">
        <v>10436.299999999999</v>
      </c>
      <c r="D50" s="132" t="s">
        <v>438</v>
      </c>
      <c r="E50" s="132"/>
      <c r="F50" s="66"/>
      <c r="G50" s="61"/>
      <c r="H50" s="17"/>
      <c r="I50" s="49"/>
    </row>
    <row r="51" spans="1:12" ht="16.5" x14ac:dyDescent="0.3">
      <c r="B51" s="131"/>
      <c r="C51" s="132"/>
      <c r="D51" s="132"/>
      <c r="E51" s="132"/>
      <c r="F51" s="132"/>
      <c r="G51" s="132"/>
      <c r="H51" s="17"/>
    </row>
    <row r="52" spans="1:12" ht="20.100000000000001" customHeight="1" x14ac:dyDescent="0.3">
      <c r="A52" s="70"/>
      <c r="B52" s="131"/>
      <c r="C52" s="131"/>
    </row>
    <row r="53" spans="1:12" ht="18" customHeight="1" x14ac:dyDescent="0.3">
      <c r="A53" s="163"/>
      <c r="B53" s="163"/>
      <c r="C53" s="165" t="s">
        <v>479</v>
      </c>
      <c r="D53" s="165"/>
      <c r="E53" s="165"/>
      <c r="F53" s="165"/>
      <c r="G53" s="165"/>
      <c r="H53" s="192"/>
      <c r="I53" s="213"/>
      <c r="J53" s="163"/>
    </row>
    <row r="54" spans="1:12" ht="18" customHeight="1" thickBot="1" x14ac:dyDescent="0.35">
      <c r="C54" s="132"/>
      <c r="D54" s="132"/>
      <c r="E54" s="132"/>
      <c r="F54" s="132"/>
      <c r="G54" s="132"/>
      <c r="H54" s="17"/>
      <c r="I54" s="59"/>
    </row>
    <row r="55" spans="1:12" ht="50.25" thickBot="1" x14ac:dyDescent="0.35">
      <c r="A55" s="487" t="s">
        <v>480</v>
      </c>
      <c r="B55" s="488" t="s">
        <v>14</v>
      </c>
      <c r="C55" s="489" t="s">
        <v>481</v>
      </c>
      <c r="D55" s="489" t="s">
        <v>17</v>
      </c>
      <c r="E55" s="489" t="s">
        <v>18</v>
      </c>
      <c r="F55" s="490" t="s">
        <v>19</v>
      </c>
      <c r="G55" s="490" t="s">
        <v>59</v>
      </c>
      <c r="H55" s="490" t="s">
        <v>60</v>
      </c>
      <c r="I55" s="490" t="s">
        <v>61</v>
      </c>
      <c r="J55" s="214" t="s">
        <v>83</v>
      </c>
      <c r="K55" s="94"/>
    </row>
    <row r="56" spans="1:12" ht="18" customHeight="1" x14ac:dyDescent="0.3">
      <c r="A56" s="215" t="s">
        <v>47</v>
      </c>
      <c r="B56" s="216">
        <v>326036.68999999017</v>
      </c>
      <c r="C56" s="217">
        <v>37908252.57</v>
      </c>
      <c r="D56" s="218"/>
      <c r="E56" s="218">
        <v>1387254.49</v>
      </c>
      <c r="F56" s="219">
        <f>B56+C56-D56-E56</f>
        <v>36847034.769999988</v>
      </c>
      <c r="G56" s="216">
        <f>35337211.85-E56</f>
        <v>33949957.359999999</v>
      </c>
      <c r="H56" s="216">
        <f>G56/F56*100</f>
        <v>92.137556174917165</v>
      </c>
      <c r="I56" s="216">
        <f>F56-G56</f>
        <v>2897077.409999989</v>
      </c>
      <c r="J56" s="216">
        <f>I56/F56*100</f>
        <v>7.8624438250828339</v>
      </c>
      <c r="K56" s="49"/>
      <c r="L56" s="95"/>
    </row>
    <row r="57" spans="1:12" ht="18" customHeight="1" thickBot="1" x14ac:dyDescent="0.35">
      <c r="A57" s="220" t="s">
        <v>50</v>
      </c>
      <c r="B57" s="216">
        <v>0</v>
      </c>
      <c r="C57" s="221">
        <v>7024086.3499999996</v>
      </c>
      <c r="D57" s="222"/>
      <c r="E57" s="223">
        <v>44628.57</v>
      </c>
      <c r="F57" s="219">
        <f>B57+C57-D57-E57</f>
        <v>6979457.7799999993</v>
      </c>
      <c r="G57" s="222">
        <f>7017428.81-E57</f>
        <v>6972800.2399999993</v>
      </c>
      <c r="H57" s="491">
        <f>G57/F57*100</f>
        <v>99.904612360875973</v>
      </c>
      <c r="I57" s="216">
        <f>F57-G57</f>
        <v>6657.5400000000373</v>
      </c>
      <c r="J57" s="491">
        <f>I57/F57*100</f>
        <v>9.5387639124024301E-2</v>
      </c>
      <c r="K57" s="49"/>
      <c r="L57" s="95"/>
    </row>
    <row r="58" spans="1:12" ht="18" customHeight="1" thickTop="1" thickBot="1" x14ac:dyDescent="0.35">
      <c r="A58" s="492" t="s">
        <v>36</v>
      </c>
      <c r="B58" s="493">
        <f>SUM(B56:B57)</f>
        <v>326036.68999999017</v>
      </c>
      <c r="C58" s="493">
        <f>SUM(C56:C57)</f>
        <v>44932338.920000002</v>
      </c>
      <c r="D58" s="495"/>
      <c r="E58" s="493">
        <f>SUM(E56:E57)</f>
        <v>1431883.06</v>
      </c>
      <c r="F58" s="493">
        <f>SUM(F56:F57)</f>
        <v>43826492.54999999</v>
      </c>
      <c r="G58" s="496">
        <f>SUM(G56:G57)</f>
        <v>40922757.600000001</v>
      </c>
      <c r="H58" s="497">
        <f>G58/F58*100</f>
        <v>93.374475617259975</v>
      </c>
      <c r="I58" s="493">
        <f>SUM(I56:I57)</f>
        <v>2903734.949999989</v>
      </c>
      <c r="J58" s="497">
        <f>I58/F58*100</f>
        <v>6.6255243827400241</v>
      </c>
    </row>
    <row r="59" spans="1:12" ht="18" customHeight="1" thickTop="1" x14ac:dyDescent="0.3">
      <c r="B59" s="131"/>
      <c r="C59" s="132"/>
      <c r="D59" s="132"/>
      <c r="E59" s="132"/>
      <c r="F59" s="132"/>
      <c r="G59" s="132"/>
      <c r="H59" s="17"/>
      <c r="I59" s="52"/>
    </row>
    <row r="60" spans="1:12" ht="18" customHeight="1" x14ac:dyDescent="0.3">
      <c r="A60" s="53" t="s">
        <v>84</v>
      </c>
      <c r="B60" s="131"/>
      <c r="C60" s="56"/>
      <c r="D60" s="132"/>
      <c r="E60" s="132"/>
      <c r="F60" s="132"/>
      <c r="G60" s="132"/>
      <c r="H60" s="17"/>
      <c r="I60" s="62"/>
      <c r="J60" s="63"/>
      <c r="K60" s="62"/>
      <c r="L60" s="95"/>
    </row>
    <row r="61" spans="1:12" ht="18" customHeight="1" x14ac:dyDescent="0.3">
      <c r="A61" s="54" t="s">
        <v>47</v>
      </c>
      <c r="B61" s="131" t="s">
        <v>482</v>
      </c>
      <c r="C61" s="51">
        <f>I56</f>
        <v>2897077.409999989</v>
      </c>
      <c r="D61" s="132" t="s">
        <v>86</v>
      </c>
      <c r="E61" s="132"/>
      <c r="F61" s="224"/>
      <c r="G61" s="132"/>
      <c r="H61" s="17"/>
      <c r="I61" s="49"/>
      <c r="L61" s="95"/>
    </row>
    <row r="62" spans="1:12" ht="18" customHeight="1" x14ac:dyDescent="0.3">
      <c r="A62" s="131">
        <v>1</v>
      </c>
      <c r="B62" s="131" t="s">
        <v>87</v>
      </c>
      <c r="C62" s="56">
        <v>315600.39</v>
      </c>
      <c r="D62" s="132" t="s">
        <v>88</v>
      </c>
      <c r="E62" s="132"/>
      <c r="F62" s="66"/>
      <c r="G62" s="61"/>
      <c r="H62" s="17"/>
      <c r="I62" s="49"/>
    </row>
    <row r="63" spans="1:12" ht="18" customHeight="1" x14ac:dyDescent="0.3">
      <c r="A63" s="131">
        <v>2</v>
      </c>
      <c r="B63" s="131" t="s">
        <v>483</v>
      </c>
      <c r="C63" s="56">
        <v>12291.43</v>
      </c>
      <c r="D63" s="570" t="s">
        <v>484</v>
      </c>
      <c r="E63" s="132"/>
      <c r="F63" s="66"/>
      <c r="G63" s="61"/>
      <c r="H63" s="17"/>
      <c r="I63" s="49"/>
    </row>
    <row r="64" spans="1:12" ht="16.5" x14ac:dyDescent="0.3">
      <c r="A64" s="131">
        <v>3</v>
      </c>
      <c r="B64" s="131" t="s">
        <v>485</v>
      </c>
      <c r="C64" s="132">
        <v>2569185.59</v>
      </c>
      <c r="D64" s="131" t="s">
        <v>486</v>
      </c>
      <c r="E64" s="132"/>
      <c r="F64" s="132"/>
      <c r="G64" s="132"/>
      <c r="H64" s="17"/>
    </row>
    <row r="65" spans="1:13" ht="16.5" x14ac:dyDescent="0.3">
      <c r="B65" s="131"/>
      <c r="C65" s="132"/>
      <c r="D65" s="132"/>
      <c r="E65" s="132"/>
      <c r="F65" s="132"/>
      <c r="G65" s="132"/>
      <c r="H65" s="17"/>
    </row>
    <row r="66" spans="1:13" ht="16.5" x14ac:dyDescent="0.3">
      <c r="B66" s="131"/>
      <c r="C66" s="132"/>
      <c r="D66" s="132"/>
      <c r="E66" s="132"/>
      <c r="F66" s="132"/>
      <c r="G66" s="132"/>
      <c r="H66" s="17"/>
    </row>
    <row r="67" spans="1:13" ht="16.5" x14ac:dyDescent="0.3">
      <c r="A67" s="54" t="s">
        <v>50</v>
      </c>
      <c r="B67" s="131" t="s">
        <v>487</v>
      </c>
      <c r="C67" s="51">
        <f>I57</f>
        <v>6657.5400000000373</v>
      </c>
      <c r="D67" s="132" t="s">
        <v>86</v>
      </c>
      <c r="E67" s="132"/>
      <c r="F67" s="132"/>
      <c r="G67" s="132"/>
      <c r="H67" s="17"/>
    </row>
    <row r="68" spans="1:13" ht="16.5" x14ac:dyDescent="0.3">
      <c r="A68" s="131">
        <v>1</v>
      </c>
      <c r="B68" s="131" t="s">
        <v>488</v>
      </c>
      <c r="C68" s="132">
        <v>6657.54</v>
      </c>
      <c r="D68" s="131" t="s">
        <v>486</v>
      </c>
      <c r="E68" s="132"/>
      <c r="F68" s="132"/>
      <c r="G68" s="132"/>
      <c r="H68" s="17"/>
    </row>
    <row r="69" spans="1:13" ht="20.100000000000001" customHeight="1" x14ac:dyDescent="0.3">
      <c r="A69" s="53"/>
      <c r="B69" s="61"/>
      <c r="D69" s="62"/>
      <c r="E69" s="63"/>
      <c r="F69" s="62"/>
    </row>
    <row r="70" spans="1:13" ht="20.100000000000001" customHeight="1" x14ac:dyDescent="0.3">
      <c r="A70" s="54"/>
      <c r="B70" s="61"/>
      <c r="D70" s="49"/>
    </row>
    <row r="71" spans="1:13" ht="18" customHeight="1" x14ac:dyDescent="0.3">
      <c r="A71" s="163"/>
      <c r="B71" s="163"/>
      <c r="C71" s="165" t="s">
        <v>664</v>
      </c>
      <c r="D71" s="165"/>
      <c r="E71" s="165"/>
      <c r="F71" s="165"/>
      <c r="G71" s="165"/>
      <c r="H71" s="192"/>
      <c r="I71" s="213"/>
      <c r="J71" s="163"/>
    </row>
    <row r="72" spans="1:13" ht="18" customHeight="1" thickBot="1" x14ac:dyDescent="0.35">
      <c r="C72" s="132"/>
      <c r="D72" s="132"/>
      <c r="E72" s="132"/>
      <c r="F72" s="132"/>
      <c r="G72" s="132"/>
      <c r="H72" s="17"/>
      <c r="I72" s="59"/>
    </row>
    <row r="73" spans="1:13" ht="50.25" thickBot="1" x14ac:dyDescent="0.35">
      <c r="A73" s="487" t="s">
        <v>616</v>
      </c>
      <c r="B73" s="488" t="s">
        <v>14</v>
      </c>
      <c r="C73" s="489" t="s">
        <v>665</v>
      </c>
      <c r="D73" s="489" t="s">
        <v>17</v>
      </c>
      <c r="E73" s="489" t="s">
        <v>18</v>
      </c>
      <c r="F73" s="490" t="s">
        <v>19</v>
      </c>
      <c r="G73" s="490" t="s">
        <v>59</v>
      </c>
      <c r="H73" s="490" t="s">
        <v>60</v>
      </c>
      <c r="I73" s="490" t="s">
        <v>61</v>
      </c>
      <c r="J73" s="214" t="s">
        <v>83</v>
      </c>
      <c r="K73" s="94"/>
    </row>
    <row r="74" spans="1:13" ht="18" customHeight="1" x14ac:dyDescent="0.3">
      <c r="A74" s="215" t="s">
        <v>47</v>
      </c>
      <c r="B74" s="216">
        <v>2897077.409999989</v>
      </c>
      <c r="C74" s="217">
        <v>32720612.010000002</v>
      </c>
      <c r="D74" s="218"/>
      <c r="E74" s="218">
        <v>674870.42</v>
      </c>
      <c r="F74" s="219">
        <f>B74+C74-D74-E74</f>
        <v>34942818.999999985</v>
      </c>
      <c r="G74" s="216">
        <f>31634168.13-E74</f>
        <v>30959297.709999997</v>
      </c>
      <c r="H74" s="216">
        <f>G74/F74*100</f>
        <v>88.599885744764933</v>
      </c>
      <c r="I74" s="216">
        <f>F74-G74</f>
        <v>3983521.2899999879</v>
      </c>
      <c r="J74" s="216">
        <f>I74/F74*100</f>
        <v>11.400114255235074</v>
      </c>
      <c r="K74" s="49"/>
      <c r="L74" s="95"/>
      <c r="M74" s="131">
        <v>0</v>
      </c>
    </row>
    <row r="75" spans="1:13" ht="18" customHeight="1" thickBot="1" x14ac:dyDescent="0.35">
      <c r="A75" s="220" t="s">
        <v>50</v>
      </c>
      <c r="B75" s="216">
        <v>6657.5400000000373</v>
      </c>
      <c r="C75" s="221">
        <v>6311336.54</v>
      </c>
      <c r="D75" s="222"/>
      <c r="E75" s="223">
        <v>30803.82</v>
      </c>
      <c r="F75" s="219">
        <f>B75+C75-D75-E75</f>
        <v>6287190.2599999998</v>
      </c>
      <c r="G75" s="222">
        <f>5752258.7-E75</f>
        <v>5721454.8799999999</v>
      </c>
      <c r="H75" s="491">
        <f>G75/F75*100</f>
        <v>91.001777318569637</v>
      </c>
      <c r="I75" s="216">
        <f>F75-G75</f>
        <v>565735.37999999989</v>
      </c>
      <c r="J75" s="491">
        <f>I75/F75*100</f>
        <v>8.9982226814303505</v>
      </c>
      <c r="K75" s="49"/>
      <c r="L75" s="95"/>
    </row>
    <row r="76" spans="1:13" ht="18" customHeight="1" thickTop="1" thickBot="1" x14ac:dyDescent="0.35">
      <c r="A76" s="492" t="s">
        <v>36</v>
      </c>
      <c r="B76" s="494">
        <f>B74+B75</f>
        <v>2903734.949999989</v>
      </c>
      <c r="C76" s="494">
        <f>SUM(C74:C75)</f>
        <v>39031948.550000004</v>
      </c>
      <c r="D76" s="495"/>
      <c r="E76" s="494">
        <f>SUM(E74:E75)</f>
        <v>705674.23999999999</v>
      </c>
      <c r="F76" s="493">
        <f>SUM(F74:F75)</f>
        <v>41230009.259999983</v>
      </c>
      <c r="G76" s="496">
        <f>SUM(G74:G75)</f>
        <v>36680752.589999996</v>
      </c>
      <c r="H76" s="497">
        <f>G76/F76*100</f>
        <v>88.966151714126511</v>
      </c>
      <c r="I76" s="493">
        <f>SUM(I74:I75)</f>
        <v>4549256.6699999878</v>
      </c>
      <c r="J76" s="497">
        <f>I76/F76*100</f>
        <v>11.033848285873486</v>
      </c>
    </row>
    <row r="77" spans="1:13" ht="18" customHeight="1" thickTop="1" x14ac:dyDescent="0.3">
      <c r="B77" s="131"/>
      <c r="C77" s="132"/>
      <c r="D77" s="132"/>
      <c r="E77" s="132"/>
      <c r="F77" s="132"/>
      <c r="G77" s="132"/>
      <c r="H77" s="17"/>
      <c r="I77" s="52"/>
    </row>
    <row r="78" spans="1:13" ht="18" customHeight="1" x14ac:dyDescent="0.3">
      <c r="A78" s="53" t="s">
        <v>84</v>
      </c>
      <c r="B78" s="131"/>
      <c r="C78" s="56"/>
      <c r="D78" s="132"/>
      <c r="E78" s="132"/>
      <c r="F78" s="132"/>
      <c r="G78" s="132"/>
      <c r="H78" s="17"/>
      <c r="I78" s="62"/>
      <c r="J78" s="63"/>
      <c r="K78" s="62"/>
      <c r="L78" s="95"/>
    </row>
    <row r="79" spans="1:13" ht="18" customHeight="1" x14ac:dyDescent="0.3">
      <c r="A79" s="54" t="s">
        <v>47</v>
      </c>
      <c r="B79" s="131" t="s">
        <v>482</v>
      </c>
      <c r="C79" s="51">
        <f>I74</f>
        <v>3983521.2899999879</v>
      </c>
      <c r="D79" s="132" t="s">
        <v>86</v>
      </c>
      <c r="E79" s="132"/>
      <c r="F79" s="224"/>
      <c r="G79" s="132"/>
      <c r="H79" s="17"/>
      <c r="I79" s="49"/>
      <c r="L79" s="95"/>
    </row>
    <row r="80" spans="1:13" ht="18" customHeight="1" x14ac:dyDescent="0.3">
      <c r="A80" s="131">
        <v>1</v>
      </c>
      <c r="B80" s="131" t="s">
        <v>87</v>
      </c>
      <c r="C80" s="56">
        <v>315600.39</v>
      </c>
      <c r="D80" s="132" t="s">
        <v>88</v>
      </c>
      <c r="E80" s="132"/>
      <c r="F80" s="66"/>
      <c r="G80" s="61"/>
      <c r="H80" s="17"/>
      <c r="I80" s="49"/>
    </row>
    <row r="81" spans="1:12" ht="18" customHeight="1" x14ac:dyDescent="0.3">
      <c r="A81" s="131">
        <v>2</v>
      </c>
      <c r="B81" s="131" t="s">
        <v>483</v>
      </c>
      <c r="C81" s="56">
        <v>12291.43</v>
      </c>
      <c r="D81" s="570" t="s">
        <v>666</v>
      </c>
      <c r="E81" s="132"/>
      <c r="F81" s="66"/>
      <c r="G81" s="61"/>
      <c r="H81" s="17"/>
      <c r="I81" s="49"/>
    </row>
    <row r="82" spans="1:12" ht="16.5" x14ac:dyDescent="0.3">
      <c r="A82" s="131">
        <v>3</v>
      </c>
      <c r="B82" s="131" t="s">
        <v>667</v>
      </c>
      <c r="C82" s="132">
        <v>3604206.9</v>
      </c>
      <c r="D82" s="131" t="s">
        <v>668</v>
      </c>
      <c r="E82" s="132"/>
      <c r="F82" s="132"/>
      <c r="G82" s="132"/>
      <c r="H82" s="17"/>
    </row>
    <row r="83" spans="1:12" ht="16.5" x14ac:dyDescent="0.3">
      <c r="A83" s="131">
        <v>4</v>
      </c>
      <c r="B83" s="131" t="s">
        <v>669</v>
      </c>
      <c r="C83" s="132">
        <v>51422.57</v>
      </c>
      <c r="D83" s="132" t="s">
        <v>670</v>
      </c>
      <c r="E83" s="132"/>
      <c r="F83" s="132"/>
      <c r="G83" s="132"/>
      <c r="H83" s="17"/>
    </row>
    <row r="84" spans="1:12" ht="16.5" x14ac:dyDescent="0.3">
      <c r="B84" s="131"/>
      <c r="C84" s="132"/>
      <c r="D84" s="132"/>
      <c r="E84" s="132"/>
      <c r="F84" s="132"/>
      <c r="G84" s="132"/>
      <c r="H84" s="17"/>
    </row>
    <row r="85" spans="1:12" ht="16.5" x14ac:dyDescent="0.3">
      <c r="B85" s="131"/>
      <c r="C85" s="132"/>
      <c r="D85" s="132"/>
      <c r="E85" s="132"/>
      <c r="F85" s="132"/>
      <c r="G85" s="132"/>
      <c r="H85" s="17"/>
    </row>
    <row r="86" spans="1:12" ht="16.5" x14ac:dyDescent="0.3">
      <c r="A86" s="54" t="s">
        <v>50</v>
      </c>
      <c r="B86" s="131" t="s">
        <v>487</v>
      </c>
      <c r="C86" s="51">
        <f>I75</f>
        <v>565735.37999999989</v>
      </c>
      <c r="D86" s="132" t="s">
        <v>86</v>
      </c>
      <c r="E86" s="132"/>
      <c r="F86" s="132"/>
      <c r="G86" s="132"/>
      <c r="H86" s="17"/>
    </row>
    <row r="87" spans="1:12" ht="16.5" x14ac:dyDescent="0.3">
      <c r="A87" s="131">
        <v>1</v>
      </c>
      <c r="B87" s="131" t="s">
        <v>667</v>
      </c>
      <c r="C87" s="132">
        <v>545779.67000000004</v>
      </c>
      <c r="D87" s="131" t="s">
        <v>668</v>
      </c>
      <c r="E87" s="132"/>
      <c r="F87" s="132"/>
      <c r="G87" s="132"/>
      <c r="H87" s="17"/>
    </row>
    <row r="88" spans="1:12" ht="16.5" x14ac:dyDescent="0.3">
      <c r="A88" s="131">
        <v>2</v>
      </c>
      <c r="B88" s="131" t="s">
        <v>671</v>
      </c>
      <c r="C88" s="132">
        <v>11717.05</v>
      </c>
      <c r="D88" s="132" t="s">
        <v>672</v>
      </c>
      <c r="E88" s="132"/>
      <c r="F88" s="132"/>
      <c r="G88" s="132"/>
      <c r="H88" s="17"/>
    </row>
    <row r="89" spans="1:12" ht="16.5" x14ac:dyDescent="0.3">
      <c r="A89" s="131">
        <v>3</v>
      </c>
      <c r="B89" s="131" t="s">
        <v>669</v>
      </c>
      <c r="C89" s="132">
        <v>8238.66</v>
      </c>
      <c r="D89" s="132" t="s">
        <v>670</v>
      </c>
      <c r="E89" s="132"/>
      <c r="F89" s="132"/>
      <c r="G89" s="132"/>
      <c r="H89" s="17"/>
    </row>
    <row r="90" spans="1:12" ht="16.5" x14ac:dyDescent="0.3">
      <c r="B90" s="131"/>
      <c r="C90" s="132"/>
      <c r="D90" s="132"/>
      <c r="E90" s="132"/>
      <c r="F90" s="132"/>
      <c r="G90" s="132"/>
      <c r="H90" s="17"/>
    </row>
    <row r="91" spans="1:12" ht="20.100000000000001" customHeight="1" x14ac:dyDescent="0.3">
      <c r="A91" s="71"/>
      <c r="B91" s="81"/>
      <c r="C91" s="81"/>
      <c r="D91" s="81"/>
      <c r="E91" s="81"/>
      <c r="F91" s="49"/>
      <c r="G91" s="95"/>
    </row>
    <row r="92" spans="1:12" ht="18" customHeight="1" x14ac:dyDescent="0.3">
      <c r="A92" s="163"/>
      <c r="B92" s="163"/>
      <c r="C92" s="165" t="s">
        <v>725</v>
      </c>
      <c r="D92" s="165"/>
      <c r="E92" s="165"/>
      <c r="F92" s="165"/>
      <c r="G92" s="165"/>
      <c r="H92" s="192"/>
      <c r="I92" s="213"/>
      <c r="J92" s="163"/>
    </row>
    <row r="93" spans="1:12" ht="18" customHeight="1" thickBot="1" x14ac:dyDescent="0.35">
      <c r="C93" s="132"/>
      <c r="D93" s="132"/>
      <c r="E93" s="132"/>
      <c r="F93" s="132"/>
      <c r="G93" s="132"/>
      <c r="H93" s="17"/>
      <c r="I93" s="59"/>
    </row>
    <row r="94" spans="1:12" ht="50.25" thickBot="1" x14ac:dyDescent="0.35">
      <c r="A94" s="487" t="s">
        <v>726</v>
      </c>
      <c r="B94" s="488" t="s">
        <v>14</v>
      </c>
      <c r="C94" s="489" t="s">
        <v>727</v>
      </c>
      <c r="D94" s="489" t="s">
        <v>17</v>
      </c>
      <c r="E94" s="489" t="s">
        <v>18</v>
      </c>
      <c r="F94" s="490" t="s">
        <v>19</v>
      </c>
      <c r="G94" s="490" t="s">
        <v>59</v>
      </c>
      <c r="H94" s="490" t="s">
        <v>60</v>
      </c>
      <c r="I94" s="490" t="s">
        <v>61</v>
      </c>
      <c r="J94" s="214" t="s">
        <v>83</v>
      </c>
      <c r="K94" s="94"/>
    </row>
    <row r="95" spans="1:12" ht="18" customHeight="1" x14ac:dyDescent="0.3">
      <c r="A95" s="215" t="s">
        <v>47</v>
      </c>
      <c r="B95" s="612">
        <f>3667920.9+315600.39</f>
        <v>3983521.29</v>
      </c>
      <c r="C95" s="217">
        <v>31515264.609999999</v>
      </c>
      <c r="D95" s="218"/>
      <c r="E95" s="218">
        <v>1285826.2</v>
      </c>
      <c r="F95" s="219">
        <f>B95+C95-D95-E95</f>
        <v>34212959.699999996</v>
      </c>
      <c r="G95" s="216">
        <f>32509174.91-E95</f>
        <v>31223348.710000001</v>
      </c>
      <c r="H95" s="216">
        <f>G95/F95*100</f>
        <v>91.261758654572063</v>
      </c>
      <c r="I95" s="216">
        <f>F95-G95</f>
        <v>2989610.9899999946</v>
      </c>
      <c r="J95" s="216">
        <f>I95/F95*100</f>
        <v>8.7382413454279284</v>
      </c>
      <c r="K95" s="49"/>
      <c r="L95" s="95"/>
    </row>
    <row r="96" spans="1:12" ht="18" customHeight="1" thickBot="1" x14ac:dyDescent="0.35">
      <c r="A96" s="220" t="s">
        <v>50</v>
      </c>
      <c r="B96" s="49">
        <v>565735.38</v>
      </c>
      <c r="C96" s="221">
        <v>6269151.5300000003</v>
      </c>
      <c r="D96" s="222"/>
      <c r="E96" s="223">
        <v>238072.03</v>
      </c>
      <c r="F96" s="219">
        <f>B96+C96-D96-E96</f>
        <v>6596814.8799999999</v>
      </c>
      <c r="G96" s="222">
        <f>6731761.87-E96</f>
        <v>6493689.8399999999</v>
      </c>
      <c r="H96" s="613">
        <f>G96/F96*100</f>
        <v>98.436744976539345</v>
      </c>
      <c r="I96" s="216">
        <f>F96-G96</f>
        <v>103125.04000000004</v>
      </c>
      <c r="J96" s="491">
        <f>I96/F96*100</f>
        <v>1.5632550234606559</v>
      </c>
      <c r="K96" s="49"/>
      <c r="L96" s="95"/>
    </row>
    <row r="97" spans="1:12" ht="18" customHeight="1" thickTop="1" thickBot="1" x14ac:dyDescent="0.35">
      <c r="A97" s="492" t="s">
        <v>36</v>
      </c>
      <c r="B97" s="494">
        <f>B95+B96</f>
        <v>4549256.67</v>
      </c>
      <c r="C97" s="494">
        <f>SUM(C95:C96)</f>
        <v>37784416.140000001</v>
      </c>
      <c r="D97" s="495"/>
      <c r="E97" s="494">
        <f>SUM(E95:E96)</f>
        <v>1523898.23</v>
      </c>
      <c r="F97" s="493">
        <f>SUM(F95:F96)</f>
        <v>40809774.579999998</v>
      </c>
      <c r="G97" s="496">
        <f>SUM(G95:G96)</f>
        <v>37717038.549999997</v>
      </c>
      <c r="H97" s="614">
        <f>G97/F97*100</f>
        <v>92.421580217412696</v>
      </c>
      <c r="I97" s="493">
        <f>SUM(I95:I96)</f>
        <v>3092736.0299999947</v>
      </c>
      <c r="J97" s="497">
        <f>I97/F97*100</f>
        <v>7.5784197825872797</v>
      </c>
    </row>
    <row r="98" spans="1:12" ht="18" customHeight="1" thickTop="1" x14ac:dyDescent="0.3">
      <c r="B98" s="131"/>
      <c r="C98" s="132"/>
      <c r="D98" s="132"/>
      <c r="E98" s="132"/>
      <c r="F98" s="132"/>
      <c r="G98" s="132"/>
      <c r="H98" s="17"/>
      <c r="I98" s="52"/>
    </row>
    <row r="99" spans="1:12" ht="18" customHeight="1" x14ac:dyDescent="0.3">
      <c r="A99" s="53" t="s">
        <v>84</v>
      </c>
      <c r="B99" s="131"/>
      <c r="C99" s="56"/>
      <c r="D99" s="132"/>
      <c r="E99" s="132"/>
      <c r="F99" s="132"/>
      <c r="G99" s="132"/>
      <c r="H99" s="17"/>
      <c r="I99" s="62"/>
      <c r="J99" s="63"/>
      <c r="K99" s="62"/>
      <c r="L99" s="95"/>
    </row>
    <row r="100" spans="1:12" ht="18" customHeight="1" x14ac:dyDescent="0.3">
      <c r="A100" s="54" t="s">
        <v>47</v>
      </c>
      <c r="B100" s="131" t="s">
        <v>482</v>
      </c>
      <c r="C100" s="51">
        <f>I95</f>
        <v>2989610.9899999946</v>
      </c>
      <c r="D100" s="132" t="s">
        <v>86</v>
      </c>
      <c r="E100" s="132"/>
      <c r="F100" s="224"/>
      <c r="G100" s="132"/>
      <c r="H100" s="17"/>
      <c r="I100" s="49"/>
      <c r="L100" s="95"/>
    </row>
    <row r="101" spans="1:12" ht="18" customHeight="1" x14ac:dyDescent="0.3">
      <c r="A101" s="131">
        <v>1</v>
      </c>
      <c r="B101" s="131" t="s">
        <v>87</v>
      </c>
      <c r="C101" s="56">
        <v>315600.39</v>
      </c>
      <c r="D101" s="132" t="s">
        <v>88</v>
      </c>
      <c r="E101" s="132"/>
      <c r="F101" s="66"/>
      <c r="G101" s="61"/>
      <c r="H101" s="17"/>
      <c r="I101" s="49"/>
    </row>
    <row r="102" spans="1:12" ht="18" customHeight="1" x14ac:dyDescent="0.3">
      <c r="A102" s="131">
        <v>2</v>
      </c>
      <c r="B102" s="131" t="s">
        <v>483</v>
      </c>
      <c r="C102" s="56">
        <v>12291.43</v>
      </c>
      <c r="D102" s="570" t="s">
        <v>666</v>
      </c>
      <c r="E102" s="132"/>
      <c r="F102" s="66"/>
      <c r="G102" s="61"/>
      <c r="H102" s="17"/>
      <c r="I102" s="49"/>
    </row>
    <row r="103" spans="1:12" ht="16.5" x14ac:dyDescent="0.3">
      <c r="A103" s="131">
        <v>3</v>
      </c>
      <c r="B103" s="131" t="s">
        <v>728</v>
      </c>
      <c r="C103" s="132">
        <v>2650713.91</v>
      </c>
      <c r="D103" s="131" t="s">
        <v>729</v>
      </c>
      <c r="E103" s="132"/>
      <c r="F103" s="132"/>
      <c r="G103" s="132"/>
      <c r="H103" s="17"/>
    </row>
    <row r="104" spans="1:12" ht="16.5" x14ac:dyDescent="0.3">
      <c r="A104" s="131">
        <v>4</v>
      </c>
      <c r="B104" s="131" t="s">
        <v>730</v>
      </c>
      <c r="C104" s="132">
        <v>11005.26</v>
      </c>
      <c r="D104" s="132" t="s">
        <v>731</v>
      </c>
      <c r="E104" s="132"/>
      <c r="F104" s="132"/>
      <c r="G104" s="132"/>
      <c r="H104" s="17"/>
    </row>
    <row r="105" spans="1:12" ht="16.5" x14ac:dyDescent="0.3">
      <c r="B105" s="131"/>
      <c r="C105" s="132"/>
      <c r="D105" s="132"/>
      <c r="E105" s="132"/>
      <c r="F105" s="132"/>
      <c r="G105" s="132"/>
      <c r="H105" s="17"/>
    </row>
    <row r="106" spans="1:12" ht="16.5" x14ac:dyDescent="0.3">
      <c r="B106" s="131"/>
      <c r="C106" s="132"/>
      <c r="D106" s="132"/>
      <c r="E106" s="132"/>
      <c r="F106" s="132"/>
      <c r="G106" s="132"/>
      <c r="H106" s="17"/>
    </row>
    <row r="107" spans="1:12" ht="16.5" x14ac:dyDescent="0.3">
      <c r="A107" s="54" t="s">
        <v>50</v>
      </c>
      <c r="B107" s="131" t="s">
        <v>487</v>
      </c>
      <c r="C107" s="51">
        <f>I96</f>
        <v>103125.04000000004</v>
      </c>
      <c r="D107" s="132" t="s">
        <v>86</v>
      </c>
      <c r="E107" s="132"/>
      <c r="F107" s="132"/>
      <c r="G107" s="132"/>
      <c r="H107" s="17"/>
    </row>
    <row r="108" spans="1:12" ht="16.5" x14ac:dyDescent="0.3">
      <c r="A108" s="131">
        <v>1</v>
      </c>
      <c r="B108" s="131" t="s">
        <v>732</v>
      </c>
      <c r="C108" s="132">
        <v>82623.399999999994</v>
      </c>
      <c r="D108" s="131" t="s">
        <v>729</v>
      </c>
      <c r="E108" s="132"/>
      <c r="F108" s="132"/>
      <c r="G108" s="132"/>
      <c r="H108" s="17"/>
    </row>
    <row r="109" spans="1:12" ht="16.5" x14ac:dyDescent="0.3">
      <c r="A109" s="131">
        <v>2</v>
      </c>
      <c r="B109" s="131" t="s">
        <v>733</v>
      </c>
      <c r="C109" s="132">
        <v>20501.64</v>
      </c>
      <c r="D109" s="132" t="s">
        <v>672</v>
      </c>
      <c r="E109" s="132"/>
      <c r="F109" s="132"/>
      <c r="G109" s="132"/>
      <c r="H109" s="17"/>
    </row>
    <row r="110" spans="1:12" ht="20.100000000000001" customHeight="1" x14ac:dyDescent="0.3">
      <c r="A110" s="33"/>
      <c r="B110" s="366"/>
      <c r="C110" s="65"/>
      <c r="D110" s="67"/>
      <c r="E110" s="33"/>
    </row>
    <row r="111" spans="1:12" ht="20.100000000000001" customHeight="1" x14ac:dyDescent="0.3">
      <c r="D111" s="59"/>
    </row>
    <row r="112" spans="1:12" ht="18" customHeight="1" x14ac:dyDescent="0.3">
      <c r="A112" s="616"/>
      <c r="B112" s="616"/>
      <c r="C112" s="617" t="s">
        <v>891</v>
      </c>
      <c r="D112" s="617"/>
      <c r="E112" s="617"/>
      <c r="F112" s="617"/>
      <c r="G112" s="617"/>
      <c r="H112" s="192"/>
      <c r="I112" s="213"/>
      <c r="J112" s="616"/>
    </row>
    <row r="113" spans="1:12" ht="18" customHeight="1" thickBot="1" x14ac:dyDescent="0.35">
      <c r="C113" s="132"/>
      <c r="D113" s="132"/>
      <c r="E113" s="132"/>
      <c r="F113" s="132"/>
      <c r="G113" s="132"/>
      <c r="H113" s="17"/>
      <c r="I113" s="59"/>
    </row>
    <row r="114" spans="1:12" ht="50.25" thickBot="1" x14ac:dyDescent="0.35">
      <c r="A114" s="487" t="s">
        <v>819</v>
      </c>
      <c r="B114" s="488" t="s">
        <v>14</v>
      </c>
      <c r="C114" s="489" t="s">
        <v>892</v>
      </c>
      <c r="D114" s="489" t="s">
        <v>17</v>
      </c>
      <c r="E114" s="489" t="s">
        <v>18</v>
      </c>
      <c r="F114" s="490" t="s">
        <v>19</v>
      </c>
      <c r="G114" s="490" t="s">
        <v>59</v>
      </c>
      <c r="H114" s="490" t="s">
        <v>60</v>
      </c>
      <c r="I114" s="490" t="s">
        <v>61</v>
      </c>
      <c r="J114" s="214" t="s">
        <v>83</v>
      </c>
      <c r="K114" s="94"/>
    </row>
    <row r="115" spans="1:12" ht="18" customHeight="1" x14ac:dyDescent="0.3">
      <c r="A115" s="215" t="s">
        <v>47</v>
      </c>
      <c r="B115" s="216">
        <v>2989610.9899999946</v>
      </c>
      <c r="C115" s="217">
        <v>37139696.990000002</v>
      </c>
      <c r="D115" s="218"/>
      <c r="E115" s="218">
        <v>689975.07</v>
      </c>
      <c r="F115" s="219">
        <f>B115+C115-D115-E115</f>
        <v>39439332.909999996</v>
      </c>
      <c r="G115" s="216">
        <f>39656338.82-E115</f>
        <v>38966363.75</v>
      </c>
      <c r="H115" s="216">
        <f>G115/F115*100</f>
        <v>98.800767850005712</v>
      </c>
      <c r="I115" s="216">
        <f>F115-G115</f>
        <v>472969.15999999642</v>
      </c>
      <c r="J115" s="216">
        <f>I115/F115*100</f>
        <v>1.1992321499942846</v>
      </c>
      <c r="K115" s="49"/>
      <c r="L115" s="95"/>
    </row>
    <row r="116" spans="1:12" ht="18" customHeight="1" thickBot="1" x14ac:dyDescent="0.35">
      <c r="A116" s="220" t="s">
        <v>50</v>
      </c>
      <c r="B116" s="216">
        <v>103125.04000000004</v>
      </c>
      <c r="C116" s="221">
        <v>4041740.16</v>
      </c>
      <c r="D116" s="222"/>
      <c r="E116" s="223">
        <v>86969.94</v>
      </c>
      <c r="F116" s="219">
        <f>B116+C116-D116-E116</f>
        <v>4057895.2600000002</v>
      </c>
      <c r="G116" s="222">
        <f>3962915.26-E116</f>
        <v>3875945.32</v>
      </c>
      <c r="H116" s="613">
        <f>G116/F116*100</f>
        <v>95.516149916594927</v>
      </c>
      <c r="I116" s="216">
        <f>F116-G116</f>
        <v>181949.94000000041</v>
      </c>
      <c r="J116" s="491">
        <f>I116/F116*100</f>
        <v>4.4838500834050707</v>
      </c>
      <c r="K116" s="49"/>
      <c r="L116" s="95"/>
    </row>
    <row r="117" spans="1:12" ht="18" customHeight="1" thickTop="1" thickBot="1" x14ac:dyDescent="0.35">
      <c r="A117" s="492" t="s">
        <v>36</v>
      </c>
      <c r="B117" s="494">
        <f>SUM(B115:B116)</f>
        <v>3092736.0299999947</v>
      </c>
      <c r="C117" s="494">
        <f>SUM(C115:C116)</f>
        <v>41181437.150000006</v>
      </c>
      <c r="D117" s="495"/>
      <c r="E117" s="494">
        <f>SUM(E115:E116)</f>
        <v>776945.01</v>
      </c>
      <c r="F117" s="494">
        <f>SUM(F115:F116)</f>
        <v>43497228.169999994</v>
      </c>
      <c r="G117" s="494">
        <f>SUM(G115:G116)</f>
        <v>42842309.07</v>
      </c>
      <c r="H117" s="614">
        <f>G117/F117*100</f>
        <v>98.494342909758799</v>
      </c>
      <c r="I117" s="494">
        <f>SUM(I115:I116)</f>
        <v>654919.09999999683</v>
      </c>
      <c r="J117" s="497">
        <f>I117/F117*100</f>
        <v>1.5056570902411985</v>
      </c>
    </row>
    <row r="118" spans="1:12" ht="18" customHeight="1" thickTop="1" x14ac:dyDescent="0.3">
      <c r="B118" s="131"/>
      <c r="C118" s="132"/>
      <c r="D118" s="132"/>
      <c r="E118" s="132"/>
      <c r="F118" s="132"/>
      <c r="G118" s="132"/>
      <c r="H118" s="17"/>
      <c r="I118" s="52"/>
    </row>
    <row r="119" spans="1:12" ht="18" customHeight="1" x14ac:dyDescent="0.3">
      <c r="A119" s="53" t="s">
        <v>84</v>
      </c>
      <c r="B119" s="131"/>
      <c r="C119" s="56"/>
      <c r="D119" s="132"/>
      <c r="E119" s="132"/>
      <c r="F119" s="132"/>
      <c r="G119" s="132"/>
      <c r="H119" s="17"/>
      <c r="I119" s="62"/>
      <c r="J119" s="63"/>
      <c r="K119" s="62"/>
      <c r="L119" s="95"/>
    </row>
    <row r="120" spans="1:12" ht="18" customHeight="1" x14ac:dyDescent="0.3">
      <c r="A120" s="54" t="s">
        <v>47</v>
      </c>
      <c r="B120" s="131" t="s">
        <v>482</v>
      </c>
      <c r="C120" s="51">
        <f>I115</f>
        <v>472969.15999999642</v>
      </c>
      <c r="D120" s="132" t="s">
        <v>86</v>
      </c>
      <c r="E120" s="132"/>
      <c r="F120" s="224"/>
      <c r="G120" s="132"/>
      <c r="H120" s="17"/>
      <c r="I120" s="49"/>
      <c r="L120" s="95"/>
    </row>
    <row r="121" spans="1:12" ht="18" customHeight="1" x14ac:dyDescent="0.3">
      <c r="A121" s="131">
        <v>1</v>
      </c>
      <c r="B121" s="131" t="s">
        <v>87</v>
      </c>
      <c r="C121" s="56">
        <v>315600.39</v>
      </c>
      <c r="D121" s="132" t="s">
        <v>88</v>
      </c>
      <c r="E121" s="132"/>
      <c r="F121" s="66"/>
      <c r="G121" s="61"/>
      <c r="H121" s="17"/>
      <c r="I121" s="49"/>
    </row>
    <row r="122" spans="1:12" ht="16.5" x14ac:dyDescent="0.3">
      <c r="A122" s="131">
        <v>2</v>
      </c>
      <c r="B122" s="131" t="s">
        <v>893</v>
      </c>
      <c r="C122" s="132">
        <v>146363.51</v>
      </c>
      <c r="D122" s="131" t="s">
        <v>894</v>
      </c>
      <c r="E122" s="132"/>
      <c r="F122" s="132"/>
      <c r="G122" s="132"/>
      <c r="H122" s="17"/>
    </row>
    <row r="123" spans="1:12" ht="16.5" x14ac:dyDescent="0.3">
      <c r="A123" s="131">
        <v>3</v>
      </c>
      <c r="B123" s="131" t="s">
        <v>730</v>
      </c>
      <c r="C123" s="132">
        <v>11005.26</v>
      </c>
      <c r="D123" s="132" t="s">
        <v>895</v>
      </c>
      <c r="E123" s="132"/>
      <c r="F123" s="132"/>
      <c r="G123" s="132"/>
      <c r="H123" s="17"/>
    </row>
    <row r="124" spans="1:12" ht="16.5" x14ac:dyDescent="0.3">
      <c r="B124" s="131"/>
      <c r="C124" s="132"/>
      <c r="D124" s="132"/>
      <c r="E124" s="132"/>
      <c r="F124" s="132"/>
      <c r="G124" s="132"/>
      <c r="H124" s="17"/>
    </row>
    <row r="125" spans="1:12" ht="16.5" x14ac:dyDescent="0.3">
      <c r="B125" s="131"/>
      <c r="C125" s="132"/>
      <c r="D125" s="132"/>
      <c r="E125" s="132"/>
      <c r="F125" s="132"/>
      <c r="G125" s="132"/>
      <c r="H125" s="17"/>
    </row>
    <row r="126" spans="1:12" ht="16.5" x14ac:dyDescent="0.3">
      <c r="A126" s="54" t="s">
        <v>50</v>
      </c>
      <c r="B126" s="131" t="s">
        <v>487</v>
      </c>
      <c r="C126" s="51">
        <f>I116</f>
        <v>181949.94000000041</v>
      </c>
      <c r="D126" s="132" t="s">
        <v>86</v>
      </c>
      <c r="E126" s="132"/>
      <c r="F126" s="132"/>
      <c r="G126" s="132"/>
      <c r="H126" s="17"/>
    </row>
    <row r="127" spans="1:12" ht="16.5" x14ac:dyDescent="0.3">
      <c r="A127" s="131">
        <v>1</v>
      </c>
      <c r="B127" s="131" t="s">
        <v>896</v>
      </c>
      <c r="C127" s="132">
        <v>116311.14</v>
      </c>
      <c r="D127" s="131" t="s">
        <v>894</v>
      </c>
      <c r="E127" s="132"/>
      <c r="F127" s="132"/>
      <c r="G127" s="132"/>
      <c r="H127" s="17"/>
    </row>
    <row r="128" spans="1:12" ht="16.5" x14ac:dyDescent="0.3">
      <c r="A128" s="131">
        <v>2</v>
      </c>
      <c r="B128" s="131" t="s">
        <v>897</v>
      </c>
      <c r="C128" s="132">
        <v>42420.25</v>
      </c>
      <c r="D128" s="132" t="s">
        <v>898</v>
      </c>
      <c r="E128" s="132"/>
      <c r="F128" s="132"/>
      <c r="G128" s="132"/>
      <c r="H128" s="17"/>
    </row>
    <row r="129" spans="1:12" ht="16.5" x14ac:dyDescent="0.3">
      <c r="A129" s="131">
        <v>3</v>
      </c>
      <c r="B129" s="131" t="s">
        <v>899</v>
      </c>
      <c r="C129" s="132">
        <v>23218.55</v>
      </c>
      <c r="D129" s="132" t="s">
        <v>900</v>
      </c>
      <c r="E129" s="132"/>
      <c r="F129" s="132"/>
      <c r="G129" s="132"/>
      <c r="H129" s="17"/>
    </row>
    <row r="130" spans="1:12" s="825" customFormat="1" ht="20.100000000000001" customHeight="1" x14ac:dyDescent="0.3">
      <c r="B130" s="826"/>
      <c r="C130" s="17"/>
      <c r="D130" s="831"/>
    </row>
    <row r="131" spans="1:12" s="825" customFormat="1" ht="20.100000000000001" customHeight="1" x14ac:dyDescent="0.3">
      <c r="A131" s="844"/>
    </row>
    <row r="132" spans="1:12" s="825" customFormat="1" ht="20.100000000000001" customHeight="1" x14ac:dyDescent="0.3">
      <c r="A132" s="827"/>
      <c r="B132" s="827"/>
      <c r="C132" s="828" t="s">
        <v>1013</v>
      </c>
      <c r="D132" s="828"/>
      <c r="E132" s="828"/>
      <c r="F132" s="828"/>
      <c r="G132" s="828"/>
      <c r="H132" s="829"/>
      <c r="I132" s="855"/>
      <c r="J132" s="827"/>
      <c r="K132" s="226"/>
      <c r="L132" s="226"/>
    </row>
    <row r="133" spans="1:12" s="825" customFormat="1" ht="20.100000000000001" customHeight="1" thickBot="1" x14ac:dyDescent="0.35">
      <c r="A133" s="226"/>
      <c r="B133" s="826"/>
      <c r="C133" s="226"/>
      <c r="D133" s="226"/>
      <c r="E133" s="226"/>
      <c r="F133" s="226"/>
      <c r="G133" s="226"/>
      <c r="H133" s="226"/>
      <c r="I133" s="856"/>
      <c r="J133" s="226"/>
      <c r="K133" s="226"/>
      <c r="L133" s="226"/>
    </row>
    <row r="134" spans="1:12" s="825" customFormat="1" ht="50.25" thickBot="1" x14ac:dyDescent="0.35">
      <c r="A134" s="839" t="s">
        <v>1014</v>
      </c>
      <c r="B134" s="861" t="s">
        <v>14</v>
      </c>
      <c r="C134" s="841" t="s">
        <v>1015</v>
      </c>
      <c r="D134" s="841" t="s">
        <v>17</v>
      </c>
      <c r="E134" s="841" t="s">
        <v>18</v>
      </c>
      <c r="F134" s="840" t="s">
        <v>19</v>
      </c>
      <c r="G134" s="840" t="s">
        <v>59</v>
      </c>
      <c r="H134" s="840" t="s">
        <v>60</v>
      </c>
      <c r="I134" s="840" t="s">
        <v>61</v>
      </c>
      <c r="J134" s="830" t="s">
        <v>83</v>
      </c>
      <c r="K134" s="864"/>
      <c r="L134" s="226"/>
    </row>
    <row r="135" spans="1:12" s="825" customFormat="1" ht="20.100000000000001" customHeight="1" x14ac:dyDescent="0.3">
      <c r="A135" s="832" t="s">
        <v>47</v>
      </c>
      <c r="B135" s="836">
        <v>472969.15999999642</v>
      </c>
      <c r="C135" s="834">
        <v>31551152.84</v>
      </c>
      <c r="D135" s="835"/>
      <c r="E135" s="835">
        <v>1014427.13</v>
      </c>
      <c r="F135" s="833">
        <v>31009694.869999997</v>
      </c>
      <c r="G135" s="836">
        <v>30059404.720000003</v>
      </c>
      <c r="H135" s="836">
        <v>96.935506286070094</v>
      </c>
      <c r="I135" s="836">
        <v>950290.14999999478</v>
      </c>
      <c r="J135" s="836">
        <v>3.0644937139299069</v>
      </c>
      <c r="K135" s="831"/>
      <c r="L135" s="863"/>
    </row>
    <row r="136" spans="1:12" s="825" customFormat="1" ht="20.100000000000001" customHeight="1" thickBot="1" x14ac:dyDescent="0.35">
      <c r="A136" s="847" t="s">
        <v>50</v>
      </c>
      <c r="B136" s="836">
        <v>181949.94000000041</v>
      </c>
      <c r="C136" s="848">
        <v>1650194.69</v>
      </c>
      <c r="D136" s="842"/>
      <c r="E136" s="837">
        <v>127738.6</v>
      </c>
      <c r="F136" s="833">
        <v>1704406.0300000003</v>
      </c>
      <c r="G136" s="842">
        <v>1586192.94</v>
      </c>
      <c r="H136" s="867">
        <v>93.064264739781493</v>
      </c>
      <c r="I136" s="836">
        <v>118213.09000000032</v>
      </c>
      <c r="J136" s="854">
        <v>6.9357352602184994</v>
      </c>
      <c r="K136" s="831"/>
      <c r="L136" s="863"/>
    </row>
    <row r="137" spans="1:12" s="825" customFormat="1" ht="20.100000000000001" customHeight="1" thickTop="1" thickBot="1" x14ac:dyDescent="0.35">
      <c r="A137" s="849" t="s">
        <v>36</v>
      </c>
      <c r="B137" s="850">
        <v>654919.09999999683</v>
      </c>
      <c r="C137" s="850">
        <v>33201347.530000001</v>
      </c>
      <c r="D137" s="851"/>
      <c r="E137" s="850">
        <v>1142165.73</v>
      </c>
      <c r="F137" s="852">
        <v>32714100.899999999</v>
      </c>
      <c r="G137" s="853">
        <v>31645597.660000004</v>
      </c>
      <c r="H137" s="866">
        <v>96.733814439020719</v>
      </c>
      <c r="I137" s="852">
        <v>1068503.2399999951</v>
      </c>
      <c r="J137" s="865">
        <v>3.2661855609792871</v>
      </c>
      <c r="K137" s="226"/>
      <c r="L137" s="226"/>
    </row>
    <row r="138" spans="1:12" s="825" customFormat="1" ht="20.100000000000001" customHeight="1" thickTop="1" x14ac:dyDescent="0.3">
      <c r="A138" s="226"/>
      <c r="B138" s="226"/>
      <c r="C138" s="226"/>
      <c r="D138" s="226"/>
      <c r="E138" s="226"/>
      <c r="F138" s="226"/>
      <c r="G138" s="226"/>
      <c r="H138" s="226"/>
      <c r="I138" s="843"/>
      <c r="J138" s="226"/>
      <c r="K138" s="226"/>
      <c r="L138" s="226"/>
    </row>
    <row r="139" spans="1:12" s="825" customFormat="1" ht="20.100000000000001" customHeight="1" x14ac:dyDescent="0.3">
      <c r="A139" s="844" t="s">
        <v>84</v>
      </c>
      <c r="B139" s="226"/>
      <c r="C139" s="846"/>
      <c r="D139" s="226"/>
      <c r="E139" s="226"/>
      <c r="F139" s="226"/>
      <c r="G139" s="226"/>
      <c r="H139" s="226"/>
      <c r="I139" s="857"/>
      <c r="J139" s="859"/>
      <c r="K139" s="857"/>
      <c r="L139" s="863"/>
    </row>
    <row r="140" spans="1:12" s="825" customFormat="1" ht="20.100000000000001" customHeight="1" x14ac:dyDescent="0.3">
      <c r="A140" s="845" t="s">
        <v>47</v>
      </c>
      <c r="B140" s="825" t="s">
        <v>1016</v>
      </c>
      <c r="C140" s="838">
        <v>950290.14999999478</v>
      </c>
      <c r="D140" s="826" t="s">
        <v>86</v>
      </c>
      <c r="E140" s="226"/>
      <c r="F140" s="860"/>
      <c r="G140" s="226"/>
      <c r="H140" s="226"/>
      <c r="I140" s="831"/>
      <c r="J140" s="226"/>
      <c r="K140" s="226"/>
      <c r="L140" s="863"/>
    </row>
    <row r="141" spans="1:12" s="825" customFormat="1" ht="20.100000000000001" customHeight="1" x14ac:dyDescent="0.3">
      <c r="A141" s="825">
        <v>1</v>
      </c>
      <c r="B141" s="825" t="s">
        <v>87</v>
      </c>
      <c r="C141" s="846">
        <v>315600.39</v>
      </c>
      <c r="D141" s="826" t="s">
        <v>88</v>
      </c>
      <c r="E141" s="226"/>
      <c r="F141" s="862"/>
      <c r="G141" s="858"/>
      <c r="H141" s="226"/>
      <c r="I141" s="831"/>
      <c r="J141" s="226"/>
      <c r="K141" s="226"/>
      <c r="L141" s="226"/>
    </row>
    <row r="142" spans="1:12" s="825" customFormat="1" ht="20.100000000000001" customHeight="1" x14ac:dyDescent="0.3">
      <c r="A142" s="825">
        <v>2</v>
      </c>
      <c r="B142" s="825" t="s">
        <v>1017</v>
      </c>
      <c r="C142" s="826">
        <v>623684.5</v>
      </c>
      <c r="D142" s="825" t="s">
        <v>1018</v>
      </c>
      <c r="E142" s="226"/>
      <c r="F142" s="226"/>
      <c r="G142" s="226"/>
      <c r="H142" s="226"/>
      <c r="I142" s="226"/>
      <c r="J142" s="226"/>
      <c r="K142" s="226"/>
      <c r="L142" s="226"/>
    </row>
    <row r="143" spans="1:12" s="825" customFormat="1" ht="20.100000000000001" customHeight="1" x14ac:dyDescent="0.3">
      <c r="A143" s="825">
        <v>3</v>
      </c>
      <c r="B143" s="825" t="s">
        <v>730</v>
      </c>
      <c r="C143" s="826">
        <v>11005.26</v>
      </c>
      <c r="D143" s="826" t="s">
        <v>895</v>
      </c>
      <c r="E143" s="88"/>
    </row>
    <row r="144" spans="1:12" s="825" customFormat="1" ht="20.100000000000001" customHeight="1" x14ac:dyDescent="0.3">
      <c r="A144" s="33"/>
      <c r="B144" s="366"/>
      <c r="C144" s="65"/>
      <c r="D144" s="67"/>
      <c r="E144" s="33"/>
    </row>
    <row r="145" spans="1:12" s="825" customFormat="1" ht="20.100000000000001" customHeight="1" x14ac:dyDescent="0.3">
      <c r="B145" s="826"/>
      <c r="C145" s="17"/>
      <c r="D145" s="856"/>
    </row>
    <row r="146" spans="1:12" s="825" customFormat="1" ht="20.100000000000001" customHeight="1" x14ac:dyDescent="0.3">
      <c r="A146" s="845" t="s">
        <v>50</v>
      </c>
      <c r="B146" s="825" t="s">
        <v>1019</v>
      </c>
      <c r="C146" s="838">
        <v>118213.09000000032</v>
      </c>
      <c r="D146" s="826" t="s">
        <v>86</v>
      </c>
      <c r="E146" s="76"/>
      <c r="F146" s="864"/>
    </row>
    <row r="147" spans="1:12" s="825" customFormat="1" ht="20.100000000000001" customHeight="1" x14ac:dyDescent="0.3">
      <c r="A147" s="825">
        <v>1</v>
      </c>
      <c r="B147" s="825" t="s">
        <v>1017</v>
      </c>
      <c r="C147" s="826">
        <v>24392.71</v>
      </c>
      <c r="D147" s="825" t="s">
        <v>1018</v>
      </c>
      <c r="E147" s="81"/>
      <c r="F147" s="831"/>
      <c r="G147" s="863"/>
    </row>
    <row r="148" spans="1:12" ht="20.100000000000001" customHeight="1" x14ac:dyDescent="0.3">
      <c r="A148" s="825">
        <v>2</v>
      </c>
      <c r="B148" s="825" t="s">
        <v>1020</v>
      </c>
      <c r="C148" s="826">
        <v>16146.34</v>
      </c>
      <c r="D148" s="826" t="s">
        <v>1032</v>
      </c>
      <c r="E148" s="81"/>
      <c r="F148" s="49"/>
      <c r="G148" s="95"/>
    </row>
    <row r="149" spans="1:12" ht="20.100000000000001" customHeight="1" x14ac:dyDescent="0.3">
      <c r="A149" s="825">
        <v>3</v>
      </c>
      <c r="B149" s="825" t="s">
        <v>1021</v>
      </c>
      <c r="C149" s="826">
        <v>77674.039999999994</v>
      </c>
      <c r="D149" s="826" t="s">
        <v>1031</v>
      </c>
      <c r="E149" s="81"/>
      <c r="F149" s="49"/>
      <c r="G149" s="95"/>
    </row>
    <row r="150" spans="1:12" ht="20.100000000000001" customHeight="1" x14ac:dyDescent="0.3">
      <c r="A150" s="58"/>
      <c r="B150" s="87"/>
      <c r="C150" s="88"/>
      <c r="D150" s="86"/>
      <c r="E150" s="88"/>
    </row>
    <row r="151" spans="1:12" ht="20.100000000000001" customHeight="1" x14ac:dyDescent="0.3">
      <c r="D151" s="52"/>
    </row>
    <row r="152" spans="1:12" s="825" customFormat="1" ht="18" customHeight="1" x14ac:dyDescent="0.3">
      <c r="A152" s="827"/>
      <c r="B152" s="827"/>
      <c r="C152" s="828" t="s">
        <v>1116</v>
      </c>
      <c r="D152" s="828"/>
      <c r="E152" s="828"/>
      <c r="F152" s="828"/>
      <c r="G152" s="828"/>
      <c r="H152" s="829"/>
      <c r="I152" s="855"/>
      <c r="J152" s="827"/>
    </row>
    <row r="153" spans="1:12" s="825" customFormat="1" ht="18" customHeight="1" thickBot="1" x14ac:dyDescent="0.35">
      <c r="B153" s="826"/>
      <c r="C153" s="826"/>
      <c r="D153" s="826"/>
      <c r="E153" s="826"/>
      <c r="F153" s="826"/>
      <c r="G153" s="826"/>
      <c r="H153" s="17"/>
      <c r="I153" s="856"/>
    </row>
    <row r="154" spans="1:12" s="825" customFormat="1" ht="50.25" thickBot="1" x14ac:dyDescent="0.35">
      <c r="A154" s="839" t="s">
        <v>1117</v>
      </c>
      <c r="B154" s="861" t="s">
        <v>14</v>
      </c>
      <c r="C154" s="841" t="s">
        <v>1118</v>
      </c>
      <c r="D154" s="841" t="s">
        <v>17</v>
      </c>
      <c r="E154" s="841" t="s">
        <v>18</v>
      </c>
      <c r="F154" s="840" t="s">
        <v>19</v>
      </c>
      <c r="G154" s="840" t="s">
        <v>59</v>
      </c>
      <c r="H154" s="840" t="s">
        <v>60</v>
      </c>
      <c r="I154" s="840" t="s">
        <v>61</v>
      </c>
      <c r="J154" s="830" t="s">
        <v>83</v>
      </c>
      <c r="K154" s="864"/>
    </row>
    <row r="155" spans="1:12" s="825" customFormat="1" ht="18" customHeight="1" x14ac:dyDescent="0.3">
      <c r="A155" s="832" t="s">
        <v>47</v>
      </c>
      <c r="B155" s="836">
        <v>950290.14999999478</v>
      </c>
      <c r="C155" s="834">
        <v>26892734.420000002</v>
      </c>
      <c r="D155" s="835"/>
      <c r="E155" s="835">
        <v>1580137.37</v>
      </c>
      <c r="F155" s="833">
        <f>B155+C155-D155-E155</f>
        <v>26262887.199999996</v>
      </c>
      <c r="G155" s="836">
        <f>25714151.81-E155+2375.83</f>
        <v>24136390.269999996</v>
      </c>
      <c r="H155" s="836">
        <f>G155/F155*100</f>
        <v>91.903034446266062</v>
      </c>
      <c r="I155" s="836">
        <f>F155-G155</f>
        <v>2126496.9299999997</v>
      </c>
      <c r="J155" s="836">
        <f>I155/F155*100</f>
        <v>8.0969655537339396</v>
      </c>
      <c r="K155" s="831"/>
      <c r="L155" s="863"/>
    </row>
    <row r="156" spans="1:12" s="825" customFormat="1" ht="18" customHeight="1" thickBot="1" x14ac:dyDescent="0.35">
      <c r="A156" s="847" t="s">
        <v>50</v>
      </c>
      <c r="B156" s="836">
        <v>118213.09000000032</v>
      </c>
      <c r="C156" s="848">
        <v>3637582.19</v>
      </c>
      <c r="D156" s="842"/>
      <c r="E156" s="837">
        <v>242352.22</v>
      </c>
      <c r="F156" s="833">
        <f>B156+C156-D156-E156</f>
        <v>3513443.06</v>
      </c>
      <c r="G156" s="842">
        <f>2839044.36-E156</f>
        <v>2596692.1399999997</v>
      </c>
      <c r="H156" s="867">
        <f>G156/F156*100</f>
        <v>73.907335216640718</v>
      </c>
      <c r="I156" s="836">
        <f>F156-G156</f>
        <v>916750.92000000039</v>
      </c>
      <c r="J156" s="854">
        <f>I156/F156*100</f>
        <v>26.092664783359272</v>
      </c>
      <c r="K156" s="831"/>
      <c r="L156" s="863"/>
    </row>
    <row r="157" spans="1:12" s="825" customFormat="1" ht="18" customHeight="1" thickTop="1" thickBot="1" x14ac:dyDescent="0.35">
      <c r="A157" s="849" t="s">
        <v>36</v>
      </c>
      <c r="B157" s="850">
        <f>B155+B156</f>
        <v>1068503.2399999951</v>
      </c>
      <c r="C157" s="850">
        <f>SUM(C155:C156)</f>
        <v>30530316.610000003</v>
      </c>
      <c r="D157" s="851"/>
      <c r="E157" s="850">
        <f>SUM(E155:E156)</f>
        <v>1822489.59</v>
      </c>
      <c r="F157" s="852">
        <f>SUM(F155:F156)</f>
        <v>29776330.259999994</v>
      </c>
      <c r="G157" s="853">
        <f>SUM(G155:G156)</f>
        <v>26733082.409999996</v>
      </c>
      <c r="H157" s="866">
        <f>G157/F157*100</f>
        <v>89.779640998648716</v>
      </c>
      <c r="I157" s="852">
        <f>SUM(I155:I156)</f>
        <v>3043247.85</v>
      </c>
      <c r="J157" s="865">
        <f>I157/F157*100</f>
        <v>10.2203590013513</v>
      </c>
    </row>
    <row r="158" spans="1:12" s="825" customFormat="1" ht="18" customHeight="1" thickTop="1" x14ac:dyDescent="0.3">
      <c r="C158" s="826"/>
      <c r="D158" s="826"/>
      <c r="E158" s="826"/>
      <c r="F158" s="826"/>
      <c r="G158" s="826"/>
      <c r="H158" s="17"/>
      <c r="I158" s="843"/>
    </row>
    <row r="159" spans="1:12" s="825" customFormat="1" ht="18" customHeight="1" x14ac:dyDescent="0.3">
      <c r="A159" s="844" t="s">
        <v>84</v>
      </c>
      <c r="C159" s="846"/>
      <c r="D159" s="826"/>
      <c r="E159" s="826"/>
      <c r="F159" s="826"/>
      <c r="G159" s="826"/>
      <c r="H159" s="17"/>
      <c r="I159" s="857"/>
      <c r="J159" s="859"/>
      <c r="K159" s="857"/>
      <c r="L159" s="863"/>
    </row>
    <row r="160" spans="1:12" s="825" customFormat="1" ht="18" customHeight="1" x14ac:dyDescent="0.3">
      <c r="A160" s="845" t="s">
        <v>47</v>
      </c>
      <c r="B160" s="825" t="s">
        <v>1119</v>
      </c>
      <c r="C160" s="838">
        <f>I155</f>
        <v>2126496.9299999997</v>
      </c>
      <c r="D160" s="826" t="s">
        <v>86</v>
      </c>
      <c r="E160" s="826"/>
      <c r="F160" s="860"/>
      <c r="G160" s="826"/>
      <c r="H160" s="17"/>
      <c r="I160" s="831"/>
      <c r="L160" s="863"/>
    </row>
    <row r="161" spans="1:12" s="825" customFormat="1" ht="18" customHeight="1" x14ac:dyDescent="0.3">
      <c r="A161" s="825">
        <v>1</v>
      </c>
      <c r="B161" s="825" t="s">
        <v>87</v>
      </c>
      <c r="C161" s="846">
        <v>315600.39</v>
      </c>
      <c r="D161" s="826" t="s">
        <v>88</v>
      </c>
      <c r="E161" s="826"/>
      <c r="F161" s="862"/>
      <c r="G161" s="858"/>
      <c r="H161" s="17"/>
      <c r="I161" s="831"/>
    </row>
    <row r="162" spans="1:12" s="825" customFormat="1" ht="16.5" x14ac:dyDescent="0.3">
      <c r="A162" s="825">
        <v>2</v>
      </c>
      <c r="B162" s="825" t="s">
        <v>1120</v>
      </c>
      <c r="C162" s="826">
        <v>1799891.28</v>
      </c>
      <c r="D162" s="825" t="s">
        <v>1121</v>
      </c>
      <c r="E162" s="826"/>
      <c r="F162" s="826"/>
      <c r="G162" s="826"/>
      <c r="H162" s="17"/>
    </row>
    <row r="163" spans="1:12" s="825" customFormat="1" ht="16.5" x14ac:dyDescent="0.3">
      <c r="A163" s="825">
        <v>3</v>
      </c>
      <c r="B163" s="825" t="s">
        <v>730</v>
      </c>
      <c r="C163" s="826">
        <v>11005.26</v>
      </c>
      <c r="D163" s="826" t="s">
        <v>1123</v>
      </c>
      <c r="E163" s="826"/>
      <c r="F163" s="826"/>
      <c r="G163" s="826"/>
      <c r="H163" s="17"/>
    </row>
    <row r="164" spans="1:12" s="825" customFormat="1" ht="16.5" x14ac:dyDescent="0.3">
      <c r="C164" s="826"/>
      <c r="D164" s="826"/>
      <c r="E164" s="826"/>
      <c r="F164" s="826"/>
      <c r="G164" s="826"/>
      <c r="H164" s="17"/>
    </row>
    <row r="165" spans="1:12" s="825" customFormat="1" ht="16.5" x14ac:dyDescent="0.3">
      <c r="C165" s="826"/>
      <c r="D165" s="826"/>
      <c r="E165" s="826"/>
      <c r="F165" s="826"/>
      <c r="G165" s="826"/>
      <c r="H165" s="17"/>
    </row>
    <row r="166" spans="1:12" s="825" customFormat="1" ht="16.5" x14ac:dyDescent="0.3">
      <c r="A166" s="845" t="s">
        <v>50</v>
      </c>
      <c r="B166" s="825" t="s">
        <v>1122</v>
      </c>
      <c r="C166" s="838">
        <f>I156</f>
        <v>916750.92000000039</v>
      </c>
      <c r="D166" s="826" t="s">
        <v>86</v>
      </c>
      <c r="E166" s="826"/>
      <c r="F166" s="826"/>
      <c r="G166" s="826"/>
      <c r="H166" s="17"/>
    </row>
    <row r="167" spans="1:12" s="825" customFormat="1" ht="16.5" x14ac:dyDescent="0.3">
      <c r="A167" s="825">
        <v>1</v>
      </c>
      <c r="B167" s="825" t="s">
        <v>1120</v>
      </c>
      <c r="C167" s="826">
        <v>900604.58</v>
      </c>
      <c r="D167" s="825" t="s">
        <v>1121</v>
      </c>
      <c r="E167" s="826"/>
      <c r="F167" s="826"/>
      <c r="G167" s="826"/>
      <c r="H167" s="17"/>
    </row>
    <row r="168" spans="1:12" s="825" customFormat="1" ht="16.5" x14ac:dyDescent="0.3">
      <c r="A168" s="825">
        <v>2</v>
      </c>
      <c r="B168" s="825" t="s">
        <v>1020</v>
      </c>
      <c r="C168" s="826">
        <v>16146.34</v>
      </c>
      <c r="D168" s="826" t="s">
        <v>1123</v>
      </c>
      <c r="E168" s="826"/>
      <c r="F168" s="826"/>
      <c r="G168" s="826"/>
      <c r="H168" s="17"/>
    </row>
    <row r="169" spans="1:12" ht="20.100000000000001" customHeight="1" x14ac:dyDescent="0.3">
      <c r="A169" s="54"/>
    </row>
    <row r="170" spans="1:12" ht="20.100000000000001" customHeight="1" x14ac:dyDescent="0.3">
      <c r="A170" s="70"/>
    </row>
    <row r="171" spans="1:12" s="825" customFormat="1" ht="18" customHeight="1" x14ac:dyDescent="0.3">
      <c r="A171" s="827"/>
      <c r="B171" s="827"/>
      <c r="C171" s="828" t="s">
        <v>1270</v>
      </c>
      <c r="D171" s="828"/>
      <c r="E171" s="828"/>
      <c r="F171" s="828"/>
      <c r="G171" s="828"/>
      <c r="H171" s="829"/>
      <c r="I171" s="855"/>
      <c r="J171" s="827"/>
    </row>
    <row r="172" spans="1:12" s="825" customFormat="1" ht="18" customHeight="1" thickBot="1" x14ac:dyDescent="0.35">
      <c r="B172" s="826"/>
      <c r="C172" s="826"/>
      <c r="D172" s="826"/>
      <c r="E172" s="826"/>
      <c r="F172" s="826"/>
      <c r="G172" s="826"/>
      <c r="H172" s="17"/>
      <c r="I172" s="856"/>
    </row>
    <row r="173" spans="1:12" s="825" customFormat="1" ht="50.25" thickBot="1" x14ac:dyDescent="0.35">
      <c r="A173" s="839" t="s">
        <v>1169</v>
      </c>
      <c r="B173" s="861" t="s">
        <v>14</v>
      </c>
      <c r="C173" s="841" t="s">
        <v>1271</v>
      </c>
      <c r="D173" s="841" t="s">
        <v>17</v>
      </c>
      <c r="E173" s="841" t="s">
        <v>18</v>
      </c>
      <c r="F173" s="840" t="s">
        <v>19</v>
      </c>
      <c r="G173" s="840" t="s">
        <v>59</v>
      </c>
      <c r="H173" s="840" t="s">
        <v>60</v>
      </c>
      <c r="I173" s="840" t="s">
        <v>61</v>
      </c>
      <c r="J173" s="830" t="s">
        <v>83</v>
      </c>
      <c r="K173" s="864"/>
    </row>
    <row r="174" spans="1:12" s="825" customFormat="1" ht="18" customHeight="1" x14ac:dyDescent="0.3">
      <c r="A174" s="832" t="s">
        <v>47</v>
      </c>
      <c r="B174" s="836">
        <v>2126496.9299999997</v>
      </c>
      <c r="C174" s="834">
        <v>25546641.370000001</v>
      </c>
      <c r="D174" s="835"/>
      <c r="E174" s="835">
        <v>1406887.73</v>
      </c>
      <c r="F174" s="833">
        <f>B174+C174-D174-E174</f>
        <v>26266250.57</v>
      </c>
      <c r="G174" s="836">
        <f>27354159.2-E174</f>
        <v>25947271.469999999</v>
      </c>
      <c r="H174" s="836">
        <f>G174/F174*100</f>
        <v>98.785593325739754</v>
      </c>
      <c r="I174" s="836">
        <f>F174-G174</f>
        <v>318979.10000000149</v>
      </c>
      <c r="J174" s="836">
        <f>I174/F174*100</f>
        <v>1.214406674260252</v>
      </c>
      <c r="K174" s="831"/>
      <c r="L174" s="863"/>
    </row>
    <row r="175" spans="1:12" s="825" customFormat="1" ht="18" customHeight="1" thickBot="1" x14ac:dyDescent="0.35">
      <c r="A175" s="847" t="s">
        <v>50</v>
      </c>
      <c r="B175" s="836">
        <v>916750.92000000039</v>
      </c>
      <c r="C175" s="848">
        <v>6959926.8700000001</v>
      </c>
      <c r="D175" s="842"/>
      <c r="E175" s="837">
        <v>39056.230000000003</v>
      </c>
      <c r="F175" s="833">
        <f>B175+C175-D175-E175</f>
        <v>7837621.5600000005</v>
      </c>
      <c r="G175" s="842">
        <f>7876677.79-E175</f>
        <v>7837621.5599999996</v>
      </c>
      <c r="H175" s="867">
        <f>G175/F175*100</f>
        <v>99.999999999999986</v>
      </c>
      <c r="I175" s="836">
        <f>F175-G175</f>
        <v>0</v>
      </c>
      <c r="J175" s="854">
        <f>I175/F175*100</f>
        <v>0</v>
      </c>
      <c r="K175" s="831"/>
      <c r="L175" s="863"/>
    </row>
    <row r="176" spans="1:12" s="825" customFormat="1" ht="18" customHeight="1" thickTop="1" thickBot="1" x14ac:dyDescent="0.35">
      <c r="A176" s="849" t="s">
        <v>36</v>
      </c>
      <c r="B176" s="850">
        <f>B174+B175</f>
        <v>3043247.85</v>
      </c>
      <c r="C176" s="850">
        <f>SUM(C174:C175)</f>
        <v>32506568.240000002</v>
      </c>
      <c r="D176" s="851"/>
      <c r="E176" s="850">
        <f>SUM(E174:E175)</f>
        <v>1445943.96</v>
      </c>
      <c r="F176" s="852">
        <f>SUM(F174:F175)</f>
        <v>34103872.130000003</v>
      </c>
      <c r="G176" s="853">
        <f>SUM(G174:G175)</f>
        <v>33784893.030000001</v>
      </c>
      <c r="H176" s="866">
        <f>G176/F176*100</f>
        <v>99.064683626586174</v>
      </c>
      <c r="I176" s="852">
        <f>SUM(I174:I175)</f>
        <v>318979.10000000149</v>
      </c>
      <c r="J176" s="865">
        <f>I176/F176*100</f>
        <v>0.93531637341381701</v>
      </c>
    </row>
    <row r="177" spans="1:12" s="825" customFormat="1" ht="18" customHeight="1" thickTop="1" x14ac:dyDescent="0.3">
      <c r="C177" s="826"/>
      <c r="D177" s="826"/>
      <c r="E177" s="826"/>
      <c r="F177" s="826"/>
      <c r="G177" s="826"/>
      <c r="H177" s="17"/>
      <c r="I177" s="843"/>
    </row>
    <row r="178" spans="1:12" s="825" customFormat="1" ht="18" customHeight="1" x14ac:dyDescent="0.3">
      <c r="A178" s="844" t="s">
        <v>84</v>
      </c>
      <c r="C178" s="846"/>
      <c r="D178" s="826"/>
      <c r="E178" s="826"/>
      <c r="F178" s="826"/>
      <c r="G178" s="826"/>
      <c r="H178" s="17"/>
      <c r="I178" s="857"/>
      <c r="J178" s="859"/>
      <c r="K178" s="857"/>
      <c r="L178" s="863"/>
    </row>
    <row r="179" spans="1:12" s="825" customFormat="1" ht="18" customHeight="1" x14ac:dyDescent="0.3">
      <c r="A179" s="845" t="s">
        <v>47</v>
      </c>
      <c r="B179" s="825" t="s">
        <v>1272</v>
      </c>
      <c r="C179" s="838">
        <f>I174</f>
        <v>318979.10000000149</v>
      </c>
      <c r="D179" s="826" t="s">
        <v>86</v>
      </c>
      <c r="E179" s="826"/>
      <c r="F179" s="860"/>
      <c r="G179" s="826"/>
      <c r="H179" s="17"/>
      <c r="I179" s="831"/>
      <c r="L179" s="863"/>
    </row>
    <row r="180" spans="1:12" s="825" customFormat="1" ht="18" customHeight="1" x14ac:dyDescent="0.3">
      <c r="A180" s="825">
        <v>1</v>
      </c>
      <c r="B180" s="825" t="s">
        <v>87</v>
      </c>
      <c r="C180" s="846">
        <v>315600.39</v>
      </c>
      <c r="D180" s="826" t="s">
        <v>88</v>
      </c>
      <c r="E180" s="826"/>
      <c r="F180" s="862"/>
      <c r="G180" s="858"/>
      <c r="H180" s="17"/>
      <c r="I180" s="831"/>
    </row>
    <row r="181" spans="1:12" s="825" customFormat="1" ht="16.5" x14ac:dyDescent="0.3">
      <c r="A181" s="825">
        <v>2</v>
      </c>
      <c r="B181" s="825" t="s">
        <v>1273</v>
      </c>
      <c r="C181" s="826">
        <v>3378.71</v>
      </c>
      <c r="D181" s="825" t="s">
        <v>1274</v>
      </c>
      <c r="E181" s="826"/>
      <c r="F181" s="826"/>
      <c r="G181" s="826"/>
      <c r="H181" s="17"/>
    </row>
    <row r="182" spans="1:12" s="825" customFormat="1" ht="16.5" x14ac:dyDescent="0.3">
      <c r="C182" s="826"/>
      <c r="D182" s="826"/>
      <c r="E182" s="826"/>
      <c r="F182" s="826"/>
      <c r="G182" s="826"/>
      <c r="H182" s="17"/>
    </row>
    <row r="183" spans="1:12" s="825" customFormat="1" ht="16.5" x14ac:dyDescent="0.3">
      <c r="C183" s="826"/>
      <c r="D183" s="826"/>
      <c r="E183" s="826"/>
      <c r="F183" s="826"/>
      <c r="G183" s="826"/>
      <c r="H183" s="17"/>
    </row>
    <row r="184" spans="1:12" s="825" customFormat="1" ht="18" customHeight="1" x14ac:dyDescent="0.3">
      <c r="A184" s="827"/>
      <c r="B184" s="827"/>
      <c r="C184" s="828" t="s">
        <v>1344</v>
      </c>
      <c r="D184" s="828"/>
      <c r="E184" s="828"/>
      <c r="F184" s="828"/>
      <c r="G184" s="828"/>
      <c r="H184" s="829"/>
      <c r="I184" s="855"/>
      <c r="J184" s="827"/>
    </row>
    <row r="185" spans="1:12" s="825" customFormat="1" ht="18" customHeight="1" thickBot="1" x14ac:dyDescent="0.35">
      <c r="B185" s="826"/>
      <c r="C185" s="826"/>
      <c r="D185" s="826"/>
      <c r="E185" s="826"/>
      <c r="F185" s="826"/>
      <c r="G185" s="826"/>
      <c r="H185" s="17"/>
      <c r="I185" s="856"/>
    </row>
    <row r="186" spans="1:12" s="825" customFormat="1" ht="50.25" thickBot="1" x14ac:dyDescent="0.35">
      <c r="A186" s="839" t="s">
        <v>1286</v>
      </c>
      <c r="B186" s="861" t="s">
        <v>14</v>
      </c>
      <c r="C186" s="841" t="s">
        <v>1345</v>
      </c>
      <c r="D186" s="841" t="s">
        <v>17</v>
      </c>
      <c r="E186" s="841" t="s">
        <v>18</v>
      </c>
      <c r="F186" s="840" t="s">
        <v>19</v>
      </c>
      <c r="G186" s="840" t="s">
        <v>59</v>
      </c>
      <c r="H186" s="840" t="s">
        <v>60</v>
      </c>
      <c r="I186" s="840" t="s">
        <v>61</v>
      </c>
      <c r="J186" s="830" t="s">
        <v>83</v>
      </c>
      <c r="K186" s="864"/>
    </row>
    <row r="187" spans="1:12" s="825" customFormat="1" ht="18" customHeight="1" x14ac:dyDescent="0.3">
      <c r="A187" s="832" t="s">
        <v>47</v>
      </c>
      <c r="B187" s="836">
        <v>318979.10000000149</v>
      </c>
      <c r="C187" s="834">
        <v>35406472.939999998</v>
      </c>
      <c r="D187" s="835"/>
      <c r="E187" s="835">
        <v>747076.55</v>
      </c>
      <c r="F187" s="833">
        <f>B187+C187-D187-E187</f>
        <v>34978375.490000002</v>
      </c>
      <c r="G187" s="836">
        <f>35210229.85-E187</f>
        <v>34463153.300000004</v>
      </c>
      <c r="H187" s="836">
        <f>G187/F187*100</f>
        <v>98.527026533444086</v>
      </c>
      <c r="I187" s="836">
        <f>F187-G187</f>
        <v>515222.18999999762</v>
      </c>
      <c r="J187" s="836">
        <f>I187/F187*100</f>
        <v>1.4729734665559153</v>
      </c>
      <c r="K187" s="831"/>
      <c r="L187" s="863"/>
    </row>
    <row r="188" spans="1:12" s="825" customFormat="1" ht="18" customHeight="1" thickBot="1" x14ac:dyDescent="0.35">
      <c r="A188" s="847" t="s">
        <v>50</v>
      </c>
      <c r="B188" s="836">
        <v>0</v>
      </c>
      <c r="C188" s="848">
        <v>9542385.6300000008</v>
      </c>
      <c r="D188" s="842"/>
      <c r="E188" s="837">
        <v>480096.54</v>
      </c>
      <c r="F188" s="833">
        <f>B188+C188-D188-E188</f>
        <v>9062289.0900000017</v>
      </c>
      <c r="G188" s="842">
        <f>9471136.98-E188</f>
        <v>8991040.4400000013</v>
      </c>
      <c r="H188" s="867">
        <f>G188/F188*100</f>
        <v>99.213789702663306</v>
      </c>
      <c r="I188" s="836">
        <f>F188-G188</f>
        <v>71248.650000000373</v>
      </c>
      <c r="J188" s="854">
        <f>I188/F188*100</f>
        <v>0.78621029733670045</v>
      </c>
      <c r="K188" s="831"/>
      <c r="L188" s="863"/>
    </row>
    <row r="189" spans="1:12" s="825" customFormat="1" ht="18" customHeight="1" thickTop="1" thickBot="1" x14ac:dyDescent="0.35">
      <c r="A189" s="849" t="s">
        <v>36</v>
      </c>
      <c r="B189" s="850">
        <f>B187+B188</f>
        <v>318979.10000000149</v>
      </c>
      <c r="C189" s="850">
        <f>SUM(C187:C188)</f>
        <v>44948858.57</v>
      </c>
      <c r="D189" s="851"/>
      <c r="E189" s="850">
        <f>SUM(E187:E188)</f>
        <v>1227173.0900000001</v>
      </c>
      <c r="F189" s="852">
        <f>SUM(F187:F188)</f>
        <v>44040664.580000006</v>
      </c>
      <c r="G189" s="853">
        <f>SUM(G187:G188)</f>
        <v>43454193.74000001</v>
      </c>
      <c r="H189" s="866">
        <f>G189/F189*100</f>
        <v>98.668342438532747</v>
      </c>
      <c r="I189" s="852">
        <f>SUM(I187:I188)</f>
        <v>586470.83999999799</v>
      </c>
      <c r="J189" s="865">
        <f>I189/F189*100</f>
        <v>1.3316575614672477</v>
      </c>
    </row>
    <row r="190" spans="1:12" s="825" customFormat="1" ht="18" customHeight="1" thickTop="1" x14ac:dyDescent="0.3">
      <c r="C190" s="826"/>
      <c r="D190" s="826"/>
      <c r="E190" s="826"/>
      <c r="F190" s="826"/>
      <c r="G190" s="826"/>
      <c r="H190" s="17"/>
      <c r="I190" s="843"/>
    </row>
    <row r="191" spans="1:12" s="825" customFormat="1" ht="18" customHeight="1" x14ac:dyDescent="0.3">
      <c r="A191" s="844" t="s">
        <v>84</v>
      </c>
      <c r="C191" s="846"/>
      <c r="D191" s="826"/>
      <c r="E191" s="826"/>
      <c r="F191" s="826"/>
      <c r="G191" s="826"/>
      <c r="H191" s="17"/>
      <c r="I191" s="857"/>
      <c r="J191" s="859"/>
      <c r="K191" s="857"/>
      <c r="L191" s="863"/>
    </row>
    <row r="192" spans="1:12" s="825" customFormat="1" ht="18" customHeight="1" x14ac:dyDescent="0.3">
      <c r="A192" s="845" t="s">
        <v>47</v>
      </c>
      <c r="B192" s="825" t="s">
        <v>1346</v>
      </c>
      <c r="C192" s="838">
        <f>I187</f>
        <v>515222.18999999762</v>
      </c>
      <c r="D192" s="826" t="s">
        <v>86</v>
      </c>
      <c r="E192" s="826"/>
      <c r="F192" s="860"/>
      <c r="G192" s="826"/>
      <c r="H192" s="17"/>
      <c r="I192" s="831"/>
      <c r="L192" s="863"/>
    </row>
    <row r="193" spans="1:12" s="825" customFormat="1" ht="18" customHeight="1" x14ac:dyDescent="0.3">
      <c r="A193" s="825">
        <v>1</v>
      </c>
      <c r="B193" s="825" t="s">
        <v>87</v>
      </c>
      <c r="C193" s="846">
        <v>315600.39</v>
      </c>
      <c r="D193" s="826" t="s">
        <v>88</v>
      </c>
      <c r="E193" s="826"/>
      <c r="F193" s="862"/>
      <c r="G193" s="858"/>
      <c r="H193" s="17"/>
      <c r="I193" s="831"/>
    </row>
    <row r="194" spans="1:12" s="825" customFormat="1" ht="16.5" x14ac:dyDescent="0.3">
      <c r="A194" s="825">
        <v>2</v>
      </c>
      <c r="B194" s="825" t="s">
        <v>1347</v>
      </c>
      <c r="C194" s="826">
        <v>199621.8</v>
      </c>
      <c r="D194" s="825" t="s">
        <v>1348</v>
      </c>
      <c r="E194" s="826"/>
      <c r="F194" s="826"/>
      <c r="G194" s="826"/>
      <c r="H194" s="17"/>
    </row>
    <row r="195" spans="1:12" s="825" customFormat="1" ht="16.5" x14ac:dyDescent="0.3">
      <c r="C195" s="826"/>
      <c r="D195" s="826"/>
      <c r="E195" s="826"/>
      <c r="F195" s="826"/>
      <c r="G195" s="826"/>
      <c r="H195" s="17"/>
    </row>
    <row r="196" spans="1:12" s="825" customFormat="1" ht="16.5" x14ac:dyDescent="0.3">
      <c r="A196" s="845" t="s">
        <v>50</v>
      </c>
      <c r="B196" s="825" t="s">
        <v>1349</v>
      </c>
      <c r="C196" s="838">
        <f>I188</f>
        <v>71248.650000000373</v>
      </c>
      <c r="D196" s="826" t="s">
        <v>86</v>
      </c>
      <c r="E196" s="826"/>
      <c r="F196" s="826"/>
      <c r="G196" s="826"/>
      <c r="H196" s="17"/>
    </row>
    <row r="197" spans="1:12" s="825" customFormat="1" ht="16.5" x14ac:dyDescent="0.3">
      <c r="A197" s="825">
        <v>1</v>
      </c>
      <c r="B197" s="825" t="s">
        <v>1350</v>
      </c>
      <c r="C197" s="826">
        <v>71248.649999999994</v>
      </c>
      <c r="D197" s="825" t="s">
        <v>1348</v>
      </c>
      <c r="E197" s="826"/>
      <c r="F197" s="826"/>
      <c r="G197" s="826"/>
      <c r="H197" s="17"/>
    </row>
    <row r="198" spans="1:12" ht="20.100000000000001" customHeight="1" x14ac:dyDescent="0.3">
      <c r="A198" s="54"/>
    </row>
    <row r="199" spans="1:12" ht="20.100000000000001" customHeight="1" x14ac:dyDescent="0.3">
      <c r="A199" s="70"/>
    </row>
    <row r="200" spans="1:12" s="825" customFormat="1" ht="18" customHeight="1" x14ac:dyDescent="0.3">
      <c r="A200" s="827"/>
      <c r="B200" s="827"/>
      <c r="C200" s="828" t="s">
        <v>1406</v>
      </c>
      <c r="D200" s="828"/>
      <c r="E200" s="828"/>
      <c r="F200" s="828"/>
      <c r="G200" s="828"/>
      <c r="H200" s="829"/>
      <c r="I200" s="855"/>
      <c r="J200" s="827"/>
    </row>
    <row r="201" spans="1:12" s="825" customFormat="1" ht="18" customHeight="1" thickBot="1" x14ac:dyDescent="0.35">
      <c r="B201" s="826"/>
      <c r="C201" s="826"/>
      <c r="D201" s="826"/>
      <c r="E201" s="826"/>
      <c r="F201" s="826"/>
      <c r="G201" s="826"/>
      <c r="H201" s="17"/>
      <c r="I201" s="856"/>
    </row>
    <row r="202" spans="1:12" s="825" customFormat="1" ht="50.25" thickBot="1" x14ac:dyDescent="0.35">
      <c r="A202" s="839" t="s">
        <v>1398</v>
      </c>
      <c r="B202" s="861" t="s">
        <v>14</v>
      </c>
      <c r="C202" s="841" t="s">
        <v>1407</v>
      </c>
      <c r="D202" s="841" t="s">
        <v>17</v>
      </c>
      <c r="E202" s="841" t="s">
        <v>18</v>
      </c>
      <c r="F202" s="840" t="s">
        <v>19</v>
      </c>
      <c r="G202" s="840" t="s">
        <v>59</v>
      </c>
      <c r="H202" s="840" t="s">
        <v>60</v>
      </c>
      <c r="I202" s="840" t="s">
        <v>61</v>
      </c>
      <c r="J202" s="830" t="s">
        <v>83</v>
      </c>
      <c r="K202" s="864"/>
    </row>
    <row r="203" spans="1:12" s="825" customFormat="1" ht="18" customHeight="1" x14ac:dyDescent="0.3">
      <c r="A203" s="832" t="s">
        <v>47</v>
      </c>
      <c r="B203" s="836">
        <v>515222.18999999762</v>
      </c>
      <c r="C203" s="834">
        <v>42389515.130000003</v>
      </c>
      <c r="D203" s="835"/>
      <c r="E203" s="835">
        <v>1083665.7</v>
      </c>
      <c r="F203" s="833">
        <f>B203+C203-D203-E203</f>
        <v>41821071.619999997</v>
      </c>
      <c r="G203" s="836">
        <f>38744942.98-E203</f>
        <v>37661277.279999994</v>
      </c>
      <c r="H203" s="836">
        <f>G203/F203*100</f>
        <v>90.053353061353221</v>
      </c>
      <c r="I203" s="836">
        <f>F203-G203</f>
        <v>4159794.3400000036</v>
      </c>
      <c r="J203" s="836">
        <f>I203/F203*100</f>
        <v>9.9466469386467722</v>
      </c>
      <c r="K203" s="831"/>
      <c r="L203" s="863"/>
    </row>
    <row r="204" spans="1:12" s="825" customFormat="1" ht="18" customHeight="1" thickBot="1" x14ac:dyDescent="0.35">
      <c r="A204" s="847" t="s">
        <v>50</v>
      </c>
      <c r="B204" s="836">
        <v>71248.650000000373</v>
      </c>
      <c r="C204" s="848">
        <v>8411963.2400000002</v>
      </c>
      <c r="D204" s="842"/>
      <c r="E204" s="837">
        <v>208668.75</v>
      </c>
      <c r="F204" s="833">
        <f>B204+C204-D204-E204</f>
        <v>8274543.1400000006</v>
      </c>
      <c r="G204" s="842">
        <f>8467947.8-E204</f>
        <v>8259279.0500000007</v>
      </c>
      <c r="H204" s="867">
        <f>G204/F204*100</f>
        <v>99.815529513330929</v>
      </c>
      <c r="I204" s="836">
        <f>F204-G204</f>
        <v>15264.089999999851</v>
      </c>
      <c r="J204" s="854">
        <f>I204/F204*100</f>
        <v>0.18447048666906643</v>
      </c>
      <c r="K204" s="831"/>
      <c r="L204" s="863"/>
    </row>
    <row r="205" spans="1:12" s="825" customFormat="1" ht="18" customHeight="1" thickTop="1" thickBot="1" x14ac:dyDescent="0.35">
      <c r="A205" s="849" t="s">
        <v>36</v>
      </c>
      <c r="B205" s="850">
        <f>B203+B204</f>
        <v>586470.83999999799</v>
      </c>
      <c r="C205" s="850">
        <f>SUM(C203:C204)</f>
        <v>50801478.370000005</v>
      </c>
      <c r="D205" s="851"/>
      <c r="E205" s="850">
        <f>SUM(E203:E204)</f>
        <v>1292334.45</v>
      </c>
      <c r="F205" s="852">
        <f>SUM(F203:F204)</f>
        <v>50095614.759999998</v>
      </c>
      <c r="G205" s="853">
        <f>SUM(G203:G204)</f>
        <v>45920556.329999998</v>
      </c>
      <c r="H205" s="866">
        <f>G205/F205*100</f>
        <v>91.66582055135558</v>
      </c>
      <c r="I205" s="852">
        <f>SUM(I203:I204)</f>
        <v>4175058.4300000034</v>
      </c>
      <c r="J205" s="865">
        <f>I205/F205*100</f>
        <v>8.3341794486444254</v>
      </c>
    </row>
    <row r="206" spans="1:12" s="825" customFormat="1" ht="18" customHeight="1" thickTop="1" x14ac:dyDescent="0.3">
      <c r="C206" s="826"/>
      <c r="D206" s="826"/>
      <c r="E206" s="826"/>
      <c r="F206" s="826"/>
      <c r="G206" s="826"/>
      <c r="H206" s="17"/>
      <c r="I206" s="843"/>
    </row>
    <row r="207" spans="1:12" s="825" customFormat="1" ht="18" customHeight="1" x14ac:dyDescent="0.3">
      <c r="A207" s="844" t="s">
        <v>84</v>
      </c>
      <c r="C207" s="846"/>
      <c r="D207" s="826"/>
      <c r="E207" s="826"/>
      <c r="F207" s="826"/>
      <c r="G207" s="826"/>
      <c r="H207" s="17"/>
      <c r="I207" s="857"/>
      <c r="J207" s="859"/>
      <c r="K207" s="857"/>
      <c r="L207" s="863"/>
    </row>
    <row r="208" spans="1:12" s="825" customFormat="1" ht="18" customHeight="1" x14ac:dyDescent="0.3">
      <c r="A208" s="845" t="s">
        <v>47</v>
      </c>
      <c r="B208" s="825" t="s">
        <v>1408</v>
      </c>
      <c r="C208" s="838">
        <f>I203</f>
        <v>4159794.3400000036</v>
      </c>
      <c r="D208" s="826" t="s">
        <v>86</v>
      </c>
      <c r="E208" s="826"/>
      <c r="F208" s="860"/>
      <c r="G208" s="826"/>
      <c r="H208" s="17"/>
      <c r="I208" s="831"/>
      <c r="L208" s="863"/>
    </row>
    <row r="209" spans="1:9" s="825" customFormat="1" ht="18" customHeight="1" x14ac:dyDescent="0.3">
      <c r="A209" s="825">
        <v>1</v>
      </c>
      <c r="B209" s="825" t="s">
        <v>87</v>
      </c>
      <c r="C209" s="846">
        <v>315600.39</v>
      </c>
      <c r="D209" s="826" t="s">
        <v>88</v>
      </c>
      <c r="E209" s="826"/>
      <c r="F209" s="862"/>
      <c r="G209" s="858"/>
      <c r="H209" s="17"/>
      <c r="I209" s="831"/>
    </row>
    <row r="210" spans="1:9" s="825" customFormat="1" ht="16.5" x14ac:dyDescent="0.3">
      <c r="A210" s="825">
        <v>2</v>
      </c>
      <c r="B210" s="825" t="s">
        <v>1409</v>
      </c>
      <c r="C210" s="826">
        <v>3844193.95</v>
      </c>
      <c r="D210" s="825" t="s">
        <v>1410</v>
      </c>
      <c r="E210" s="826"/>
      <c r="F210" s="826"/>
      <c r="G210" s="826"/>
      <c r="H210" s="17"/>
    </row>
    <row r="211" spans="1:9" s="825" customFormat="1" ht="16.5" x14ac:dyDescent="0.3">
      <c r="C211" s="826"/>
      <c r="D211" s="826"/>
      <c r="E211" s="826"/>
      <c r="F211" s="826"/>
      <c r="G211" s="826"/>
      <c r="H211" s="17"/>
    </row>
    <row r="212" spans="1:9" s="825" customFormat="1" ht="16.5" x14ac:dyDescent="0.3">
      <c r="A212" s="845" t="s">
        <v>50</v>
      </c>
      <c r="B212" s="825" t="s">
        <v>1411</v>
      </c>
      <c r="C212" s="838">
        <f>I204</f>
        <v>15264.089999999851</v>
      </c>
      <c r="D212" s="826" t="s">
        <v>86</v>
      </c>
      <c r="E212" s="826"/>
      <c r="F212" s="826"/>
      <c r="G212" s="826"/>
      <c r="H212" s="17"/>
    </row>
    <row r="213" spans="1:9" s="825" customFormat="1" ht="16.5" x14ac:dyDescent="0.3">
      <c r="A213" s="825">
        <v>1</v>
      </c>
      <c r="B213" s="825" t="s">
        <v>1412</v>
      </c>
      <c r="C213" s="826">
        <v>15264.09</v>
      </c>
      <c r="D213" s="825" t="s">
        <v>1410</v>
      </c>
      <c r="E213" s="826"/>
      <c r="F213" s="826"/>
      <c r="G213" s="826"/>
      <c r="H213" s="17"/>
    </row>
    <row r="214" spans="1:9" ht="20.100000000000001" customHeight="1" x14ac:dyDescent="0.3">
      <c r="A214" s="54"/>
      <c r="D214" s="49"/>
    </row>
    <row r="215" spans="1:9" ht="20.100000000000001" customHeight="1" x14ac:dyDescent="0.3">
      <c r="B215" s="61"/>
      <c r="D215" s="49"/>
    </row>
    <row r="216" spans="1:9" ht="20.100000000000001" customHeight="1" x14ac:dyDescent="0.3">
      <c r="D216" s="49"/>
    </row>
    <row r="217" spans="1:9" ht="20.100000000000001" customHeight="1" x14ac:dyDescent="0.3">
      <c r="D217" s="49"/>
    </row>
    <row r="218" spans="1:9" ht="20.100000000000001" customHeight="1" x14ac:dyDescent="0.3">
      <c r="D218" s="49"/>
    </row>
    <row r="219" spans="1:9" ht="20.100000000000001" customHeight="1" x14ac:dyDescent="0.3">
      <c r="D219" s="49"/>
    </row>
    <row r="220" spans="1:9" ht="20.100000000000001" customHeight="1" x14ac:dyDescent="0.3">
      <c r="D220" s="49"/>
    </row>
    <row r="221" spans="1:9" ht="20.100000000000001" customHeight="1" x14ac:dyDescent="0.3">
      <c r="A221" s="53"/>
      <c r="B221" s="131"/>
      <c r="C221" s="131"/>
    </row>
    <row r="222" spans="1:9" ht="20.100000000000001" customHeight="1" x14ac:dyDescent="0.3">
      <c r="A222" s="54"/>
      <c r="B222" s="131"/>
      <c r="C222" s="131"/>
    </row>
    <row r="223" spans="1:9" ht="20.100000000000001" customHeight="1" x14ac:dyDescent="0.3">
      <c r="A223" s="70"/>
      <c r="B223" s="131"/>
      <c r="C223" s="131"/>
    </row>
    <row r="224" spans="1:9" ht="20.100000000000001" customHeight="1" x14ac:dyDescent="0.3">
      <c r="A224" s="70"/>
      <c r="B224" s="131"/>
      <c r="C224" s="131"/>
    </row>
    <row r="225" spans="1:7" ht="20.100000000000001" customHeight="1" x14ac:dyDescent="0.3">
      <c r="A225" s="53"/>
    </row>
    <row r="226" spans="1:7" ht="20.100000000000001" customHeight="1" x14ac:dyDescent="0.3">
      <c r="A226" s="54"/>
    </row>
    <row r="227" spans="1:7" ht="20.100000000000001" customHeight="1" x14ac:dyDescent="0.3">
      <c r="A227" s="70"/>
    </row>
    <row r="232" spans="1:7" ht="20.100000000000001" customHeight="1" x14ac:dyDescent="0.3">
      <c r="A232" s="33"/>
      <c r="B232" s="366"/>
      <c r="C232" s="65"/>
      <c r="D232" s="67"/>
      <c r="E232" s="33"/>
    </row>
    <row r="233" spans="1:7" ht="20.100000000000001" customHeight="1" x14ac:dyDescent="0.3">
      <c r="D233" s="59"/>
    </row>
    <row r="234" spans="1:7" ht="20.100000000000001" customHeight="1" x14ac:dyDescent="0.3">
      <c r="A234" s="85"/>
      <c r="B234" s="85"/>
      <c r="C234" s="85"/>
      <c r="D234" s="85"/>
      <c r="E234" s="76"/>
      <c r="F234" s="94"/>
    </row>
    <row r="235" spans="1:7" ht="20.100000000000001" customHeight="1" x14ac:dyDescent="0.3">
      <c r="A235" s="80"/>
      <c r="B235" s="81"/>
      <c r="C235" s="81"/>
      <c r="D235" s="81"/>
      <c r="E235" s="81"/>
      <c r="F235" s="49"/>
      <c r="G235" s="95"/>
    </row>
    <row r="236" spans="1:7" ht="20.100000000000001" customHeight="1" x14ac:dyDescent="0.3">
      <c r="A236" s="80"/>
      <c r="B236" s="81"/>
      <c r="C236" s="81"/>
      <c r="D236" s="81"/>
      <c r="E236" s="81"/>
      <c r="F236" s="49"/>
      <c r="G236" s="95"/>
    </row>
    <row r="237" spans="1:7" ht="20.100000000000001" customHeight="1" x14ac:dyDescent="0.3">
      <c r="A237" s="71"/>
      <c r="B237" s="81"/>
      <c r="C237" s="81"/>
      <c r="D237" s="81"/>
      <c r="E237" s="81"/>
      <c r="F237" s="49"/>
      <c r="G237" s="95"/>
    </row>
    <row r="238" spans="1:7" ht="20.100000000000001" customHeight="1" x14ac:dyDescent="0.3">
      <c r="A238" s="58"/>
      <c r="B238" s="87"/>
      <c r="C238" s="150"/>
      <c r="D238" s="86"/>
      <c r="E238" s="150"/>
    </row>
    <row r="239" spans="1:7" ht="20.100000000000001" customHeight="1" x14ac:dyDescent="0.3">
      <c r="D239" s="52"/>
    </row>
    <row r="240" spans="1:7" ht="20.100000000000001" customHeight="1" x14ac:dyDescent="0.3">
      <c r="A240" s="53"/>
      <c r="B240" s="61"/>
      <c r="D240" s="62"/>
      <c r="E240" s="63"/>
      <c r="F240" s="62"/>
    </row>
    <row r="241" spans="1:4" ht="20.100000000000001" customHeight="1" x14ac:dyDescent="0.3">
      <c r="A241" s="54"/>
      <c r="D241" s="49"/>
    </row>
    <row r="242" spans="1:4" ht="20.100000000000001" customHeight="1" x14ac:dyDescent="0.3">
      <c r="B242" s="61"/>
      <c r="D242" s="49"/>
    </row>
    <row r="243" spans="1:4" ht="20.100000000000001" customHeight="1" x14ac:dyDescent="0.3">
      <c r="D243" s="49"/>
    </row>
    <row r="244" spans="1:4" ht="20.100000000000001" customHeight="1" x14ac:dyDescent="0.3">
      <c r="D244" s="49"/>
    </row>
    <row r="245" spans="1:4" ht="20.100000000000001" customHeight="1" x14ac:dyDescent="0.3">
      <c r="D245" s="49"/>
    </row>
    <row r="246" spans="1:4" ht="20.100000000000001" customHeight="1" x14ac:dyDescent="0.3">
      <c r="D246" s="49"/>
    </row>
    <row r="247" spans="1:4" ht="20.100000000000001" customHeight="1" x14ac:dyDescent="0.3">
      <c r="D247" s="49"/>
    </row>
    <row r="248" spans="1:4" ht="20.100000000000001" customHeight="1" x14ac:dyDescent="0.3">
      <c r="A248" s="53"/>
      <c r="B248" s="131"/>
      <c r="C248" s="131"/>
    </row>
    <row r="249" spans="1:4" ht="20.100000000000001" customHeight="1" x14ac:dyDescent="0.3">
      <c r="A249" s="54"/>
      <c r="B249" s="131"/>
      <c r="C249" s="131"/>
    </row>
    <row r="250" spans="1:4" ht="20.100000000000001" customHeight="1" x14ac:dyDescent="0.3">
      <c r="A250" s="70"/>
      <c r="B250" s="131"/>
      <c r="C250" s="131"/>
    </row>
    <row r="251" spans="1:4" ht="20.100000000000001" customHeight="1" x14ac:dyDescent="0.3">
      <c r="A251" s="70"/>
      <c r="B251" s="131"/>
      <c r="C251" s="131"/>
    </row>
    <row r="252" spans="1:4" ht="20.100000000000001" customHeight="1" x14ac:dyDescent="0.3">
      <c r="A252" s="70"/>
      <c r="B252" s="131"/>
      <c r="C252" s="131"/>
    </row>
    <row r="253" spans="1:4" ht="20.100000000000001" customHeight="1" x14ac:dyDescent="0.3">
      <c r="A253" s="53"/>
    </row>
    <row r="254" spans="1:4" ht="20.100000000000001" customHeight="1" x14ac:dyDescent="0.3">
      <c r="A254" s="54"/>
    </row>
    <row r="255" spans="1:4" ht="20.100000000000001" customHeight="1" x14ac:dyDescent="0.3">
      <c r="A255" s="70"/>
    </row>
    <row r="259" spans="1:7" ht="20.100000000000001" customHeight="1" x14ac:dyDescent="0.3">
      <c r="A259" s="33"/>
      <c r="B259" s="366"/>
      <c r="C259" s="65"/>
      <c r="D259" s="67"/>
      <c r="E259" s="33"/>
    </row>
    <row r="260" spans="1:7" ht="20.100000000000001" customHeight="1" x14ac:dyDescent="0.3">
      <c r="D260" s="59"/>
    </row>
    <row r="261" spans="1:7" ht="20.100000000000001" customHeight="1" x14ac:dyDescent="0.3">
      <c r="A261" s="85"/>
      <c r="B261" s="85"/>
      <c r="C261" s="85"/>
      <c r="D261" s="85"/>
      <c r="E261" s="76"/>
      <c r="F261" s="94"/>
    </row>
    <row r="262" spans="1:7" ht="20.100000000000001" customHeight="1" x14ac:dyDescent="0.3">
      <c r="A262" s="80"/>
      <c r="B262" s="81"/>
      <c r="C262" s="81"/>
      <c r="D262" s="81"/>
      <c r="E262" s="81"/>
      <c r="F262" s="49"/>
      <c r="G262" s="95"/>
    </row>
    <row r="263" spans="1:7" ht="20.100000000000001" customHeight="1" x14ac:dyDescent="0.3">
      <c r="A263" s="80"/>
      <c r="B263" s="81"/>
      <c r="C263" s="81"/>
      <c r="D263" s="81"/>
      <c r="E263" s="81"/>
      <c r="F263" s="49"/>
      <c r="G263" s="95"/>
    </row>
    <row r="264" spans="1:7" ht="20.100000000000001" customHeight="1" x14ac:dyDescent="0.3">
      <c r="A264" s="71"/>
      <c r="B264" s="81"/>
      <c r="C264" s="81"/>
      <c r="D264" s="81"/>
      <c r="E264" s="81"/>
      <c r="F264" s="49"/>
      <c r="G264" s="95"/>
    </row>
    <row r="265" spans="1:7" ht="20.100000000000001" customHeight="1" x14ac:dyDescent="0.3">
      <c r="A265" s="58"/>
      <c r="B265" s="87"/>
      <c r="C265" s="150"/>
      <c r="D265" s="86"/>
      <c r="E265" s="150"/>
    </row>
    <row r="266" spans="1:7" ht="20.100000000000001" customHeight="1" x14ac:dyDescent="0.3">
      <c r="D266" s="52"/>
    </row>
    <row r="267" spans="1:7" ht="20.100000000000001" customHeight="1" x14ac:dyDescent="0.3">
      <c r="D267" s="52"/>
    </row>
    <row r="268" spans="1:7" ht="20.100000000000001" customHeight="1" x14ac:dyDescent="0.3">
      <c r="D268" s="52"/>
    </row>
    <row r="269" spans="1:7" ht="20.100000000000001" customHeight="1" x14ac:dyDescent="0.3">
      <c r="D269" s="52"/>
    </row>
    <row r="270" spans="1:7" ht="20.100000000000001" customHeight="1" x14ac:dyDescent="0.3">
      <c r="A270" s="53"/>
      <c r="D270" s="62"/>
      <c r="E270" s="63"/>
      <c r="F270" s="62"/>
    </row>
    <row r="271" spans="1:7" ht="20.100000000000001" customHeight="1" x14ac:dyDescent="0.3">
      <c r="A271" s="54"/>
      <c r="D271" s="49"/>
    </row>
    <row r="272" spans="1:7" ht="20.100000000000001" customHeight="1" x14ac:dyDescent="0.3">
      <c r="B272" s="61"/>
      <c r="D272" s="49"/>
    </row>
    <row r="273" spans="1:4" ht="20.100000000000001" customHeight="1" x14ac:dyDescent="0.3">
      <c r="D273" s="49"/>
    </row>
    <row r="274" spans="1:4" ht="20.100000000000001" customHeight="1" x14ac:dyDescent="0.3">
      <c r="D274" s="49"/>
    </row>
    <row r="275" spans="1:4" ht="20.100000000000001" customHeight="1" x14ac:dyDescent="0.3">
      <c r="D275" s="49"/>
    </row>
    <row r="276" spans="1:4" ht="20.100000000000001" customHeight="1" x14ac:dyDescent="0.3">
      <c r="D276" s="49"/>
    </row>
    <row r="277" spans="1:4" ht="20.100000000000001" customHeight="1" x14ac:dyDescent="0.3">
      <c r="D277" s="49"/>
    </row>
    <row r="278" spans="1:4" ht="20.100000000000001" customHeight="1" x14ac:dyDescent="0.3">
      <c r="D278" s="49"/>
    </row>
    <row r="279" spans="1:4" ht="20.100000000000001" customHeight="1" x14ac:dyDescent="0.3">
      <c r="D279" s="49"/>
    </row>
    <row r="280" spans="1:4" ht="20.100000000000001" customHeight="1" x14ac:dyDescent="0.3">
      <c r="B280" s="131"/>
      <c r="D280" s="49"/>
    </row>
    <row r="281" spans="1:4" ht="20.100000000000001" customHeight="1" x14ac:dyDescent="0.3">
      <c r="A281" s="53"/>
      <c r="B281" s="131"/>
      <c r="C281" s="131"/>
    </row>
    <row r="282" spans="1:4" ht="20.100000000000001" customHeight="1" x14ac:dyDescent="0.3">
      <c r="A282" s="54"/>
      <c r="B282" s="131"/>
      <c r="C282" s="131"/>
    </row>
    <row r="283" spans="1:4" ht="20.100000000000001" customHeight="1" x14ac:dyDescent="0.3">
      <c r="A283" s="70"/>
      <c r="B283" s="131"/>
      <c r="C283" s="131"/>
    </row>
    <row r="284" spans="1:4" ht="20.100000000000001" customHeight="1" x14ac:dyDescent="0.3">
      <c r="A284" s="70"/>
      <c r="B284" s="131"/>
      <c r="C284" s="131"/>
    </row>
    <row r="285" spans="1:4" ht="20.100000000000001" customHeight="1" x14ac:dyDescent="0.3">
      <c r="A285" s="70"/>
      <c r="B285" s="131"/>
      <c r="C285" s="131"/>
    </row>
    <row r="286" spans="1:4" ht="20.100000000000001" customHeight="1" x14ac:dyDescent="0.3">
      <c r="A286" s="53"/>
    </row>
    <row r="287" spans="1:4" ht="20.100000000000001" customHeight="1" x14ac:dyDescent="0.3">
      <c r="A287" s="54"/>
    </row>
    <row r="288" spans="1:4" ht="20.100000000000001" customHeight="1" x14ac:dyDescent="0.3">
      <c r="A288" s="70"/>
    </row>
    <row r="289" spans="1:7" ht="20.100000000000001" customHeight="1" x14ac:dyDescent="0.3">
      <c r="A289" s="70"/>
    </row>
    <row r="293" spans="1:7" ht="20.100000000000001" customHeight="1" x14ac:dyDescent="0.3">
      <c r="A293" s="33"/>
      <c r="B293" s="366"/>
      <c r="C293" s="65"/>
      <c r="D293" s="67"/>
      <c r="E293" s="33"/>
    </row>
    <row r="294" spans="1:7" ht="20.100000000000001" customHeight="1" x14ac:dyDescent="0.3">
      <c r="D294" s="59"/>
    </row>
    <row r="295" spans="1:7" ht="20.100000000000001" customHeight="1" x14ac:dyDescent="0.3">
      <c r="A295" s="85"/>
      <c r="B295" s="85"/>
      <c r="C295" s="85"/>
      <c r="D295" s="85"/>
      <c r="E295" s="76"/>
      <c r="F295" s="94"/>
    </row>
    <row r="296" spans="1:7" ht="20.100000000000001" customHeight="1" x14ac:dyDescent="0.3">
      <c r="A296" s="80"/>
      <c r="B296" s="81"/>
      <c r="C296" s="81"/>
      <c r="D296" s="81"/>
      <c r="E296" s="81"/>
      <c r="F296" s="49"/>
      <c r="G296" s="95"/>
    </row>
    <row r="297" spans="1:7" ht="20.100000000000001" customHeight="1" x14ac:dyDescent="0.3">
      <c r="A297" s="80"/>
      <c r="B297" s="81"/>
      <c r="C297" s="81"/>
      <c r="D297" s="81"/>
      <c r="E297" s="81"/>
      <c r="F297" s="49"/>
      <c r="G297" s="95"/>
    </row>
    <row r="298" spans="1:7" ht="20.100000000000001" customHeight="1" x14ac:dyDescent="0.3">
      <c r="A298" s="71"/>
      <c r="B298" s="81"/>
      <c r="C298" s="81"/>
      <c r="D298" s="81"/>
      <c r="E298" s="81"/>
      <c r="F298" s="49"/>
      <c r="G298" s="95"/>
    </row>
    <row r="299" spans="1:7" ht="20.100000000000001" customHeight="1" x14ac:dyDescent="0.3">
      <c r="A299" s="58"/>
      <c r="B299" s="87"/>
      <c r="C299" s="150"/>
      <c r="D299" s="86"/>
      <c r="E299" s="150"/>
    </row>
    <row r="300" spans="1:7" ht="20.100000000000001" customHeight="1" x14ac:dyDescent="0.3">
      <c r="D300" s="52"/>
    </row>
    <row r="301" spans="1:7" ht="20.100000000000001" customHeight="1" x14ac:dyDescent="0.3">
      <c r="A301" s="53"/>
      <c r="D301" s="62"/>
      <c r="E301" s="63"/>
      <c r="F301" s="62"/>
    </row>
    <row r="302" spans="1:7" ht="20.100000000000001" customHeight="1" x14ac:dyDescent="0.3">
      <c r="A302" s="54"/>
      <c r="D302" s="49"/>
    </row>
    <row r="303" spans="1:7" ht="20.100000000000001" customHeight="1" x14ac:dyDescent="0.3">
      <c r="B303" s="61"/>
      <c r="D303" s="49"/>
    </row>
    <row r="304" spans="1:7" ht="20.100000000000001" customHeight="1" x14ac:dyDescent="0.3">
      <c r="D304" s="49"/>
    </row>
    <row r="305" spans="1:7" ht="20.100000000000001" customHeight="1" x14ac:dyDescent="0.3">
      <c r="D305" s="49"/>
    </row>
    <row r="306" spans="1:7" ht="20.100000000000001" customHeight="1" x14ac:dyDescent="0.3">
      <c r="D306" s="49"/>
    </row>
    <row r="307" spans="1:7" ht="20.100000000000001" customHeight="1" x14ac:dyDescent="0.3">
      <c r="D307" s="49"/>
    </row>
    <row r="308" spans="1:7" ht="20.100000000000001" customHeight="1" x14ac:dyDescent="0.3">
      <c r="A308" s="53"/>
      <c r="B308" s="131"/>
      <c r="C308" s="131"/>
    </row>
    <row r="309" spans="1:7" ht="20.100000000000001" customHeight="1" x14ac:dyDescent="0.3">
      <c r="A309" s="54"/>
      <c r="B309" s="131"/>
      <c r="C309" s="131"/>
    </row>
    <row r="310" spans="1:7" ht="20.100000000000001" customHeight="1" x14ac:dyDescent="0.3">
      <c r="A310" s="70"/>
      <c r="B310" s="131"/>
      <c r="C310" s="131"/>
    </row>
    <row r="311" spans="1:7" ht="20.100000000000001" customHeight="1" x14ac:dyDescent="0.3">
      <c r="A311" s="70"/>
      <c r="B311" s="131"/>
      <c r="C311" s="131"/>
    </row>
    <row r="312" spans="1:7" ht="20.100000000000001" customHeight="1" x14ac:dyDescent="0.3">
      <c r="A312" s="70"/>
      <c r="B312" s="131"/>
      <c r="C312" s="131"/>
    </row>
    <row r="315" spans="1:7" ht="20.100000000000001" customHeight="1" x14ac:dyDescent="0.3">
      <c r="A315" s="33"/>
      <c r="B315" s="366"/>
      <c r="C315" s="65"/>
      <c r="D315" s="67"/>
      <c r="E315" s="33"/>
    </row>
    <row r="316" spans="1:7" ht="20.100000000000001" customHeight="1" x14ac:dyDescent="0.3">
      <c r="D316" s="59"/>
    </row>
    <row r="317" spans="1:7" ht="20.100000000000001" customHeight="1" x14ac:dyDescent="0.3">
      <c r="A317" s="85"/>
      <c r="B317" s="85"/>
      <c r="C317" s="85"/>
      <c r="D317" s="85"/>
      <c r="E317" s="76"/>
      <c r="F317" s="94"/>
    </row>
    <row r="318" spans="1:7" ht="20.100000000000001" customHeight="1" x14ac:dyDescent="0.3">
      <c r="A318" s="80"/>
      <c r="B318" s="81"/>
      <c r="C318" s="81"/>
      <c r="D318" s="81"/>
      <c r="E318" s="81"/>
      <c r="F318" s="49"/>
      <c r="G318" s="95"/>
    </row>
    <row r="319" spans="1:7" ht="20.100000000000001" customHeight="1" x14ac:dyDescent="0.3">
      <c r="A319" s="80"/>
      <c r="B319" s="81"/>
      <c r="C319" s="81"/>
      <c r="D319" s="81"/>
      <c r="E319" s="81"/>
      <c r="F319" s="49"/>
      <c r="G319" s="95"/>
    </row>
    <row r="320" spans="1:7" ht="20.100000000000001" customHeight="1" x14ac:dyDescent="0.3">
      <c r="A320" s="71"/>
      <c r="B320" s="81"/>
      <c r="C320" s="81"/>
      <c r="D320" s="81"/>
      <c r="E320" s="81"/>
      <c r="F320" s="49"/>
      <c r="G320" s="95"/>
    </row>
    <row r="321" spans="1:6" ht="20.100000000000001" customHeight="1" x14ac:dyDescent="0.3">
      <c r="A321" s="58"/>
      <c r="B321" s="87"/>
      <c r="C321" s="150"/>
      <c r="D321" s="86"/>
      <c r="E321" s="150"/>
    </row>
    <row r="322" spans="1:6" ht="20.100000000000001" customHeight="1" x14ac:dyDescent="0.3">
      <c r="D322" s="52"/>
    </row>
    <row r="323" spans="1:6" ht="20.100000000000001" customHeight="1" x14ac:dyDescent="0.3">
      <c r="A323" s="53"/>
      <c r="D323" s="62"/>
      <c r="E323" s="63"/>
      <c r="F323" s="62"/>
    </row>
    <row r="324" spans="1:6" ht="20.100000000000001" customHeight="1" x14ac:dyDescent="0.3">
      <c r="A324" s="54"/>
      <c r="D324" s="49"/>
    </row>
    <row r="325" spans="1:6" ht="20.100000000000001" customHeight="1" x14ac:dyDescent="0.3">
      <c r="B325" s="61"/>
      <c r="D325" s="49"/>
    </row>
    <row r="326" spans="1:6" ht="20.100000000000001" customHeight="1" x14ac:dyDescent="0.3">
      <c r="A326" s="54"/>
      <c r="D326" s="49"/>
    </row>
    <row r="327" spans="1:6" ht="20.100000000000001" customHeight="1" x14ac:dyDescent="0.3">
      <c r="D327" s="49"/>
    </row>
    <row r="328" spans="1:6" ht="20.100000000000001" customHeight="1" x14ac:dyDescent="0.3">
      <c r="A328" s="53"/>
    </row>
    <row r="329" spans="1:6" ht="20.100000000000001" customHeight="1" x14ac:dyDescent="0.3">
      <c r="A329" s="54"/>
    </row>
  </sheetData>
  <printOptions horizontalCentered="1"/>
  <pageMargins left="0.3" right="0.3" top="0.7" bottom="0.7" header="0.3" footer="0.3"/>
  <pageSetup scale="49" fitToHeight="0" orientation="landscape" r:id="rId1"/>
  <headerFooter>
    <oddHeader>&amp;F</oddHeader>
    <oddFooter>&amp;A&amp;RPage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5"/>
  <sheetViews>
    <sheetView topLeftCell="A251" zoomScale="90" zoomScaleNormal="90" workbookViewId="0">
      <selection activeCell="G284" sqref="G284"/>
    </sheetView>
  </sheetViews>
  <sheetFormatPr defaultColWidth="13.85546875" defaultRowHeight="16.5" x14ac:dyDescent="0.3"/>
  <cols>
    <col min="1" max="1" width="42.85546875" style="131" customWidth="1"/>
    <col min="2" max="2" width="24" style="131" customWidth="1"/>
    <col min="3" max="3" width="20.7109375" style="131" customWidth="1"/>
    <col min="4" max="8" width="20.7109375" style="132" customWidth="1"/>
    <col min="9" max="9" width="20.7109375" style="17" customWidth="1"/>
    <col min="10" max="11" width="21.140625" style="131" customWidth="1"/>
    <col min="12" max="16384" width="13.85546875" style="131"/>
  </cols>
  <sheetData>
    <row r="1" spans="1:13" s="279" customFormat="1" ht="21.75" customHeight="1" thickBot="1" x14ac:dyDescent="0.3">
      <c r="C1" s="280"/>
      <c r="D1" s="281" t="s">
        <v>140</v>
      </c>
      <c r="E1" s="281"/>
      <c r="F1" s="282"/>
      <c r="G1" s="282"/>
      <c r="H1" s="282"/>
      <c r="I1" s="283"/>
      <c r="J1" s="282"/>
      <c r="K1" s="284"/>
    </row>
    <row r="2" spans="1:13" s="242" customFormat="1" ht="48" thickBot="1" x14ac:dyDescent="0.3">
      <c r="A2" s="285" t="s">
        <v>141</v>
      </c>
      <c r="B2" s="246" t="s">
        <v>40</v>
      </c>
      <c r="C2" s="286" t="s">
        <v>142</v>
      </c>
      <c r="D2" s="247" t="s">
        <v>143</v>
      </c>
      <c r="E2" s="247" t="s">
        <v>144</v>
      </c>
      <c r="F2" s="247" t="s">
        <v>145</v>
      </c>
      <c r="G2" s="246" t="s">
        <v>146</v>
      </c>
      <c r="H2" s="246" t="s">
        <v>20</v>
      </c>
      <c r="I2" s="246" t="s">
        <v>21</v>
      </c>
      <c r="J2" s="246" t="s">
        <v>22</v>
      </c>
      <c r="K2" s="247" t="s">
        <v>147</v>
      </c>
    </row>
    <row r="3" spans="1:13" s="242" customFormat="1" ht="21.75" customHeight="1" x14ac:dyDescent="0.25">
      <c r="A3" s="287" t="s">
        <v>148</v>
      </c>
      <c r="B3" s="288">
        <v>8425482.0100000203</v>
      </c>
      <c r="C3" s="289" t="s">
        <v>149</v>
      </c>
      <c r="D3" s="290">
        <v>146878836.11000001</v>
      </c>
      <c r="E3" s="290">
        <f>75650812.14-8150956.44</f>
        <v>67499855.700000003</v>
      </c>
      <c r="F3" s="291">
        <v>44008.61</v>
      </c>
      <c r="G3" s="288">
        <f>B3+D3-E3-F3</f>
        <v>87760453.810000032</v>
      </c>
      <c r="H3" s="291">
        <v>80315208.900000021</v>
      </c>
      <c r="I3" s="262">
        <f>H3/G3*100</f>
        <v>91.516401081837103</v>
      </c>
      <c r="J3" s="260">
        <f>G3-H3</f>
        <v>7445244.9100000113</v>
      </c>
      <c r="K3" s="262">
        <f>J3/G3*100</f>
        <v>8.4835989181628957</v>
      </c>
    </row>
    <row r="4" spans="1:13" s="242" customFormat="1" ht="21.75" customHeight="1" thickBot="1" x14ac:dyDescent="0.3">
      <c r="A4" s="287" t="s">
        <v>150</v>
      </c>
      <c r="B4" s="292">
        <v>8805780.839999998</v>
      </c>
      <c r="C4" s="293" t="s">
        <v>151</v>
      </c>
      <c r="D4" s="258">
        <v>46671030.210000001</v>
      </c>
      <c r="E4" s="294">
        <v>13291341.800000001</v>
      </c>
      <c r="F4" s="262">
        <v>1656.17</v>
      </c>
      <c r="G4" s="292">
        <f>B4+D4-E4-F4</f>
        <v>42183813.079999998</v>
      </c>
      <c r="H4" s="262">
        <v>25242969.050000001</v>
      </c>
      <c r="I4" s="262">
        <f>H4/G4*100</f>
        <v>59.840415569184493</v>
      </c>
      <c r="J4" s="260">
        <f>G4-H4</f>
        <v>16940844.029999997</v>
      </c>
      <c r="K4" s="262">
        <f>J4/G4*100</f>
        <v>40.159584430815514</v>
      </c>
      <c r="M4" s="295"/>
    </row>
    <row r="5" spans="1:13" s="163" customFormat="1" ht="21.75" customHeight="1" thickTop="1" thickBot="1" x14ac:dyDescent="0.3">
      <c r="A5" s="296" t="s">
        <v>152</v>
      </c>
      <c r="B5" s="297">
        <f>SUM(B3:B4)</f>
        <v>17231262.850000016</v>
      </c>
      <c r="C5" s="298"/>
      <c r="D5" s="297">
        <f>SUM(D3:D4)</f>
        <v>193549866.32000002</v>
      </c>
      <c r="E5" s="297">
        <f>SUM(E3:E4)</f>
        <v>80791197.5</v>
      </c>
      <c r="F5" s="297">
        <f>SUM(F3:F4)</f>
        <v>45664.78</v>
      </c>
      <c r="G5" s="297">
        <f>SUM(G3:G4)</f>
        <v>129944266.89000003</v>
      </c>
      <c r="H5" s="297">
        <f>SUM(H3:H4)</f>
        <v>105558177.95000002</v>
      </c>
      <c r="I5" s="299">
        <f>H5/G5*100</f>
        <v>81.233424510645605</v>
      </c>
      <c r="J5" s="299">
        <f>SUM(J3:J4)</f>
        <v>24386088.940000009</v>
      </c>
      <c r="K5" s="299">
        <f>J5/G5*100</f>
        <v>18.766575489354398</v>
      </c>
    </row>
    <row r="6" spans="1:13" s="242" customFormat="1" ht="21.75" customHeight="1" thickTop="1" thickBot="1" x14ac:dyDescent="0.3">
      <c r="A6" s="300" t="s">
        <v>50</v>
      </c>
      <c r="B6" s="301">
        <v>195318.23000001907</v>
      </c>
      <c r="C6" s="302" t="s">
        <v>149</v>
      </c>
      <c r="D6" s="303">
        <v>61104047.5</v>
      </c>
      <c r="E6" s="303">
        <v>31695541.390000001</v>
      </c>
      <c r="F6" s="304">
        <v>0</v>
      </c>
      <c r="G6" s="305">
        <f>B6+D6-E6-F6</f>
        <v>29603824.340000018</v>
      </c>
      <c r="H6" s="304">
        <v>26039101.07</v>
      </c>
      <c r="I6" s="306">
        <f>H6/G6*100</f>
        <v>87.95857174039692</v>
      </c>
      <c r="J6" s="306">
        <f>G6-H6</f>
        <v>3564723.2700000182</v>
      </c>
      <c r="K6" s="303">
        <f>J6/G6*100</f>
        <v>12.041428259603084</v>
      </c>
    </row>
    <row r="7" spans="1:13" s="163" customFormat="1" ht="21.75" customHeight="1" thickTop="1" thickBot="1" x14ac:dyDescent="0.3">
      <c r="A7" s="296" t="s">
        <v>36</v>
      </c>
      <c r="B7" s="297">
        <f>SUM(B5:B6)</f>
        <v>17426581.080000035</v>
      </c>
      <c r="C7" s="298"/>
      <c r="D7" s="297">
        <f>SUM(D5:D6)</f>
        <v>254653913.82000002</v>
      </c>
      <c r="E7" s="297">
        <f>SUM(E5:E6)</f>
        <v>112486738.89</v>
      </c>
      <c r="F7" s="297">
        <f>SUM(F5:F6)</f>
        <v>45664.78</v>
      </c>
      <c r="G7" s="297">
        <f>SUM(G5:G6)</f>
        <v>159548091.23000005</v>
      </c>
      <c r="H7" s="297">
        <f>SUM(H5:H6)</f>
        <v>131597279.02000001</v>
      </c>
      <c r="I7" s="297">
        <f>H7/G7*100</f>
        <v>82.481261922646937</v>
      </c>
      <c r="J7" s="297">
        <f>SUM(J5:J6)</f>
        <v>27950812.210000027</v>
      </c>
      <c r="K7" s="297">
        <f>J7/G7*100</f>
        <v>17.518738077353067</v>
      </c>
    </row>
    <row r="8" spans="1:13" s="242" customFormat="1" ht="21.75" customHeight="1" thickTop="1" thickBot="1" x14ac:dyDescent="0.3">
      <c r="A8" s="307"/>
      <c r="B8" s="163"/>
      <c r="C8" s="308"/>
      <c r="D8" s="165"/>
      <c r="E8" s="165"/>
      <c r="F8" s="165"/>
      <c r="G8" s="165"/>
      <c r="H8" s="188"/>
      <c r="I8" s="188"/>
      <c r="J8" s="188"/>
    </row>
    <row r="9" spans="1:13" s="242" customFormat="1" ht="48" thickBot="1" x14ac:dyDescent="0.3">
      <c r="A9" s="285" t="s">
        <v>153</v>
      </c>
      <c r="B9" s="246" t="s">
        <v>40</v>
      </c>
      <c r="C9" s="286" t="s">
        <v>142</v>
      </c>
      <c r="D9" s="247" t="s">
        <v>143</v>
      </c>
      <c r="E9" s="247" t="s">
        <v>144</v>
      </c>
      <c r="F9" s="247" t="s">
        <v>145</v>
      </c>
      <c r="G9" s="246" t="s">
        <v>146</v>
      </c>
      <c r="H9" s="246" t="s">
        <v>20</v>
      </c>
      <c r="I9" s="246" t="s">
        <v>21</v>
      </c>
      <c r="J9" s="246" t="s">
        <v>22</v>
      </c>
      <c r="K9" s="247" t="s">
        <v>147</v>
      </c>
    </row>
    <row r="10" spans="1:13" s="168" customFormat="1" ht="21.75" customHeight="1" x14ac:dyDescent="0.25">
      <c r="A10" s="309" t="s">
        <v>148</v>
      </c>
      <c r="B10" s="288">
        <v>7445244.9100000001</v>
      </c>
      <c r="C10" s="310" t="s">
        <v>151</v>
      </c>
      <c r="D10" s="290">
        <v>394584447.43000001</v>
      </c>
      <c r="E10" s="290">
        <v>127456958.78</v>
      </c>
      <c r="F10" s="291">
        <v>87134.25</v>
      </c>
      <c r="G10" s="288">
        <f>B10+D10-E10-F10</f>
        <v>274485599.31000006</v>
      </c>
      <c r="H10" s="291">
        <v>211942398.03</v>
      </c>
      <c r="I10" s="262">
        <f>H10/G10*100</f>
        <v>77.21439615148455</v>
      </c>
      <c r="J10" s="262">
        <f>G10-H10</f>
        <v>62543201.280000061</v>
      </c>
      <c r="K10" s="262">
        <f>J10/G10*100</f>
        <v>22.785603848515446</v>
      </c>
    </row>
    <row r="11" spans="1:13" s="168" customFormat="1" ht="21.75" customHeight="1" thickBot="1" x14ac:dyDescent="0.3">
      <c r="A11" s="309" t="s">
        <v>150</v>
      </c>
      <c r="B11" s="292">
        <v>16940844.030000001</v>
      </c>
      <c r="C11" s="311" t="s">
        <v>151</v>
      </c>
      <c r="D11" s="312">
        <v>0</v>
      </c>
      <c r="E11" s="294">
        <v>0</v>
      </c>
      <c r="F11" s="294">
        <v>0</v>
      </c>
      <c r="G11" s="292">
        <f>B11+D11-E11-F11</f>
        <v>16940844.030000001</v>
      </c>
      <c r="H11" s="294">
        <v>0</v>
      </c>
      <c r="I11" s="262">
        <f>H11/G11*100</f>
        <v>0</v>
      </c>
      <c r="J11" s="262">
        <f>G11-H11</f>
        <v>16940844.030000001</v>
      </c>
      <c r="K11" s="262">
        <f>J11/G11*100</f>
        <v>100</v>
      </c>
      <c r="M11" s="313"/>
    </row>
    <row r="12" spans="1:13" s="163" customFormat="1" ht="21.75" customHeight="1" thickTop="1" thickBot="1" x14ac:dyDescent="0.3">
      <c r="A12" s="296" t="s">
        <v>152</v>
      </c>
      <c r="B12" s="297">
        <f>SUM(B10:B11)</f>
        <v>24386088.940000001</v>
      </c>
      <c r="C12" s="298"/>
      <c r="D12" s="297">
        <f>SUM(D10:D11)</f>
        <v>394584447.43000001</v>
      </c>
      <c r="E12" s="297">
        <f>SUM(E10:E11)</f>
        <v>127456958.78</v>
      </c>
      <c r="F12" s="297">
        <f>SUM(F10:F11)</f>
        <v>87134.25</v>
      </c>
      <c r="G12" s="297">
        <f>SUM(G10:G11)</f>
        <v>291426443.34000003</v>
      </c>
      <c r="H12" s="297">
        <f>SUM(H10:H11)</f>
        <v>211942398.03</v>
      </c>
      <c r="I12" s="299">
        <f>H12/G12*100</f>
        <v>72.725863720860787</v>
      </c>
      <c r="J12" s="299">
        <f>SUM(J10:J11)</f>
        <v>79484045.310000062</v>
      </c>
      <c r="K12" s="299">
        <f>J12/G12*100</f>
        <v>27.274136279139221</v>
      </c>
    </row>
    <row r="13" spans="1:13" s="168" customFormat="1" ht="21.75" customHeight="1" thickTop="1" thickBot="1" x14ac:dyDescent="0.3">
      <c r="A13" s="314" t="s">
        <v>50</v>
      </c>
      <c r="B13" s="315">
        <v>3564723.2700000182</v>
      </c>
      <c r="C13" s="316" t="s">
        <v>151</v>
      </c>
      <c r="D13" s="317">
        <v>320259281.06</v>
      </c>
      <c r="E13" s="317">
        <v>72800485.959999993</v>
      </c>
      <c r="F13" s="318">
        <v>93837.68</v>
      </c>
      <c r="G13" s="319">
        <f>B13+D13-E13-F13</f>
        <v>250929680.69000006</v>
      </c>
      <c r="H13" s="318">
        <v>192224656.03999999</v>
      </c>
      <c r="I13" s="320">
        <f>H13/G13*100</f>
        <v>76.604989697283131</v>
      </c>
      <c r="J13" s="320">
        <f>G13-H13</f>
        <v>58705024.650000066</v>
      </c>
      <c r="K13" s="317">
        <f>J13/G13*100</f>
        <v>23.395010302716873</v>
      </c>
    </row>
    <row r="14" spans="1:13" s="163" customFormat="1" ht="21.75" customHeight="1" thickTop="1" thickBot="1" x14ac:dyDescent="0.3">
      <c r="A14" s="296" t="s">
        <v>36</v>
      </c>
      <c r="B14" s="297">
        <f>SUM(B12:B13)</f>
        <v>27950812.21000002</v>
      </c>
      <c r="C14" s="298"/>
      <c r="D14" s="297">
        <f>SUM(D12:D13)</f>
        <v>714843728.49000001</v>
      </c>
      <c r="E14" s="297">
        <f>SUM(E12:E13)</f>
        <v>200257444.74000001</v>
      </c>
      <c r="F14" s="297">
        <f>SUM(F12:F13)</f>
        <v>180971.93</v>
      </c>
      <c r="G14" s="297">
        <f>SUM(G12:G13)</f>
        <v>542356124.03000009</v>
      </c>
      <c r="H14" s="297">
        <f>SUM(H12:H13)</f>
        <v>404167054.06999999</v>
      </c>
      <c r="I14" s="297">
        <f>H14/G14*100</f>
        <v>74.520603006530024</v>
      </c>
      <c r="J14" s="297">
        <f>SUM(J12:J13)</f>
        <v>138189069.96000013</v>
      </c>
      <c r="K14" s="297">
        <f>J14/G14*100</f>
        <v>25.479396993469972</v>
      </c>
    </row>
    <row r="15" spans="1:13" s="163" customFormat="1" ht="21.75" customHeight="1" thickTop="1" x14ac:dyDescent="0.25">
      <c r="B15" s="165"/>
      <c r="C15" s="227"/>
      <c r="D15" s="165"/>
      <c r="E15" s="165"/>
      <c r="F15" s="165"/>
      <c r="G15" s="165"/>
      <c r="H15" s="165"/>
      <c r="I15" s="165"/>
      <c r="J15" s="165"/>
      <c r="K15" s="165"/>
    </row>
    <row r="16" spans="1:13" s="242" customFormat="1" ht="21.75" customHeight="1" x14ac:dyDescent="0.25">
      <c r="A16" s="321" t="s">
        <v>154</v>
      </c>
      <c r="B16" s="242" t="s">
        <v>128</v>
      </c>
      <c r="C16" s="322">
        <v>62543201.280000001</v>
      </c>
      <c r="D16" s="188" t="s">
        <v>155</v>
      </c>
      <c r="E16" s="188"/>
      <c r="F16" s="188"/>
      <c r="G16" s="188"/>
      <c r="H16" s="188"/>
      <c r="I16" s="188"/>
      <c r="J16" s="188"/>
    </row>
    <row r="17" spans="1:11" s="168" customFormat="1" ht="21.75" customHeight="1" x14ac:dyDescent="0.25">
      <c r="B17" s="168" t="s">
        <v>156</v>
      </c>
      <c r="C17" s="166">
        <v>1096.1199999999999</v>
      </c>
      <c r="D17" s="166" t="s">
        <v>55</v>
      </c>
      <c r="E17" s="166" t="s">
        <v>157</v>
      </c>
      <c r="F17" s="166"/>
      <c r="G17" s="166"/>
      <c r="H17" s="166"/>
      <c r="I17" s="166"/>
      <c r="J17" s="166"/>
    </row>
    <row r="18" spans="1:11" s="168" customFormat="1" ht="21.75" customHeight="1" x14ac:dyDescent="0.25">
      <c r="B18" s="168" t="s">
        <v>158</v>
      </c>
      <c r="C18" s="166">
        <v>110154.20000000001</v>
      </c>
      <c r="D18" s="166" t="s">
        <v>55</v>
      </c>
      <c r="E18" s="166" t="s">
        <v>157</v>
      </c>
      <c r="F18" s="166"/>
      <c r="G18" s="166"/>
      <c r="H18" s="166"/>
      <c r="I18" s="166"/>
      <c r="J18" s="167"/>
    </row>
    <row r="19" spans="1:11" s="168" customFormat="1" ht="21.75" customHeight="1" x14ac:dyDescent="0.25">
      <c r="B19" s="168" t="s">
        <v>159</v>
      </c>
      <c r="C19" s="166">
        <v>4555.68</v>
      </c>
      <c r="D19" s="166" t="s">
        <v>55</v>
      </c>
      <c r="E19" s="166" t="s">
        <v>160</v>
      </c>
      <c r="F19" s="166"/>
      <c r="G19" s="166"/>
      <c r="H19" s="166"/>
      <c r="I19" s="166"/>
      <c r="J19" s="167"/>
    </row>
    <row r="20" spans="1:11" s="168" customFormat="1" ht="21.75" customHeight="1" x14ac:dyDescent="0.25">
      <c r="B20" s="168" t="s">
        <v>161</v>
      </c>
      <c r="C20" s="166">
        <v>146956.71</v>
      </c>
      <c r="D20" s="166" t="s">
        <v>55</v>
      </c>
      <c r="E20" s="166"/>
      <c r="F20" s="166"/>
      <c r="G20" s="166"/>
      <c r="H20" s="166"/>
      <c r="I20" s="166"/>
      <c r="J20" s="167"/>
    </row>
    <row r="21" spans="1:11" s="168" customFormat="1" ht="21.75" customHeight="1" x14ac:dyDescent="0.25">
      <c r="B21" s="168" t="s">
        <v>162</v>
      </c>
      <c r="C21" s="166">
        <v>391882.11</v>
      </c>
      <c r="D21" s="166" t="s">
        <v>55</v>
      </c>
      <c r="E21" s="166"/>
      <c r="F21" s="166"/>
      <c r="G21" s="166"/>
      <c r="H21" s="166"/>
      <c r="I21" s="166"/>
      <c r="J21" s="167"/>
    </row>
    <row r="22" spans="1:11" s="168" customFormat="1" ht="21.75" customHeight="1" x14ac:dyDescent="0.25">
      <c r="B22" s="168" t="s">
        <v>163</v>
      </c>
      <c r="C22" s="166">
        <v>61888556.460000001</v>
      </c>
      <c r="D22" s="166" t="s">
        <v>55</v>
      </c>
      <c r="E22" s="166" t="s">
        <v>164</v>
      </c>
      <c r="F22" s="166"/>
      <c r="G22" s="166"/>
      <c r="H22" s="166"/>
      <c r="I22" s="166"/>
      <c r="J22" s="167"/>
    </row>
    <row r="23" spans="1:11" s="242" customFormat="1" ht="21.75" customHeight="1" x14ac:dyDescent="0.25">
      <c r="C23" s="322"/>
      <c r="D23" s="188"/>
      <c r="E23" s="188"/>
      <c r="F23" s="166"/>
      <c r="G23" s="188"/>
      <c r="H23" s="188"/>
      <c r="I23" s="188"/>
      <c r="J23" s="275"/>
    </row>
    <row r="24" spans="1:11" s="242" customFormat="1" ht="21.75" customHeight="1" x14ac:dyDescent="0.25">
      <c r="A24" s="321" t="s">
        <v>165</v>
      </c>
      <c r="B24" s="242" t="s">
        <v>128</v>
      </c>
      <c r="C24" s="322">
        <v>8805780.8399999999</v>
      </c>
      <c r="D24" s="188" t="s">
        <v>55</v>
      </c>
      <c r="G24" s="188"/>
      <c r="H24" s="188"/>
      <c r="I24" s="188"/>
      <c r="J24" s="275"/>
    </row>
    <row r="25" spans="1:11" s="242" customFormat="1" ht="21.75" customHeight="1" x14ac:dyDescent="0.25">
      <c r="B25" s="242" t="s">
        <v>166</v>
      </c>
      <c r="C25" s="188">
        <v>16940844.030000001</v>
      </c>
      <c r="D25" s="188" t="s">
        <v>55</v>
      </c>
      <c r="E25" s="188" t="s">
        <v>167</v>
      </c>
      <c r="F25" s="188"/>
      <c r="G25" s="188"/>
      <c r="H25" s="188"/>
      <c r="I25" s="188"/>
      <c r="J25" s="275"/>
    </row>
    <row r="26" spans="1:11" s="242" customFormat="1" ht="21.75" customHeight="1" x14ac:dyDescent="0.25">
      <c r="B26" s="168"/>
      <c r="C26" s="322"/>
      <c r="D26" s="188"/>
      <c r="E26" s="188"/>
      <c r="F26" s="188"/>
      <c r="G26" s="188"/>
      <c r="H26" s="188"/>
      <c r="I26" s="188"/>
      <c r="J26" s="275"/>
    </row>
    <row r="27" spans="1:11" s="242" customFormat="1" ht="21.75" customHeight="1" x14ac:dyDescent="0.25">
      <c r="A27" s="321" t="s">
        <v>168</v>
      </c>
      <c r="B27" s="242" t="s">
        <v>128</v>
      </c>
      <c r="C27" s="188">
        <v>58705024.649999999</v>
      </c>
      <c r="D27" s="188" t="s">
        <v>155</v>
      </c>
      <c r="E27" s="188"/>
      <c r="F27" s="188"/>
      <c r="G27" s="188"/>
      <c r="H27" s="275"/>
    </row>
    <row r="28" spans="1:11" s="242" customFormat="1" ht="15.75" x14ac:dyDescent="0.25">
      <c r="B28" s="242" t="s">
        <v>166</v>
      </c>
      <c r="C28" s="188">
        <v>58705024.649999999</v>
      </c>
      <c r="D28" s="188" t="s">
        <v>55</v>
      </c>
      <c r="E28" s="188" t="s">
        <v>164</v>
      </c>
      <c r="F28" s="188"/>
      <c r="G28" s="188"/>
      <c r="H28" s="188"/>
      <c r="I28" s="275"/>
    </row>
    <row r="29" spans="1:11" s="18" customFormat="1" x14ac:dyDescent="0.25">
      <c r="B29" s="25"/>
      <c r="C29" s="19"/>
      <c r="D29" s="21"/>
      <c r="E29" s="21"/>
      <c r="F29" s="19"/>
      <c r="G29" s="21"/>
      <c r="H29" s="21"/>
      <c r="I29" s="21"/>
      <c r="J29" s="22"/>
    </row>
    <row r="30" spans="1:11" s="279" customFormat="1" ht="21.75" customHeight="1" thickBot="1" x14ac:dyDescent="0.3">
      <c r="C30" s="280"/>
      <c r="D30" s="281" t="s">
        <v>360</v>
      </c>
      <c r="E30" s="281"/>
      <c r="F30" s="282"/>
      <c r="G30" s="282"/>
      <c r="H30" s="282"/>
      <c r="I30" s="283"/>
      <c r="J30" s="282"/>
      <c r="K30" s="284"/>
    </row>
    <row r="31" spans="1:11" s="242" customFormat="1" ht="48" thickBot="1" x14ac:dyDescent="0.3">
      <c r="A31" s="285" t="s">
        <v>361</v>
      </c>
      <c r="B31" s="246" t="s">
        <v>40</v>
      </c>
      <c r="C31" s="286" t="s">
        <v>142</v>
      </c>
      <c r="D31" s="247" t="s">
        <v>143</v>
      </c>
      <c r="E31" s="247" t="s">
        <v>144</v>
      </c>
      <c r="F31" s="247" t="s">
        <v>145</v>
      </c>
      <c r="G31" s="246" t="s">
        <v>146</v>
      </c>
      <c r="H31" s="246" t="s">
        <v>20</v>
      </c>
      <c r="I31" s="246" t="s">
        <v>21</v>
      </c>
      <c r="J31" s="246" t="s">
        <v>22</v>
      </c>
      <c r="K31" s="247" t="s">
        <v>147</v>
      </c>
    </row>
    <row r="32" spans="1:11" s="168" customFormat="1" ht="21.75" customHeight="1" x14ac:dyDescent="0.25">
      <c r="A32" s="309" t="s">
        <v>148</v>
      </c>
      <c r="B32" s="288">
        <v>62543201.280000061</v>
      </c>
      <c r="C32" s="310" t="s">
        <v>151</v>
      </c>
      <c r="D32" s="290">
        <v>0</v>
      </c>
      <c r="E32" s="513">
        <v>-7760.4</v>
      </c>
      <c r="F32" s="291"/>
      <c r="G32" s="288">
        <v>62543201.280000061</v>
      </c>
      <c r="H32" s="291"/>
      <c r="I32" s="262">
        <f>H32/G32*100</f>
        <v>0</v>
      </c>
      <c r="J32" s="262">
        <f>G32-H32</f>
        <v>62543201.280000061</v>
      </c>
      <c r="K32" s="262">
        <f>J32/G32*100</f>
        <v>100</v>
      </c>
    </row>
    <row r="33" spans="1:13" s="168" customFormat="1" ht="21.75" customHeight="1" thickBot="1" x14ac:dyDescent="0.3">
      <c r="A33" s="309" t="s">
        <v>150</v>
      </c>
      <c r="B33" s="292">
        <v>16940844.030000001</v>
      </c>
      <c r="C33" s="311" t="s">
        <v>362</v>
      </c>
      <c r="D33" s="312">
        <v>26735049.84</v>
      </c>
      <c r="E33" s="294">
        <v>16271291.970000001</v>
      </c>
      <c r="F33" s="294">
        <v>16268.64</v>
      </c>
      <c r="G33" s="292">
        <f>B33+D33-E33-F33</f>
        <v>27388333.260000005</v>
      </c>
      <c r="H33" s="294">
        <v>22565256.59</v>
      </c>
      <c r="I33" s="262">
        <f>H33/G33*100</f>
        <v>82.390032192853482</v>
      </c>
      <c r="J33" s="262">
        <f>G33-H33</f>
        <v>4823076.6700000055</v>
      </c>
      <c r="K33" s="262">
        <f>J33/G33*100</f>
        <v>17.609967807146525</v>
      </c>
      <c r="M33" s="313"/>
    </row>
    <row r="34" spans="1:13" s="163" customFormat="1" ht="21.75" customHeight="1" thickTop="1" thickBot="1" x14ac:dyDescent="0.3">
      <c r="A34" s="296" t="s">
        <v>152</v>
      </c>
      <c r="B34" s="297">
        <f>SUM(B32:B33)</f>
        <v>79484045.310000062</v>
      </c>
      <c r="C34" s="298"/>
      <c r="D34" s="297">
        <f>SUM(D32:D33)</f>
        <v>26735049.84</v>
      </c>
      <c r="E34" s="297">
        <f>SUM(E32:E33)</f>
        <v>16263531.57</v>
      </c>
      <c r="F34" s="297">
        <f>SUM(F32:F33)</f>
        <v>16268.64</v>
      </c>
      <c r="G34" s="297">
        <f>SUM(G32:G33)</f>
        <v>89931534.540000066</v>
      </c>
      <c r="H34" s="297">
        <f>SUM(H32:H33)</f>
        <v>22565256.59</v>
      </c>
      <c r="I34" s="299">
        <f>H34/G34*100</f>
        <v>25.091595184516002</v>
      </c>
      <c r="J34" s="299">
        <f>SUM(J32:J33)</f>
        <v>67366277.950000063</v>
      </c>
      <c r="K34" s="299">
        <f>J34/G34*100</f>
        <v>74.908404815484005</v>
      </c>
    </row>
    <row r="35" spans="1:13" s="168" customFormat="1" ht="21.75" customHeight="1" thickTop="1" thickBot="1" x14ac:dyDescent="0.3">
      <c r="A35" s="314" t="s">
        <v>50</v>
      </c>
      <c r="B35" s="315">
        <v>58705024.650000066</v>
      </c>
      <c r="C35" s="316" t="s">
        <v>151</v>
      </c>
      <c r="D35" s="317"/>
      <c r="E35" s="317"/>
      <c r="F35" s="318"/>
      <c r="G35" s="319">
        <f>B35+D35-E35-F35</f>
        <v>58705024.650000066</v>
      </c>
      <c r="H35" s="318"/>
      <c r="I35" s="320">
        <f>H35/G35*100</f>
        <v>0</v>
      </c>
      <c r="J35" s="320">
        <f>G35-H35</f>
        <v>58705024.650000066</v>
      </c>
      <c r="K35" s="317">
        <f>J35/G35*100</f>
        <v>100</v>
      </c>
    </row>
    <row r="36" spans="1:13" s="163" customFormat="1" ht="21.75" customHeight="1" thickTop="1" thickBot="1" x14ac:dyDescent="0.3">
      <c r="A36" s="296" t="s">
        <v>36</v>
      </c>
      <c r="B36" s="297">
        <f>SUM(B34:B35)</f>
        <v>138189069.96000013</v>
      </c>
      <c r="C36" s="298"/>
      <c r="D36" s="297">
        <f>SUM(D34:D35)</f>
        <v>26735049.84</v>
      </c>
      <c r="E36" s="297">
        <f>SUM(E34:E35)</f>
        <v>16263531.57</v>
      </c>
      <c r="F36" s="297">
        <f>SUM(F34:F35)</f>
        <v>16268.64</v>
      </c>
      <c r="G36" s="297">
        <f>SUM(G34:G35)</f>
        <v>148636559.19000012</v>
      </c>
      <c r="H36" s="297">
        <f>SUM(H34:H35)</f>
        <v>22565256.59</v>
      </c>
      <c r="I36" s="297">
        <f>H36/G36*100</f>
        <v>15.181498221547995</v>
      </c>
      <c r="J36" s="297">
        <f>SUM(J34:J35)</f>
        <v>126071302.60000013</v>
      </c>
      <c r="K36" s="297">
        <f>J36/G36*100</f>
        <v>84.818501778452017</v>
      </c>
    </row>
    <row r="37" spans="1:13" s="163" customFormat="1" ht="21.75" customHeight="1" thickTop="1" x14ac:dyDescent="0.25">
      <c r="B37" s="165"/>
      <c r="C37" s="512"/>
      <c r="D37" s="165"/>
      <c r="E37" s="165"/>
      <c r="F37" s="165"/>
      <c r="G37" s="165"/>
      <c r="H37" s="165"/>
      <c r="I37" s="165"/>
      <c r="J37" s="165"/>
      <c r="K37" s="165"/>
    </row>
    <row r="38" spans="1:13" s="242" customFormat="1" ht="21.75" customHeight="1" x14ac:dyDescent="0.25">
      <c r="A38" s="321" t="s">
        <v>154</v>
      </c>
      <c r="B38" s="242" t="s">
        <v>128</v>
      </c>
      <c r="C38" s="322">
        <v>62543201.280000001</v>
      </c>
      <c r="D38" s="188" t="s">
        <v>155</v>
      </c>
      <c r="E38" s="188"/>
      <c r="F38" s="188"/>
      <c r="G38" s="188"/>
      <c r="H38" s="188"/>
      <c r="I38" s="188"/>
      <c r="J38" s="188"/>
    </row>
    <row r="39" spans="1:13" s="168" customFormat="1" ht="21.75" customHeight="1" x14ac:dyDescent="0.25">
      <c r="B39" s="168" t="s">
        <v>156</v>
      </c>
      <c r="C39" s="166">
        <v>1096.1199999999999</v>
      </c>
      <c r="D39" s="166" t="s">
        <v>55</v>
      </c>
      <c r="E39" s="166" t="s">
        <v>157</v>
      </c>
      <c r="F39" s="166"/>
      <c r="G39" s="166"/>
      <c r="H39" s="166"/>
      <c r="I39" s="166"/>
      <c r="J39" s="166"/>
    </row>
    <row r="40" spans="1:13" s="168" customFormat="1" ht="21.75" customHeight="1" x14ac:dyDescent="0.25">
      <c r="B40" s="168" t="s">
        <v>158</v>
      </c>
      <c r="C40" s="166">
        <v>110154.20000000001</v>
      </c>
      <c r="D40" s="166" t="s">
        <v>55</v>
      </c>
      <c r="E40" s="166" t="s">
        <v>157</v>
      </c>
      <c r="F40" s="166"/>
      <c r="G40" s="166"/>
      <c r="H40" s="166"/>
      <c r="I40" s="166"/>
      <c r="J40" s="167"/>
    </row>
    <row r="41" spans="1:13" s="168" customFormat="1" ht="21.75" customHeight="1" x14ac:dyDescent="0.25">
      <c r="B41" s="168" t="s">
        <v>159</v>
      </c>
      <c r="C41" s="166">
        <v>4555.68</v>
      </c>
      <c r="D41" s="166" t="s">
        <v>55</v>
      </c>
      <c r="E41" s="166" t="s">
        <v>160</v>
      </c>
      <c r="F41" s="166"/>
      <c r="G41" s="166"/>
      <c r="H41" s="166"/>
      <c r="I41" s="166"/>
      <c r="J41" s="167"/>
    </row>
    <row r="42" spans="1:13" s="168" customFormat="1" ht="21.75" customHeight="1" x14ac:dyDescent="0.25">
      <c r="B42" s="168" t="s">
        <v>161</v>
      </c>
      <c r="C42" s="166">
        <v>146956.71</v>
      </c>
      <c r="D42" s="166" t="s">
        <v>55</v>
      </c>
      <c r="E42" s="166"/>
      <c r="F42" s="166"/>
      <c r="G42" s="166"/>
      <c r="H42" s="166"/>
      <c r="I42" s="166"/>
      <c r="J42" s="167"/>
    </row>
    <row r="43" spans="1:13" s="168" customFormat="1" ht="21.75" customHeight="1" x14ac:dyDescent="0.25">
      <c r="B43" s="168" t="s">
        <v>162</v>
      </c>
      <c r="C43" s="166">
        <v>391882.11</v>
      </c>
      <c r="D43" s="166" t="s">
        <v>55</v>
      </c>
      <c r="E43" s="166"/>
      <c r="F43" s="166"/>
      <c r="G43" s="166"/>
      <c r="H43" s="166"/>
      <c r="I43" s="166"/>
      <c r="J43" s="167"/>
    </row>
    <row r="44" spans="1:13" s="168" customFormat="1" ht="21.75" customHeight="1" x14ac:dyDescent="0.25">
      <c r="B44" s="168" t="s">
        <v>163</v>
      </c>
      <c r="C44" s="166">
        <v>61888556.460000001</v>
      </c>
      <c r="D44" s="166" t="s">
        <v>55</v>
      </c>
      <c r="E44" s="166" t="s">
        <v>164</v>
      </c>
      <c r="F44" s="166"/>
      <c r="G44" s="166"/>
      <c r="H44" s="166"/>
      <c r="I44" s="166"/>
      <c r="J44" s="167"/>
    </row>
    <row r="45" spans="1:13" s="242" customFormat="1" ht="21.75" customHeight="1" x14ac:dyDescent="0.25">
      <c r="C45" s="322"/>
      <c r="D45" s="188"/>
      <c r="E45" s="188"/>
      <c r="F45" s="166"/>
      <c r="G45" s="188"/>
      <c r="H45" s="188"/>
      <c r="I45" s="188"/>
      <c r="J45" s="275"/>
    </row>
    <row r="46" spans="1:13" s="242" customFormat="1" ht="21.75" customHeight="1" x14ac:dyDescent="0.25">
      <c r="A46" s="321" t="s">
        <v>165</v>
      </c>
      <c r="B46" s="242" t="s">
        <v>128</v>
      </c>
      <c r="C46" s="322">
        <v>4823076.67</v>
      </c>
      <c r="D46" s="188" t="s">
        <v>55</v>
      </c>
      <c r="G46" s="188"/>
      <c r="H46" s="188"/>
      <c r="I46" s="188"/>
      <c r="J46" s="275"/>
    </row>
    <row r="47" spans="1:13" s="242" customFormat="1" ht="21.75" customHeight="1" x14ac:dyDescent="0.25">
      <c r="B47" s="242" t="s">
        <v>363</v>
      </c>
      <c r="C47" s="188">
        <v>4823076.67</v>
      </c>
      <c r="D47" s="188" t="s">
        <v>55</v>
      </c>
      <c r="E47" s="188" t="s">
        <v>364</v>
      </c>
      <c r="F47" s="188"/>
      <c r="G47" s="188"/>
      <c r="H47" s="188"/>
      <c r="I47" s="188"/>
      <c r="J47" s="275"/>
    </row>
    <row r="48" spans="1:13" s="242" customFormat="1" ht="21.75" customHeight="1" x14ac:dyDescent="0.25">
      <c r="B48" s="168"/>
      <c r="C48" s="322"/>
      <c r="D48" s="188"/>
      <c r="E48" s="188"/>
      <c r="F48" s="188"/>
      <c r="G48" s="188"/>
      <c r="H48" s="188"/>
      <c r="I48" s="188"/>
      <c r="J48" s="275"/>
    </row>
    <row r="49" spans="1:13" s="242" customFormat="1" ht="21.75" customHeight="1" x14ac:dyDescent="0.25">
      <c r="A49" s="321" t="s">
        <v>168</v>
      </c>
      <c r="B49" s="242" t="s">
        <v>128</v>
      </c>
      <c r="C49" s="188">
        <v>58705024.649999999</v>
      </c>
      <c r="D49" s="188" t="s">
        <v>155</v>
      </c>
      <c r="E49" s="188"/>
      <c r="F49" s="188"/>
      <c r="G49" s="188"/>
      <c r="H49" s="275"/>
    </row>
    <row r="50" spans="1:13" s="242" customFormat="1" ht="15.75" x14ac:dyDescent="0.25">
      <c r="B50" s="242" t="s">
        <v>166</v>
      </c>
      <c r="C50" s="188">
        <v>58705024.649999999</v>
      </c>
      <c r="D50" s="188" t="s">
        <v>55</v>
      </c>
      <c r="E50" s="188" t="s">
        <v>365</v>
      </c>
      <c r="F50" s="188"/>
      <c r="G50" s="188"/>
      <c r="H50" s="188"/>
      <c r="I50" s="275"/>
    </row>
    <row r="51" spans="1:13" s="242" customFormat="1" ht="15.75" x14ac:dyDescent="0.25">
      <c r="C51" s="188"/>
      <c r="D51" s="188"/>
      <c r="E51" s="188"/>
      <c r="F51" s="188"/>
      <c r="G51" s="188"/>
      <c r="H51" s="188"/>
      <c r="I51" s="275"/>
    </row>
    <row r="52" spans="1:13" s="18" customFormat="1" x14ac:dyDescent="0.25">
      <c r="B52" s="19"/>
      <c r="C52" s="137"/>
      <c r="D52" s="57"/>
      <c r="E52" s="57"/>
      <c r="F52" s="57"/>
      <c r="G52" s="19"/>
      <c r="H52" s="57"/>
      <c r="I52" s="57"/>
      <c r="J52" s="68"/>
      <c r="K52" s="57"/>
    </row>
    <row r="53" spans="1:13" s="279" customFormat="1" ht="21.75" customHeight="1" thickBot="1" x14ac:dyDescent="0.3">
      <c r="C53" s="280"/>
      <c r="D53" s="281" t="s">
        <v>409</v>
      </c>
      <c r="E53" s="281"/>
      <c r="F53" s="282"/>
      <c r="G53" s="282"/>
      <c r="H53" s="282"/>
      <c r="I53" s="283"/>
      <c r="J53" s="282"/>
      <c r="K53" s="284"/>
    </row>
    <row r="54" spans="1:13" s="242" customFormat="1" ht="48" thickBot="1" x14ac:dyDescent="0.3">
      <c r="A54" s="285" t="s">
        <v>410</v>
      </c>
      <c r="B54" s="246" t="s">
        <v>40</v>
      </c>
      <c r="C54" s="286" t="s">
        <v>142</v>
      </c>
      <c r="D54" s="247" t="s">
        <v>143</v>
      </c>
      <c r="E54" s="247" t="s">
        <v>144</v>
      </c>
      <c r="F54" s="247" t="s">
        <v>145</v>
      </c>
      <c r="G54" s="246" t="s">
        <v>146</v>
      </c>
      <c r="H54" s="246" t="s">
        <v>20</v>
      </c>
      <c r="I54" s="246" t="s">
        <v>21</v>
      </c>
      <c r="J54" s="246" t="s">
        <v>22</v>
      </c>
      <c r="K54" s="247" t="s">
        <v>147</v>
      </c>
    </row>
    <row r="55" spans="1:13" s="168" customFormat="1" ht="21.75" customHeight="1" x14ac:dyDescent="0.25">
      <c r="A55" s="309" t="s">
        <v>148</v>
      </c>
      <c r="B55" s="288">
        <v>62543201.280000061</v>
      </c>
      <c r="C55" s="310" t="s">
        <v>411</v>
      </c>
      <c r="D55" s="290">
        <v>252364294.81</v>
      </c>
      <c r="E55" s="290">
        <v>53708170.509999998</v>
      </c>
      <c r="F55" s="291">
        <v>453410.97</v>
      </c>
      <c r="G55" s="288">
        <f>B55+D55-E55-F55</f>
        <v>260745914.61000004</v>
      </c>
      <c r="H55" s="291">
        <v>246515632.27000001</v>
      </c>
      <c r="I55" s="262">
        <f>H55/G55*100</f>
        <v>94.54247160064449</v>
      </c>
      <c r="J55" s="262">
        <f>G55-H55</f>
        <v>14230282.340000033</v>
      </c>
      <c r="K55" s="262">
        <f>J55/G55*100</f>
        <v>5.4575283993555148</v>
      </c>
    </row>
    <row r="56" spans="1:13" s="168" customFormat="1" ht="21.75" customHeight="1" thickBot="1" x14ac:dyDescent="0.3">
      <c r="A56" s="309" t="s">
        <v>150</v>
      </c>
      <c r="B56" s="292">
        <f>J33</f>
        <v>4823076.6700000055</v>
      </c>
      <c r="C56" s="311" t="s">
        <v>462</v>
      </c>
      <c r="D56" s="312">
        <v>12806437.190000001</v>
      </c>
      <c r="E56" s="294">
        <v>3319620.62</v>
      </c>
      <c r="F56" s="294">
        <v>0</v>
      </c>
      <c r="G56" s="292">
        <f>B56+D56-E56-F56</f>
        <v>14309893.240000006</v>
      </c>
      <c r="H56" s="294">
        <v>11158942.42</v>
      </c>
      <c r="I56" s="262">
        <f>H56/G56*100</f>
        <v>77.980612663187102</v>
      </c>
      <c r="J56" s="262">
        <f>G56-H56</f>
        <v>3150950.8200000059</v>
      </c>
      <c r="K56" s="262">
        <f>J56/G56*100</f>
        <v>22.019387336812894</v>
      </c>
      <c r="M56" s="313"/>
    </row>
    <row r="57" spans="1:13" s="163" customFormat="1" ht="21.75" customHeight="1" thickTop="1" thickBot="1" x14ac:dyDescent="0.3">
      <c r="A57" s="296" t="s">
        <v>152</v>
      </c>
      <c r="B57" s="297">
        <f>SUM(B55:B56)</f>
        <v>67366277.950000063</v>
      </c>
      <c r="C57" s="298"/>
      <c r="D57" s="297">
        <f>SUM(D55:D56)</f>
        <v>265170732</v>
      </c>
      <c r="E57" s="297">
        <f>SUM(E55:E56)</f>
        <v>57027791.129999995</v>
      </c>
      <c r="F57" s="297">
        <f>SUM(F55:F56)</f>
        <v>453410.97</v>
      </c>
      <c r="G57" s="297">
        <f>SUM(G55:G56)</f>
        <v>275055807.85000002</v>
      </c>
      <c r="H57" s="297">
        <f>SUM(H55:H56)</f>
        <v>257674574.69</v>
      </c>
      <c r="I57" s="299">
        <f>H57/G57*100</f>
        <v>93.680833974798745</v>
      </c>
      <c r="J57" s="299">
        <f>SUM(J55:J56)</f>
        <v>17381233.160000041</v>
      </c>
      <c r="K57" s="299">
        <f>J57/G57*100</f>
        <v>6.3191660252012518</v>
      </c>
    </row>
    <row r="58" spans="1:13" s="168" customFormat="1" ht="21.75" customHeight="1" thickTop="1" thickBot="1" x14ac:dyDescent="0.3">
      <c r="A58" s="314" t="s">
        <v>50</v>
      </c>
      <c r="B58" s="315">
        <v>58705024.650000066</v>
      </c>
      <c r="C58" s="316" t="s">
        <v>411</v>
      </c>
      <c r="D58" s="317">
        <v>147586470.91999999</v>
      </c>
      <c r="E58" s="317">
        <v>11188661.189999999</v>
      </c>
      <c r="F58" s="318">
        <v>81861.149999999994</v>
      </c>
      <c r="G58" s="319">
        <f>B58+D58-E58-F58</f>
        <v>195020973.23000005</v>
      </c>
      <c r="H58" s="318">
        <v>194403270.43000001</v>
      </c>
      <c r="I58" s="320">
        <f>H58/G58*100</f>
        <v>99.683263399946455</v>
      </c>
      <c r="J58" s="320">
        <f>G58-H58</f>
        <v>617702.80000004172</v>
      </c>
      <c r="K58" s="317">
        <f>J58/G58*100</f>
        <v>0.31673660005354781</v>
      </c>
    </row>
    <row r="59" spans="1:13" s="163" customFormat="1" ht="21.75" customHeight="1" thickTop="1" thickBot="1" x14ac:dyDescent="0.3">
      <c r="A59" s="296" t="s">
        <v>36</v>
      </c>
      <c r="B59" s="297">
        <f>SUM(B57:B58)</f>
        <v>126071302.60000013</v>
      </c>
      <c r="C59" s="298"/>
      <c r="D59" s="297">
        <f>SUM(D57:D58)</f>
        <v>412757202.91999996</v>
      </c>
      <c r="E59" s="297">
        <f>SUM(E57:E58)</f>
        <v>68216452.319999993</v>
      </c>
      <c r="F59" s="297">
        <f>SUM(F57:F58)</f>
        <v>535272.12</v>
      </c>
      <c r="G59" s="297">
        <f>SUM(G57:G58)</f>
        <v>470076781.08000004</v>
      </c>
      <c r="H59" s="297">
        <f>SUM(H57:H58)</f>
        <v>452077845.12</v>
      </c>
      <c r="I59" s="297">
        <f>H59/G59*100</f>
        <v>96.171064667638433</v>
      </c>
      <c r="J59" s="297">
        <f>SUM(J57:J58)</f>
        <v>17998935.960000083</v>
      </c>
      <c r="K59" s="297">
        <f>J59/G59*100</f>
        <v>3.8289353323615729</v>
      </c>
    </row>
    <row r="60" spans="1:13" s="163" customFormat="1" ht="21.75" customHeight="1" thickTop="1" x14ac:dyDescent="0.25">
      <c r="B60" s="165"/>
      <c r="C60" s="548"/>
      <c r="D60" s="165"/>
      <c r="E60" s="165"/>
      <c r="F60" s="165"/>
      <c r="G60" s="165"/>
      <c r="H60" s="165"/>
      <c r="I60" s="165"/>
      <c r="J60" s="165"/>
      <c r="K60" s="165"/>
    </row>
    <row r="61" spans="1:13" s="242" customFormat="1" ht="21.75" customHeight="1" x14ac:dyDescent="0.25">
      <c r="A61" s="321" t="s">
        <v>154</v>
      </c>
      <c r="B61" s="242" t="s">
        <v>128</v>
      </c>
      <c r="C61" s="322">
        <v>14230282.34</v>
      </c>
      <c r="D61" s="188" t="s">
        <v>155</v>
      </c>
      <c r="E61" s="188"/>
      <c r="F61" s="188"/>
      <c r="G61" s="188"/>
      <c r="H61" s="188"/>
      <c r="I61" s="188"/>
      <c r="J61" s="188"/>
    </row>
    <row r="62" spans="1:13" s="168" customFormat="1" ht="21.75" customHeight="1" x14ac:dyDescent="0.25">
      <c r="B62" s="168" t="s">
        <v>412</v>
      </c>
      <c r="C62" s="166">
        <v>100389.65</v>
      </c>
      <c r="D62" s="166" t="s">
        <v>55</v>
      </c>
      <c r="E62" s="166" t="s">
        <v>413</v>
      </c>
      <c r="F62" s="166"/>
      <c r="G62" s="166"/>
      <c r="H62" s="166"/>
      <c r="I62" s="166"/>
      <c r="J62" s="167"/>
    </row>
    <row r="63" spans="1:13" s="168" customFormat="1" ht="21.75" customHeight="1" x14ac:dyDescent="0.25">
      <c r="B63" s="168" t="s">
        <v>414</v>
      </c>
      <c r="C63" s="166">
        <v>239442.24</v>
      </c>
      <c r="D63" s="166" t="s">
        <v>55</v>
      </c>
      <c r="E63" s="166" t="s">
        <v>415</v>
      </c>
      <c r="F63" s="166"/>
      <c r="G63" s="166"/>
      <c r="H63" s="166"/>
      <c r="I63" s="166"/>
      <c r="J63" s="167"/>
    </row>
    <row r="64" spans="1:13" s="168" customFormat="1" ht="21.75" customHeight="1" x14ac:dyDescent="0.25">
      <c r="B64" s="168" t="s">
        <v>416</v>
      </c>
      <c r="C64" s="166">
        <v>13890450.550000001</v>
      </c>
      <c r="D64" s="166" t="s">
        <v>55</v>
      </c>
      <c r="E64" s="188" t="s">
        <v>417</v>
      </c>
      <c r="F64" s="166"/>
      <c r="G64" s="166"/>
      <c r="H64" s="166"/>
      <c r="I64" s="166"/>
      <c r="J64" s="167"/>
    </row>
    <row r="65" spans="1:13" s="242" customFormat="1" ht="21.75" customHeight="1" x14ac:dyDescent="0.25">
      <c r="C65" s="322"/>
      <c r="D65" s="188"/>
      <c r="E65" s="188"/>
      <c r="F65" s="166"/>
      <c r="G65" s="188"/>
      <c r="H65" s="188"/>
      <c r="I65" s="188"/>
      <c r="J65" s="275"/>
    </row>
    <row r="66" spans="1:13" s="242" customFormat="1" ht="21.75" customHeight="1" x14ac:dyDescent="0.25">
      <c r="A66" s="321" t="s">
        <v>165</v>
      </c>
      <c r="B66" s="242" t="s">
        <v>128</v>
      </c>
      <c r="C66" s="322">
        <v>3150960.82</v>
      </c>
      <c r="D66" s="188" t="s">
        <v>55</v>
      </c>
      <c r="G66" s="188"/>
      <c r="H66" s="188"/>
      <c r="I66" s="188"/>
      <c r="J66" s="275"/>
    </row>
    <row r="67" spans="1:13" s="242" customFormat="1" ht="21.75" customHeight="1" x14ac:dyDescent="0.25">
      <c r="B67" s="242" t="s">
        <v>463</v>
      </c>
      <c r="C67" s="188">
        <v>3150960.82</v>
      </c>
      <c r="D67" s="188" t="s">
        <v>55</v>
      </c>
      <c r="E67" s="188" t="s">
        <v>418</v>
      </c>
      <c r="F67" s="188"/>
      <c r="G67" s="188"/>
      <c r="H67" s="188"/>
      <c r="I67" s="188"/>
      <c r="J67" s="275"/>
    </row>
    <row r="68" spans="1:13" s="242" customFormat="1" ht="21.75" customHeight="1" x14ac:dyDescent="0.25">
      <c r="B68" s="168"/>
      <c r="C68" s="322"/>
      <c r="D68" s="188"/>
      <c r="E68" s="188"/>
      <c r="F68" s="188"/>
      <c r="G68" s="188"/>
      <c r="H68" s="188"/>
      <c r="I68" s="188"/>
      <c r="J68" s="275"/>
    </row>
    <row r="69" spans="1:13" s="242" customFormat="1" ht="21.75" customHeight="1" x14ac:dyDescent="0.25">
      <c r="A69" s="321" t="s">
        <v>168</v>
      </c>
      <c r="B69" s="242" t="s">
        <v>128</v>
      </c>
      <c r="C69" s="188">
        <v>617702.80000000005</v>
      </c>
      <c r="D69" s="188" t="s">
        <v>155</v>
      </c>
      <c r="E69" s="188"/>
      <c r="F69" s="188"/>
      <c r="G69" s="188"/>
      <c r="H69" s="275"/>
    </row>
    <row r="70" spans="1:13" s="242" customFormat="1" ht="15.75" x14ac:dyDescent="0.25">
      <c r="B70" s="242" t="s">
        <v>363</v>
      </c>
      <c r="C70" s="188">
        <v>617702.80000000005</v>
      </c>
      <c r="D70" s="188" t="s">
        <v>55</v>
      </c>
      <c r="E70" s="188" t="s">
        <v>417</v>
      </c>
      <c r="F70" s="188"/>
      <c r="G70" s="188"/>
      <c r="H70" s="188"/>
      <c r="I70" s="275"/>
    </row>
    <row r="71" spans="1:13" s="18" customFormat="1" x14ac:dyDescent="0.25">
      <c r="C71" s="21"/>
      <c r="D71" s="21"/>
      <c r="E71" s="21"/>
      <c r="F71" s="21"/>
      <c r="G71" s="21"/>
      <c r="H71" s="21"/>
      <c r="I71" s="22"/>
    </row>
    <row r="72" spans="1:13" s="279" customFormat="1" ht="21.75" customHeight="1" thickBot="1" x14ac:dyDescent="0.3">
      <c r="C72" s="280"/>
      <c r="D72" s="281" t="s">
        <v>553</v>
      </c>
      <c r="E72" s="281"/>
      <c r="F72" s="282"/>
      <c r="G72" s="282"/>
      <c r="H72" s="282"/>
      <c r="I72" s="283"/>
      <c r="J72" s="282"/>
      <c r="K72" s="284"/>
    </row>
    <row r="73" spans="1:13" s="242" customFormat="1" ht="48" thickBot="1" x14ac:dyDescent="0.3">
      <c r="A73" s="285" t="s">
        <v>554</v>
      </c>
      <c r="B73" s="246" t="s">
        <v>40</v>
      </c>
      <c r="C73" s="286" t="s">
        <v>142</v>
      </c>
      <c r="D73" s="247" t="s">
        <v>143</v>
      </c>
      <c r="E73" s="247" t="s">
        <v>144</v>
      </c>
      <c r="F73" s="247" t="s">
        <v>145</v>
      </c>
      <c r="G73" s="246" t="s">
        <v>146</v>
      </c>
      <c r="H73" s="246" t="s">
        <v>20</v>
      </c>
      <c r="I73" s="246" t="s">
        <v>21</v>
      </c>
      <c r="J73" s="246" t="s">
        <v>22</v>
      </c>
      <c r="K73" s="247" t="s">
        <v>147</v>
      </c>
    </row>
    <row r="74" spans="1:13" s="168" customFormat="1" ht="21.75" customHeight="1" x14ac:dyDescent="0.25">
      <c r="A74" s="309" t="s">
        <v>148</v>
      </c>
      <c r="B74" s="288">
        <v>14230282.340000033</v>
      </c>
      <c r="C74" s="310" t="s">
        <v>555</v>
      </c>
      <c r="D74" s="290">
        <v>164543208.48999998</v>
      </c>
      <c r="E74" s="290">
        <v>37171241.43</v>
      </c>
      <c r="F74" s="291">
        <v>156671.49</v>
      </c>
      <c r="G74" s="288">
        <f>B74+D74-E74-F74</f>
        <v>141445577.91</v>
      </c>
      <c r="H74" s="291">
        <f>132106718.91-3462635.87</f>
        <v>128644083.03999999</v>
      </c>
      <c r="I74" s="262">
        <f>H74/G74*100</f>
        <v>90.949526270700787</v>
      </c>
      <c r="J74" s="262">
        <f>G74-H74</f>
        <v>12801494.870000005</v>
      </c>
      <c r="K74" s="262">
        <f>J74/G74*100</f>
        <v>9.0504737292992168</v>
      </c>
    </row>
    <row r="75" spans="1:13" s="168" customFormat="1" ht="21.75" customHeight="1" thickBot="1" x14ac:dyDescent="0.3">
      <c r="A75" s="309" t="s">
        <v>150</v>
      </c>
      <c r="B75" s="292">
        <v>3150950.8200000059</v>
      </c>
      <c r="C75" s="293" t="s">
        <v>556</v>
      </c>
      <c r="D75" s="312">
        <v>15118257.370000001</v>
      </c>
      <c r="E75" s="294">
        <v>5722649.5</v>
      </c>
      <c r="F75" s="294">
        <v>36135.160000000003</v>
      </c>
      <c r="G75" s="292">
        <f>B75+D75-E75-F75</f>
        <v>12510423.530000005</v>
      </c>
      <c r="H75" s="294">
        <v>9520530.7300000004</v>
      </c>
      <c r="I75" s="262">
        <f>H75/G75*100</f>
        <v>76.100786733316909</v>
      </c>
      <c r="J75" s="262">
        <f>G75-H75</f>
        <v>2989892.8000000045</v>
      </c>
      <c r="K75" s="262">
        <f>J75/G75*100</f>
        <v>23.899213266683091</v>
      </c>
      <c r="M75" s="313"/>
    </row>
    <row r="76" spans="1:13" s="163" customFormat="1" ht="21.75" customHeight="1" thickTop="1" thickBot="1" x14ac:dyDescent="0.3">
      <c r="A76" s="296" t="s">
        <v>152</v>
      </c>
      <c r="B76" s="297">
        <f>SUM(B74:B75)</f>
        <v>17381233.160000041</v>
      </c>
      <c r="C76" s="298"/>
      <c r="D76" s="297">
        <f>SUM(D74:D75)</f>
        <v>179661465.85999998</v>
      </c>
      <c r="E76" s="297">
        <f>SUM(E74:E75)</f>
        <v>42893890.93</v>
      </c>
      <c r="F76" s="297">
        <f>SUM(F74:F75)</f>
        <v>192806.65</v>
      </c>
      <c r="G76" s="297">
        <f>SUM(G74:G75)</f>
        <v>153956001.44</v>
      </c>
      <c r="H76" s="297">
        <f>SUM(H74:H75)</f>
        <v>138164613.76999998</v>
      </c>
      <c r="I76" s="299">
        <f>H76/G76*100</f>
        <v>89.74292166443783</v>
      </c>
      <c r="J76" s="299">
        <f>SUM(J74:J75)</f>
        <v>15791387.670000009</v>
      </c>
      <c r="K76" s="299">
        <f>J76/G76*100</f>
        <v>10.257078335562161</v>
      </c>
    </row>
    <row r="77" spans="1:13" s="168" customFormat="1" ht="21.75" customHeight="1" thickTop="1" thickBot="1" x14ac:dyDescent="0.3">
      <c r="A77" s="314" t="s">
        <v>50</v>
      </c>
      <c r="B77" s="315">
        <v>17381233.160000041</v>
      </c>
      <c r="C77" s="316" t="s">
        <v>555</v>
      </c>
      <c r="D77" s="317">
        <v>76300473.239999995</v>
      </c>
      <c r="E77" s="317">
        <v>10669329.02</v>
      </c>
      <c r="F77" s="318">
        <v>81861.149999999994</v>
      </c>
      <c r="G77" s="319">
        <f>B77+D77-E77-F77</f>
        <v>82930516.230000034</v>
      </c>
      <c r="H77" s="318">
        <v>66146837.32</v>
      </c>
      <c r="I77" s="320">
        <f>H77/G77*100</f>
        <v>79.761757585769672</v>
      </c>
      <c r="J77" s="320">
        <f>G77-H77</f>
        <v>16783678.910000034</v>
      </c>
      <c r="K77" s="317">
        <f>J77/G77*100</f>
        <v>20.238242414230328</v>
      </c>
    </row>
    <row r="78" spans="1:13" s="163" customFormat="1" ht="21.75" customHeight="1" thickTop="1" thickBot="1" x14ac:dyDescent="0.3">
      <c r="A78" s="296" t="s">
        <v>36</v>
      </c>
      <c r="B78" s="297">
        <f>SUM(B76:B77)</f>
        <v>34762466.320000082</v>
      </c>
      <c r="C78" s="298"/>
      <c r="D78" s="297">
        <f>SUM(D76:D77)</f>
        <v>255961939.09999996</v>
      </c>
      <c r="E78" s="297">
        <f>SUM(E76:E77)</f>
        <v>53563219.950000003</v>
      </c>
      <c r="F78" s="297">
        <f>SUM(F76:F77)</f>
        <v>274667.8</v>
      </c>
      <c r="G78" s="297">
        <f>SUM(G76:G77)</f>
        <v>236886517.67000002</v>
      </c>
      <c r="H78" s="297">
        <f>SUM(H76:H77)</f>
        <v>204311451.08999997</v>
      </c>
      <c r="I78" s="297">
        <f>H78/G78*100</f>
        <v>86.248661637476786</v>
      </c>
      <c r="J78" s="297">
        <f>SUM(J76:J77)</f>
        <v>32575066.580000043</v>
      </c>
      <c r="K78" s="297">
        <f>J78/G78*100</f>
        <v>13.751338362523214</v>
      </c>
    </row>
    <row r="79" spans="1:13" s="163" customFormat="1" ht="21.75" customHeight="1" thickTop="1" thickBot="1" x14ac:dyDescent="0.3">
      <c r="B79" s="165"/>
      <c r="C79" s="574"/>
      <c r="D79" s="165"/>
      <c r="E79" s="165"/>
      <c r="F79" s="165"/>
      <c r="G79" s="165"/>
      <c r="H79" s="165"/>
      <c r="I79" s="165"/>
      <c r="J79" s="165"/>
      <c r="K79" s="165"/>
    </row>
    <row r="80" spans="1:13" s="242" customFormat="1" ht="48" thickBot="1" x14ac:dyDescent="0.3">
      <c r="A80" s="285" t="s">
        <v>557</v>
      </c>
      <c r="B80" s="246" t="s">
        <v>40</v>
      </c>
      <c r="C80" s="286" t="s">
        <v>142</v>
      </c>
      <c r="D80" s="247" t="s">
        <v>143</v>
      </c>
      <c r="E80" s="247" t="s">
        <v>144</v>
      </c>
      <c r="F80" s="247" t="s">
        <v>145</v>
      </c>
      <c r="G80" s="246" t="s">
        <v>146</v>
      </c>
      <c r="H80" s="246" t="s">
        <v>20</v>
      </c>
      <c r="I80" s="246" t="s">
        <v>21</v>
      </c>
      <c r="J80" s="246" t="s">
        <v>22</v>
      </c>
      <c r="K80" s="247" t="s">
        <v>147</v>
      </c>
    </row>
    <row r="81" spans="1:13" s="168" customFormat="1" ht="21.75" customHeight="1" x14ac:dyDescent="0.25">
      <c r="A81" s="309" t="s">
        <v>148</v>
      </c>
      <c r="B81" s="288">
        <v>12801494.869999999</v>
      </c>
      <c r="C81" s="310" t="s">
        <v>556</v>
      </c>
      <c r="D81" s="290">
        <v>140931603.59</v>
      </c>
      <c r="E81" s="290">
        <v>45848111.880000003</v>
      </c>
      <c r="F81" s="291">
        <v>116370.9</v>
      </c>
      <c r="G81" s="288">
        <f>B81+D81-E81-F81</f>
        <v>107768615.68000001</v>
      </c>
      <c r="H81" s="291">
        <f>101508261.85-1601819.93</f>
        <v>99906441.919999987</v>
      </c>
      <c r="I81" s="262">
        <f>H81/G81*100</f>
        <v>92.704579426588012</v>
      </c>
      <c r="J81" s="262">
        <f>G81-H81</f>
        <v>7862173.7600000203</v>
      </c>
      <c r="K81" s="262">
        <f>J81/G81*100</f>
        <v>7.2954205734119899</v>
      </c>
    </row>
    <row r="82" spans="1:13" s="168" customFormat="1" ht="21.75" customHeight="1" thickBot="1" x14ac:dyDescent="0.3">
      <c r="A82" s="309" t="s">
        <v>150</v>
      </c>
      <c r="B82" s="292">
        <v>2989892.8000000045</v>
      </c>
      <c r="C82" s="293" t="s">
        <v>558</v>
      </c>
      <c r="D82" s="292">
        <v>398087.06</v>
      </c>
      <c r="E82" s="294">
        <v>600473</v>
      </c>
      <c r="F82" s="294"/>
      <c r="G82" s="292">
        <f>B82+D82-E82-F82</f>
        <v>2787506.8600000045</v>
      </c>
      <c r="H82" s="294">
        <v>2569843.67</v>
      </c>
      <c r="I82" s="262">
        <f>H82/G82*100</f>
        <v>92.191474283941162</v>
      </c>
      <c r="J82" s="262">
        <f>G82-H82</f>
        <v>217663.1900000046</v>
      </c>
      <c r="K82" s="262">
        <f>J82/G82*100</f>
        <v>7.8085257160588384</v>
      </c>
      <c r="M82" s="313"/>
    </row>
    <row r="83" spans="1:13" s="163" customFormat="1" ht="21.75" customHeight="1" thickTop="1" thickBot="1" x14ac:dyDescent="0.3">
      <c r="A83" s="296" t="s">
        <v>152</v>
      </c>
      <c r="B83" s="297">
        <f>SUM(B81:B82)</f>
        <v>15791387.670000004</v>
      </c>
      <c r="C83" s="298"/>
      <c r="D83" s="297">
        <f>SUM(D81:D82)</f>
        <v>141329690.65000001</v>
      </c>
      <c r="E83" s="297">
        <f>SUM(E81:E82)</f>
        <v>46448584.880000003</v>
      </c>
      <c r="F83" s="297">
        <f>SUM(F81:F82)</f>
        <v>116370.9</v>
      </c>
      <c r="G83" s="297">
        <f>SUM(G81:G82)</f>
        <v>110556122.54000001</v>
      </c>
      <c r="H83" s="297">
        <f>SUM(H81:H82)</f>
        <v>102476285.58999999</v>
      </c>
      <c r="I83" s="299">
        <f>H83/G83*100</f>
        <v>92.691642249775285</v>
      </c>
      <c r="J83" s="299">
        <f>SUM(J81:J82)</f>
        <v>8079836.9500000253</v>
      </c>
      <c r="K83" s="299">
        <f>J83/G83*100</f>
        <v>7.308357750224717</v>
      </c>
    </row>
    <row r="84" spans="1:13" s="168" customFormat="1" ht="21.75" customHeight="1" thickTop="1" thickBot="1" x14ac:dyDescent="0.3">
      <c r="A84" s="314" t="s">
        <v>50</v>
      </c>
      <c r="B84" s="315">
        <v>20148.55</v>
      </c>
      <c r="C84" s="316" t="s">
        <v>556</v>
      </c>
      <c r="D84" s="317">
        <v>57082896.270000003</v>
      </c>
      <c r="E84" s="317">
        <v>5363587.8</v>
      </c>
      <c r="F84" s="318">
        <v>2611.71</v>
      </c>
      <c r="G84" s="319">
        <f>B84+D84-E84-F84</f>
        <v>51736845.310000002</v>
      </c>
      <c r="H84" s="318">
        <v>50222953.359999999</v>
      </c>
      <c r="I84" s="320">
        <f>H84/G84*100</f>
        <v>97.073861112077921</v>
      </c>
      <c r="J84" s="320">
        <f>G84-H84</f>
        <v>1513891.950000003</v>
      </c>
      <c r="K84" s="317">
        <f>J84/G84*100</f>
        <v>2.9261388879220842</v>
      </c>
    </row>
    <row r="85" spans="1:13" s="163" customFormat="1" ht="21.75" customHeight="1" thickTop="1" thickBot="1" x14ac:dyDescent="0.3">
      <c r="A85" s="296" t="s">
        <v>36</v>
      </c>
      <c r="B85" s="297">
        <f>SUM(B83:B84)</f>
        <v>15811536.220000004</v>
      </c>
      <c r="C85" s="298"/>
      <c r="D85" s="297">
        <f>SUM(D83:D84)</f>
        <v>198412586.92000002</v>
      </c>
      <c r="E85" s="297">
        <f t="shared" ref="E85:H85" si="0">SUM(E83:E84)</f>
        <v>51812172.68</v>
      </c>
      <c r="F85" s="297">
        <f t="shared" si="0"/>
        <v>118982.61</v>
      </c>
      <c r="G85" s="297">
        <f t="shared" si="0"/>
        <v>162292967.85000002</v>
      </c>
      <c r="H85" s="297">
        <f t="shared" si="0"/>
        <v>152699238.94999999</v>
      </c>
      <c r="I85" s="297">
        <f>H85/G85*100</f>
        <v>94.088635492286343</v>
      </c>
      <c r="J85" s="297">
        <f>SUM(J83:J84)</f>
        <v>9593728.9000000283</v>
      </c>
      <c r="K85" s="297">
        <f>J85/G85*100</f>
        <v>5.9113645077136514</v>
      </c>
    </row>
    <row r="86" spans="1:13" s="163" customFormat="1" ht="21.75" customHeight="1" thickTop="1" x14ac:dyDescent="0.25">
      <c r="B86" s="165"/>
      <c r="C86" s="574"/>
      <c r="D86" s="165"/>
      <c r="E86" s="165"/>
      <c r="F86" s="165"/>
      <c r="G86" s="165"/>
      <c r="H86" s="165"/>
      <c r="I86" s="165"/>
      <c r="J86" s="165"/>
      <c r="K86" s="165"/>
    </row>
    <row r="87" spans="1:13" s="242" customFormat="1" ht="27.75" customHeight="1" x14ac:dyDescent="0.25">
      <c r="A87" s="321" t="s">
        <v>37</v>
      </c>
      <c r="B87" s="163" t="s">
        <v>567</v>
      </c>
      <c r="C87" s="163"/>
      <c r="D87" s="165"/>
      <c r="E87" s="165"/>
      <c r="F87" s="165"/>
      <c r="G87" s="165"/>
      <c r="H87" s="188"/>
      <c r="I87" s="188"/>
      <c r="J87" s="188"/>
    </row>
    <row r="88" spans="1:13" s="242" customFormat="1" ht="21.75" customHeight="1" x14ac:dyDescent="0.25">
      <c r="A88" s="321" t="s">
        <v>154</v>
      </c>
      <c r="B88" s="242" t="s">
        <v>128</v>
      </c>
      <c r="C88" s="322">
        <v>7862173.7599999998</v>
      </c>
      <c r="D88" s="188" t="s">
        <v>155</v>
      </c>
      <c r="E88" s="188"/>
      <c r="F88" s="188"/>
      <c r="G88" s="188"/>
      <c r="H88" s="188"/>
      <c r="I88" s="188"/>
      <c r="J88" s="188"/>
    </row>
    <row r="89" spans="1:13" s="168" customFormat="1" ht="21.75" customHeight="1" x14ac:dyDescent="0.25">
      <c r="B89" s="168" t="s">
        <v>412</v>
      </c>
      <c r="C89" s="166">
        <v>97439.76</v>
      </c>
      <c r="D89" s="166" t="s">
        <v>55</v>
      </c>
      <c r="E89" s="166" t="s">
        <v>413</v>
      </c>
      <c r="F89" s="166"/>
      <c r="G89" s="166"/>
      <c r="H89" s="166"/>
      <c r="I89" s="166"/>
      <c r="J89" s="167"/>
    </row>
    <row r="90" spans="1:13" s="168" customFormat="1" ht="21.75" customHeight="1" x14ac:dyDescent="0.25">
      <c r="B90" s="168" t="s">
        <v>414</v>
      </c>
      <c r="C90" s="166">
        <v>152684.18</v>
      </c>
      <c r="D90" s="166" t="s">
        <v>55</v>
      </c>
      <c r="E90" s="166" t="s">
        <v>559</v>
      </c>
      <c r="F90" s="166"/>
      <c r="G90" s="166"/>
      <c r="H90" s="166"/>
      <c r="I90" s="166"/>
      <c r="J90" s="167"/>
    </row>
    <row r="91" spans="1:13" s="168" customFormat="1" ht="21.75" customHeight="1" x14ac:dyDescent="0.25">
      <c r="B91" s="168" t="s">
        <v>416</v>
      </c>
      <c r="C91" s="166">
        <v>3233.7</v>
      </c>
      <c r="D91" s="166" t="s">
        <v>55</v>
      </c>
      <c r="E91" s="188" t="s">
        <v>559</v>
      </c>
      <c r="F91" s="166"/>
      <c r="G91" s="166"/>
      <c r="H91" s="166"/>
      <c r="I91" s="166"/>
      <c r="J91" s="167"/>
    </row>
    <row r="92" spans="1:13" s="168" customFormat="1" ht="21.75" customHeight="1" x14ac:dyDescent="0.25">
      <c r="B92" s="168" t="s">
        <v>560</v>
      </c>
      <c r="C92" s="166">
        <v>294950.77</v>
      </c>
      <c r="D92" s="166" t="s">
        <v>55</v>
      </c>
      <c r="E92" s="188" t="s">
        <v>561</v>
      </c>
      <c r="F92" s="166"/>
      <c r="G92" s="166"/>
      <c r="H92" s="166"/>
      <c r="I92" s="166"/>
      <c r="J92" s="167"/>
    </row>
    <row r="93" spans="1:13" s="242" customFormat="1" ht="21.75" customHeight="1" x14ac:dyDescent="0.25">
      <c r="B93" s="168" t="s">
        <v>562</v>
      </c>
      <c r="C93" s="166">
        <v>7313865.3499999996</v>
      </c>
      <c r="D93" s="166" t="s">
        <v>55</v>
      </c>
      <c r="E93" s="188" t="s">
        <v>563</v>
      </c>
      <c r="F93" s="166"/>
      <c r="G93" s="188"/>
      <c r="H93" s="188"/>
      <c r="I93" s="188"/>
      <c r="J93" s="275"/>
    </row>
    <row r="94" spans="1:13" s="242" customFormat="1" ht="21.75" customHeight="1" x14ac:dyDescent="0.25">
      <c r="B94" s="168"/>
      <c r="C94" s="166"/>
      <c r="D94" s="166"/>
      <c r="E94" s="188"/>
      <c r="F94" s="166"/>
      <c r="G94" s="188"/>
      <c r="H94" s="188"/>
      <c r="I94" s="188"/>
      <c r="J94" s="275"/>
    </row>
    <row r="95" spans="1:13" s="242" customFormat="1" ht="21.75" customHeight="1" x14ac:dyDescent="0.25">
      <c r="A95" s="321" t="s">
        <v>165</v>
      </c>
      <c r="B95" s="242" t="s">
        <v>128</v>
      </c>
      <c r="C95" s="322">
        <v>217663.19</v>
      </c>
      <c r="D95" s="188" t="s">
        <v>55</v>
      </c>
      <c r="G95" s="188"/>
      <c r="H95" s="188"/>
      <c r="I95" s="188"/>
      <c r="J95" s="275"/>
    </row>
    <row r="96" spans="1:13" s="242" customFormat="1" ht="21.75" customHeight="1" x14ac:dyDescent="0.25">
      <c r="B96" s="242" t="s">
        <v>564</v>
      </c>
      <c r="C96" s="188">
        <v>217663.19</v>
      </c>
      <c r="D96" s="188" t="s">
        <v>55</v>
      </c>
      <c r="E96" s="188"/>
      <c r="F96" s="188"/>
      <c r="G96" s="188"/>
      <c r="H96" s="188"/>
      <c r="I96" s="188"/>
      <c r="J96" s="275"/>
    </row>
    <row r="97" spans="1:13" s="242" customFormat="1" ht="21.75" customHeight="1" x14ac:dyDescent="0.25">
      <c r="B97" s="168"/>
      <c r="C97" s="322"/>
      <c r="D97" s="188"/>
      <c r="E97" s="188"/>
      <c r="F97" s="188"/>
      <c r="G97" s="188"/>
      <c r="H97" s="188"/>
      <c r="I97" s="188"/>
      <c r="J97" s="275"/>
    </row>
    <row r="98" spans="1:13" s="242" customFormat="1" ht="21.75" customHeight="1" x14ac:dyDescent="0.25">
      <c r="A98" s="321" t="s">
        <v>168</v>
      </c>
      <c r="B98" s="242" t="s">
        <v>128</v>
      </c>
      <c r="C98" s="188">
        <v>1513891.95</v>
      </c>
      <c r="D98" s="188" t="s">
        <v>155</v>
      </c>
      <c r="E98" s="188"/>
      <c r="F98" s="188"/>
      <c r="G98" s="188"/>
      <c r="H98" s="275"/>
    </row>
    <row r="99" spans="1:13" s="242" customFormat="1" ht="21.75" customHeight="1" x14ac:dyDescent="0.25">
      <c r="B99" s="242" t="s">
        <v>363</v>
      </c>
      <c r="C99" s="188">
        <v>20148.55</v>
      </c>
      <c r="D99" s="188" t="s">
        <v>55</v>
      </c>
      <c r="E99" s="188" t="s">
        <v>565</v>
      </c>
      <c r="F99" s="188"/>
      <c r="G99" s="188"/>
      <c r="H99" s="188"/>
      <c r="I99" s="275"/>
    </row>
    <row r="100" spans="1:13" s="242" customFormat="1" ht="21.75" customHeight="1" x14ac:dyDescent="0.25">
      <c r="B100" s="242" t="s">
        <v>566</v>
      </c>
      <c r="C100" s="188">
        <v>1493743.4</v>
      </c>
      <c r="D100" s="188" t="s">
        <v>55</v>
      </c>
      <c r="E100" s="188" t="s">
        <v>563</v>
      </c>
      <c r="F100" s="188"/>
      <c r="G100" s="188"/>
      <c r="H100" s="188"/>
      <c r="I100" s="275"/>
    </row>
    <row r="101" spans="1:13" x14ac:dyDescent="0.3">
      <c r="B101" s="55"/>
      <c r="C101" s="107"/>
      <c r="D101" s="56"/>
      <c r="E101" s="56"/>
      <c r="F101" s="56"/>
      <c r="G101" s="56"/>
    </row>
    <row r="102" spans="1:13" s="279" customFormat="1" ht="21.75" customHeight="1" thickBot="1" x14ac:dyDescent="0.3">
      <c r="C102" s="280"/>
      <c r="D102" s="281" t="s">
        <v>653</v>
      </c>
      <c r="E102" s="281"/>
      <c r="F102" s="282"/>
      <c r="G102" s="282"/>
      <c r="H102" s="282"/>
      <c r="I102" s="283"/>
      <c r="J102" s="282"/>
      <c r="K102" s="284"/>
    </row>
    <row r="103" spans="1:13" s="242" customFormat="1" ht="48" thickBot="1" x14ac:dyDescent="0.3">
      <c r="A103" s="285" t="s">
        <v>654</v>
      </c>
      <c r="B103" s="246" t="s">
        <v>40</v>
      </c>
      <c r="C103" s="286" t="s">
        <v>142</v>
      </c>
      <c r="D103" s="247" t="s">
        <v>143</v>
      </c>
      <c r="E103" s="247" t="s">
        <v>144</v>
      </c>
      <c r="F103" s="247" t="s">
        <v>145</v>
      </c>
      <c r="G103" s="246" t="s">
        <v>146</v>
      </c>
      <c r="H103" s="246" t="s">
        <v>20</v>
      </c>
      <c r="I103" s="246" t="s">
        <v>21</v>
      </c>
      <c r="J103" s="246" t="s">
        <v>22</v>
      </c>
      <c r="K103" s="247" t="s">
        <v>147</v>
      </c>
    </row>
    <row r="104" spans="1:13" s="168" customFormat="1" ht="21.75" customHeight="1" x14ac:dyDescent="0.25">
      <c r="A104" s="309" t="s">
        <v>148</v>
      </c>
      <c r="B104" s="288">
        <v>7862173.7599999998</v>
      </c>
      <c r="C104" s="310" t="s">
        <v>556</v>
      </c>
      <c r="D104" s="290">
        <v>0</v>
      </c>
      <c r="E104" s="290">
        <v>24320</v>
      </c>
      <c r="F104" s="291">
        <v>0</v>
      </c>
      <c r="G104" s="292">
        <f>B104+D104-E104-F104</f>
        <v>7837853.7599999998</v>
      </c>
      <c r="H104" s="291">
        <v>8850.34</v>
      </c>
      <c r="I104" s="262">
        <f>H104/G104*100</f>
        <v>0.11291790164760615</v>
      </c>
      <c r="J104" s="262">
        <f>G104-H104</f>
        <v>7829003.4199999999</v>
      </c>
      <c r="K104" s="262">
        <f>J104/G104*100</f>
        <v>99.887082098352394</v>
      </c>
    </row>
    <row r="105" spans="1:13" s="168" customFormat="1" ht="21.75" customHeight="1" thickBot="1" x14ac:dyDescent="0.3">
      <c r="A105" s="309" t="s">
        <v>150</v>
      </c>
      <c r="B105" s="292">
        <v>217663.19</v>
      </c>
      <c r="C105" s="293" t="s">
        <v>471</v>
      </c>
      <c r="D105" s="292">
        <v>11724105.75</v>
      </c>
      <c r="E105" s="294">
        <v>6240869.0700000003</v>
      </c>
      <c r="F105" s="294">
        <v>0</v>
      </c>
      <c r="G105" s="292">
        <f>B105+D105-E105-F105</f>
        <v>5700899.8699999992</v>
      </c>
      <c r="H105" s="294">
        <v>4118410.7</v>
      </c>
      <c r="I105" s="262">
        <f>H105/G105*100</f>
        <v>72.241414406739977</v>
      </c>
      <c r="J105" s="262">
        <f>G105-H105</f>
        <v>1582489.169999999</v>
      </c>
      <c r="K105" s="262">
        <f>J105/G105*100</f>
        <v>27.758585593260023</v>
      </c>
      <c r="M105" s="313"/>
    </row>
    <row r="106" spans="1:13" s="163" customFormat="1" ht="21.75" customHeight="1" thickTop="1" thickBot="1" x14ac:dyDescent="0.3">
      <c r="A106" s="296" t="s">
        <v>152</v>
      </c>
      <c r="B106" s="297">
        <f>SUM(B104:B105)</f>
        <v>8079836.9500000002</v>
      </c>
      <c r="C106" s="298"/>
      <c r="D106" s="297">
        <f>SUM(D104:D105)</f>
        <v>11724105.75</v>
      </c>
      <c r="E106" s="297">
        <f>SUM(E104:E105)</f>
        <v>6265189.0700000003</v>
      </c>
      <c r="F106" s="297">
        <f>SUM(F104:F105)</f>
        <v>0</v>
      </c>
      <c r="G106" s="297">
        <f>SUM(G104:G105)</f>
        <v>13538753.629999999</v>
      </c>
      <c r="H106" s="297">
        <f>SUM(H104:H105)</f>
        <v>4127261.04</v>
      </c>
      <c r="I106" s="299">
        <f>H106/G106*100</f>
        <v>30.484793155956119</v>
      </c>
      <c r="J106" s="299">
        <f>SUM(J104:J105)</f>
        <v>9411492.5899999999</v>
      </c>
      <c r="K106" s="299">
        <f>J106/G106*100</f>
        <v>69.515206844043888</v>
      </c>
    </row>
    <row r="107" spans="1:13" s="168" customFormat="1" ht="21.75" customHeight="1" thickTop="1" thickBot="1" x14ac:dyDescent="0.3">
      <c r="A107" s="314" t="s">
        <v>50</v>
      </c>
      <c r="B107" s="315">
        <v>1513891.95</v>
      </c>
      <c r="C107" s="316" t="s">
        <v>556</v>
      </c>
      <c r="D107" s="317">
        <v>0</v>
      </c>
      <c r="E107" s="317">
        <v>0</v>
      </c>
      <c r="F107" s="318">
        <v>0</v>
      </c>
      <c r="G107" s="315">
        <f>B107+D107-E107-F107</f>
        <v>1513891.95</v>
      </c>
      <c r="H107" s="318">
        <v>0</v>
      </c>
      <c r="I107" s="320">
        <f>H107/G107*100</f>
        <v>0</v>
      </c>
      <c r="J107" s="320">
        <f>G107-H107</f>
        <v>1513891.95</v>
      </c>
      <c r="K107" s="317">
        <f>J107/G107*100</f>
        <v>100</v>
      </c>
    </row>
    <row r="108" spans="1:13" s="163" customFormat="1" ht="21.75" customHeight="1" thickTop="1" thickBot="1" x14ac:dyDescent="0.3">
      <c r="A108" s="296" t="s">
        <v>36</v>
      </c>
      <c r="B108" s="297">
        <f>SUM(B106:B107)</f>
        <v>9593728.9000000004</v>
      </c>
      <c r="C108" s="298"/>
      <c r="D108" s="297">
        <f>SUM(D106:D107)</f>
        <v>11724105.75</v>
      </c>
      <c r="E108" s="297">
        <f>SUM(E106:E107)</f>
        <v>6265189.0700000003</v>
      </c>
      <c r="F108" s="297">
        <f>SUM(F106:F107)</f>
        <v>0</v>
      </c>
      <c r="G108" s="297">
        <f>SUM(G106:G107)</f>
        <v>15052645.579999998</v>
      </c>
      <c r="H108" s="297">
        <f>SUM(H106:H107)</f>
        <v>4127261.04</v>
      </c>
      <c r="I108" s="297">
        <f>H108/G108*100</f>
        <v>27.418841545593615</v>
      </c>
      <c r="J108" s="297">
        <f>SUM(J106:J107)</f>
        <v>10925384.539999999</v>
      </c>
      <c r="K108" s="297">
        <f>J108/G108*100</f>
        <v>72.581158454406392</v>
      </c>
    </row>
    <row r="109" spans="1:13" s="163" customFormat="1" ht="21.75" customHeight="1" thickTop="1" x14ac:dyDescent="0.25">
      <c r="B109" s="165"/>
      <c r="C109" s="599"/>
      <c r="D109" s="165"/>
      <c r="E109" s="165"/>
      <c r="F109" s="165"/>
      <c r="G109" s="165"/>
      <c r="H109" s="165"/>
      <c r="I109" s="165"/>
      <c r="J109" s="165"/>
      <c r="K109" s="165"/>
    </row>
    <row r="110" spans="1:13" s="242" customFormat="1" ht="27.75" customHeight="1" x14ac:dyDescent="0.25">
      <c r="A110" s="321" t="s">
        <v>37</v>
      </c>
      <c r="B110" s="163" t="s">
        <v>655</v>
      </c>
      <c r="C110" s="163"/>
      <c r="D110" s="165"/>
      <c r="E110" s="165"/>
      <c r="F110" s="165"/>
      <c r="G110" s="165"/>
      <c r="H110" s="188"/>
      <c r="I110" s="188"/>
      <c r="J110" s="188"/>
    </row>
    <row r="111" spans="1:13" s="242" customFormat="1" ht="21.75" customHeight="1" x14ac:dyDescent="0.25">
      <c r="A111" s="321" t="s">
        <v>154</v>
      </c>
      <c r="B111" s="242" t="s">
        <v>128</v>
      </c>
      <c r="C111" s="166">
        <v>7829003.4199999999</v>
      </c>
      <c r="D111" s="188" t="s">
        <v>155</v>
      </c>
      <c r="E111" s="188"/>
      <c r="F111" s="188"/>
      <c r="G111" s="188"/>
      <c r="H111" s="188"/>
      <c r="I111" s="188"/>
      <c r="J111" s="188"/>
    </row>
    <row r="112" spans="1:13" s="168" customFormat="1" ht="21.75" customHeight="1" x14ac:dyDescent="0.25">
      <c r="B112" s="168" t="s">
        <v>412</v>
      </c>
      <c r="C112" s="166">
        <v>97439.76</v>
      </c>
      <c r="D112" s="166" t="s">
        <v>55</v>
      </c>
      <c r="E112" s="166" t="s">
        <v>413</v>
      </c>
      <c r="F112" s="166"/>
      <c r="G112" s="166"/>
      <c r="H112" s="166"/>
      <c r="I112" s="166"/>
      <c r="J112" s="167"/>
    </row>
    <row r="113" spans="1:13" s="168" customFormat="1" ht="21.75" customHeight="1" x14ac:dyDescent="0.25">
      <c r="B113" s="168" t="s">
        <v>414</v>
      </c>
      <c r="C113" s="166">
        <v>152684.18</v>
      </c>
      <c r="D113" s="166" t="s">
        <v>55</v>
      </c>
      <c r="E113" s="166" t="s">
        <v>559</v>
      </c>
      <c r="F113" s="166"/>
      <c r="G113" s="166"/>
      <c r="H113" s="166"/>
      <c r="I113" s="166"/>
      <c r="J113" s="167"/>
    </row>
    <row r="114" spans="1:13" s="168" customFormat="1" ht="21.75" customHeight="1" x14ac:dyDescent="0.25">
      <c r="B114" s="168" t="s">
        <v>416</v>
      </c>
      <c r="C114" s="166">
        <v>3233.7</v>
      </c>
      <c r="D114" s="166" t="s">
        <v>55</v>
      </c>
      <c r="E114" s="188" t="s">
        <v>559</v>
      </c>
      <c r="F114" s="166"/>
      <c r="G114" s="166"/>
      <c r="H114" s="166"/>
      <c r="I114" s="166"/>
      <c r="J114" s="167"/>
    </row>
    <row r="115" spans="1:13" s="168" customFormat="1" ht="21.75" customHeight="1" x14ac:dyDescent="0.25">
      <c r="B115" s="168" t="s">
        <v>560</v>
      </c>
      <c r="C115" s="166">
        <v>294950.77</v>
      </c>
      <c r="D115" s="166" t="s">
        <v>55</v>
      </c>
      <c r="E115" s="188" t="s">
        <v>561</v>
      </c>
      <c r="F115" s="166"/>
      <c r="G115" s="166"/>
      <c r="H115" s="166"/>
      <c r="I115" s="166"/>
      <c r="J115" s="167"/>
    </row>
    <row r="116" spans="1:13" s="242" customFormat="1" ht="21.75" customHeight="1" x14ac:dyDescent="0.25">
      <c r="B116" s="168" t="s">
        <v>562</v>
      </c>
      <c r="C116" s="166">
        <v>7280695.0099999998</v>
      </c>
      <c r="D116" s="166" t="s">
        <v>55</v>
      </c>
      <c r="E116" s="188" t="s">
        <v>563</v>
      </c>
      <c r="F116" s="166"/>
      <c r="G116" s="188"/>
      <c r="H116" s="188"/>
      <c r="I116" s="188"/>
      <c r="J116" s="275"/>
    </row>
    <row r="117" spans="1:13" s="242" customFormat="1" ht="21.75" customHeight="1" x14ac:dyDescent="0.25">
      <c r="C117" s="166"/>
      <c r="D117" s="188"/>
      <c r="E117" s="188"/>
      <c r="F117" s="166"/>
      <c r="G117" s="188"/>
      <c r="H117" s="188"/>
      <c r="I117" s="188"/>
      <c r="J117" s="275"/>
    </row>
    <row r="118" spans="1:13" s="242" customFormat="1" ht="21.75" customHeight="1" x14ac:dyDescent="0.25">
      <c r="A118" s="321" t="s">
        <v>165</v>
      </c>
      <c r="B118" s="242" t="s">
        <v>128</v>
      </c>
      <c r="C118" s="166">
        <v>1582489.17</v>
      </c>
      <c r="D118" s="188" t="s">
        <v>55</v>
      </c>
      <c r="G118" s="188"/>
      <c r="H118" s="188"/>
      <c r="I118" s="188"/>
      <c r="J118" s="275"/>
    </row>
    <row r="119" spans="1:13" s="242" customFormat="1" ht="21.75" customHeight="1" x14ac:dyDescent="0.25">
      <c r="B119" s="242" t="s">
        <v>656</v>
      </c>
      <c r="C119" s="166">
        <v>1582489.17</v>
      </c>
      <c r="D119" s="188" t="s">
        <v>55</v>
      </c>
      <c r="E119" s="188" t="s">
        <v>657</v>
      </c>
      <c r="F119" s="188"/>
      <c r="G119" s="188"/>
      <c r="H119" s="188"/>
      <c r="I119" s="188"/>
      <c r="J119" s="275"/>
    </row>
    <row r="120" spans="1:13" s="242" customFormat="1" ht="21.75" customHeight="1" x14ac:dyDescent="0.25">
      <c r="B120" s="168"/>
      <c r="C120" s="166"/>
      <c r="D120" s="188"/>
      <c r="E120" s="188"/>
      <c r="F120" s="188"/>
      <c r="G120" s="188"/>
      <c r="H120" s="188"/>
      <c r="I120" s="188"/>
      <c r="J120" s="275"/>
    </row>
    <row r="121" spans="1:13" s="242" customFormat="1" ht="21.75" customHeight="1" x14ac:dyDescent="0.25">
      <c r="A121" s="321" t="s">
        <v>168</v>
      </c>
      <c r="B121" s="242" t="s">
        <v>128</v>
      </c>
      <c r="C121" s="166">
        <v>1513891.95</v>
      </c>
      <c r="D121" s="188" t="s">
        <v>155</v>
      </c>
      <c r="E121" s="188"/>
      <c r="F121" s="188"/>
      <c r="G121" s="188"/>
      <c r="H121" s="275"/>
    </row>
    <row r="122" spans="1:13" s="242" customFormat="1" ht="21.75" customHeight="1" x14ac:dyDescent="0.25">
      <c r="B122" s="242" t="s">
        <v>363</v>
      </c>
      <c r="C122" s="166">
        <v>20148.55</v>
      </c>
      <c r="D122" s="188" t="s">
        <v>55</v>
      </c>
      <c r="E122" s="188" t="s">
        <v>565</v>
      </c>
      <c r="F122" s="188"/>
      <c r="G122" s="188"/>
      <c r="H122" s="188"/>
      <c r="I122" s="275"/>
    </row>
    <row r="123" spans="1:13" s="242" customFormat="1" ht="21.75" customHeight="1" x14ac:dyDescent="0.25">
      <c r="B123" s="242" t="s">
        <v>566</v>
      </c>
      <c r="C123" s="166">
        <v>1493743.4</v>
      </c>
      <c r="D123" s="188" t="s">
        <v>55</v>
      </c>
      <c r="E123" s="188" t="s">
        <v>563</v>
      </c>
      <c r="F123" s="188"/>
      <c r="G123" s="188"/>
      <c r="H123" s="188"/>
      <c r="I123" s="275"/>
    </row>
    <row r="124" spans="1:13" s="18" customFormat="1" x14ac:dyDescent="0.25">
      <c r="B124" s="25"/>
      <c r="C124" s="158"/>
      <c r="D124" s="21"/>
      <c r="E124" s="19"/>
      <c r="F124" s="19"/>
      <c r="G124" s="21"/>
      <c r="H124" s="21"/>
      <c r="I124" s="21"/>
      <c r="J124" s="22"/>
    </row>
    <row r="125" spans="1:13" s="279" customFormat="1" ht="21.75" customHeight="1" thickBot="1" x14ac:dyDescent="0.3">
      <c r="C125" s="280"/>
      <c r="D125" s="281" t="s">
        <v>780</v>
      </c>
      <c r="E125" s="281"/>
      <c r="F125" s="282"/>
      <c r="G125" s="282"/>
      <c r="H125" s="282"/>
      <c r="I125" s="283"/>
      <c r="J125" s="282"/>
      <c r="K125" s="284"/>
    </row>
    <row r="126" spans="1:13" s="242" customFormat="1" ht="48" thickBot="1" x14ac:dyDescent="0.3">
      <c r="A126" s="285" t="s">
        <v>781</v>
      </c>
      <c r="B126" s="246" t="s">
        <v>40</v>
      </c>
      <c r="C126" s="286" t="s">
        <v>142</v>
      </c>
      <c r="D126" s="247" t="s">
        <v>143</v>
      </c>
      <c r="E126" s="247" t="s">
        <v>144</v>
      </c>
      <c r="F126" s="247" t="s">
        <v>145</v>
      </c>
      <c r="G126" s="246" t="s">
        <v>146</v>
      </c>
      <c r="H126" s="246" t="s">
        <v>20</v>
      </c>
      <c r="I126" s="246" t="s">
        <v>21</v>
      </c>
      <c r="J126" s="246" t="s">
        <v>22</v>
      </c>
      <c r="K126" s="247" t="s">
        <v>147</v>
      </c>
    </row>
    <row r="127" spans="1:13" s="625" customFormat="1" ht="21.75" customHeight="1" x14ac:dyDescent="0.25">
      <c r="A127" s="309" t="s">
        <v>148</v>
      </c>
      <c r="B127" s="288">
        <f>J104</f>
        <v>7829003.4199999999</v>
      </c>
      <c r="C127" s="310" t="s">
        <v>782</v>
      </c>
      <c r="D127" s="290">
        <v>197843652.5</v>
      </c>
      <c r="E127" s="290">
        <v>59250624.420000002</v>
      </c>
      <c r="F127" s="291">
        <v>280456.62</v>
      </c>
      <c r="G127" s="292">
        <f>B127+D127-E127-F127</f>
        <v>146141574.88</v>
      </c>
      <c r="H127" s="291">
        <v>128323280.23999999</v>
      </c>
      <c r="I127" s="262">
        <f>H127/G127*100</f>
        <v>87.807511548557628</v>
      </c>
      <c r="J127" s="262">
        <f>G127-H127</f>
        <v>17818294.640000001</v>
      </c>
      <c r="K127" s="262">
        <f>J127/G127*100</f>
        <v>12.192488451442369</v>
      </c>
    </row>
    <row r="128" spans="1:13" s="625" customFormat="1" ht="21.75" customHeight="1" thickBot="1" x14ac:dyDescent="0.3">
      <c r="A128" s="309" t="s">
        <v>150</v>
      </c>
      <c r="B128" s="292">
        <f>J105</f>
        <v>1582489.169999999</v>
      </c>
      <c r="C128" s="293" t="s">
        <v>783</v>
      </c>
      <c r="D128" s="292">
        <v>17767191.210000001</v>
      </c>
      <c r="E128" s="294">
        <v>8021860.1399999997</v>
      </c>
      <c r="F128" s="294">
        <v>20707.71</v>
      </c>
      <c r="G128" s="292">
        <f>B128+D128-E128-F128</f>
        <v>11307112.529999997</v>
      </c>
      <c r="H128" s="294">
        <v>8639923.3100000005</v>
      </c>
      <c r="I128" s="262">
        <f>H128/G128*100</f>
        <v>76.411402885366016</v>
      </c>
      <c r="J128" s="262">
        <f>G128-H128</f>
        <v>2667189.2199999969</v>
      </c>
      <c r="K128" s="262">
        <f>J128/G128*100</f>
        <v>23.588597114633984</v>
      </c>
      <c r="M128" s="313"/>
    </row>
    <row r="129" spans="1:11" s="616" customFormat="1" ht="21.75" customHeight="1" thickTop="1" thickBot="1" x14ac:dyDescent="0.3">
      <c r="A129" s="296" t="s">
        <v>152</v>
      </c>
      <c r="B129" s="297">
        <f>SUM(B127:B128)</f>
        <v>9411492.5899999999</v>
      </c>
      <c r="C129" s="298"/>
      <c r="D129" s="297">
        <f>SUM(D127:D128)</f>
        <v>215610843.71000001</v>
      </c>
      <c r="E129" s="297">
        <f>SUM(E127:E128)</f>
        <v>67272484.560000002</v>
      </c>
      <c r="F129" s="297">
        <f>SUM(F127:F128)</f>
        <v>301164.33</v>
      </c>
      <c r="G129" s="297">
        <f>SUM(G127:G128)</f>
        <v>157448687.41</v>
      </c>
      <c r="H129" s="297">
        <f>SUM(H127:H128)</f>
        <v>136963203.54999998</v>
      </c>
      <c r="I129" s="299">
        <f>H129/G129*100</f>
        <v>86.98910470643979</v>
      </c>
      <c r="J129" s="299">
        <f>SUM(J127:J128)</f>
        <v>20485483.859999999</v>
      </c>
      <c r="K129" s="299">
        <f>J129/G129*100</f>
        <v>13.010895293560198</v>
      </c>
    </row>
    <row r="130" spans="1:11" s="625" customFormat="1" ht="21.75" customHeight="1" thickTop="1" thickBot="1" x14ac:dyDescent="0.3">
      <c r="A130" s="314" t="s">
        <v>50</v>
      </c>
      <c r="B130" s="315">
        <f>J107</f>
        <v>1513891.95</v>
      </c>
      <c r="C130" s="316" t="s">
        <v>784</v>
      </c>
      <c r="D130" s="317">
        <v>121305043.08</v>
      </c>
      <c r="E130" s="317">
        <v>30202055.829999998</v>
      </c>
      <c r="F130" s="318">
        <v>0</v>
      </c>
      <c r="G130" s="315">
        <f>B130+D130-E130-F130</f>
        <v>92616879.200000003</v>
      </c>
      <c r="H130" s="318">
        <v>92596730.650000006</v>
      </c>
      <c r="I130" s="320">
        <f>H130/G130*100</f>
        <v>99.978245272164173</v>
      </c>
      <c r="J130" s="320">
        <f>G130-H130</f>
        <v>20148.54999999702</v>
      </c>
      <c r="K130" s="317">
        <f>J130/G130*100</f>
        <v>2.1754727835827381E-2</v>
      </c>
    </row>
    <row r="131" spans="1:11" s="616" customFormat="1" ht="21.75" customHeight="1" thickTop="1" thickBot="1" x14ac:dyDescent="0.3">
      <c r="A131" s="296" t="s">
        <v>36</v>
      </c>
      <c r="B131" s="297">
        <f>SUM(B129:B130)</f>
        <v>10925384.539999999</v>
      </c>
      <c r="C131" s="298"/>
      <c r="D131" s="297">
        <f>SUM(D129:D130)</f>
        <v>336915886.79000002</v>
      </c>
      <c r="E131" s="297">
        <f>SUM(E129:E130)</f>
        <v>97474540.390000001</v>
      </c>
      <c r="F131" s="297">
        <f>SUM(F129:F130)</f>
        <v>301164.33</v>
      </c>
      <c r="G131" s="297">
        <f>SUM(G129:G130)</f>
        <v>250065566.61000001</v>
      </c>
      <c r="H131" s="297">
        <f>SUM(H129:H130)</f>
        <v>229559934.19999999</v>
      </c>
      <c r="I131" s="297">
        <f>H131/G131*100</f>
        <v>91.799897647651576</v>
      </c>
      <c r="J131" s="297">
        <f>SUM(J129:J130)</f>
        <v>20505632.409999996</v>
      </c>
      <c r="K131" s="297">
        <f>J131/G131*100</f>
        <v>8.2001023523484129</v>
      </c>
    </row>
    <row r="132" spans="1:11" s="616" customFormat="1" ht="21.75" customHeight="1" thickTop="1" x14ac:dyDescent="0.25">
      <c r="B132" s="617"/>
      <c r="C132" s="653"/>
      <c r="D132" s="617"/>
      <c r="E132" s="617"/>
      <c r="F132" s="617"/>
      <c r="G132" s="617"/>
      <c r="H132" s="617"/>
      <c r="I132" s="617"/>
      <c r="J132" s="617"/>
      <c r="K132" s="617"/>
    </row>
    <row r="133" spans="1:11" s="242" customFormat="1" ht="21.75" customHeight="1" x14ac:dyDescent="0.25">
      <c r="A133" s="321" t="s">
        <v>154</v>
      </c>
      <c r="B133" s="242" t="s">
        <v>128</v>
      </c>
      <c r="C133" s="623">
        <v>17818294.640000001</v>
      </c>
      <c r="D133" s="188" t="s">
        <v>785</v>
      </c>
      <c r="E133" s="188"/>
      <c r="F133" s="188"/>
      <c r="G133" s="188"/>
      <c r="H133" s="188"/>
      <c r="I133" s="188"/>
      <c r="J133" s="188"/>
    </row>
    <row r="134" spans="1:11" s="625" customFormat="1" ht="21.75" customHeight="1" x14ac:dyDescent="0.25">
      <c r="B134" s="625" t="s">
        <v>412</v>
      </c>
      <c r="C134" s="623">
        <v>97439.76</v>
      </c>
      <c r="D134" s="623" t="s">
        <v>786</v>
      </c>
      <c r="E134" s="623" t="s">
        <v>787</v>
      </c>
      <c r="F134" s="623"/>
      <c r="G134" s="623"/>
      <c r="H134" s="623"/>
      <c r="I134" s="623"/>
      <c r="J134" s="624"/>
    </row>
    <row r="135" spans="1:11" s="625" customFormat="1" ht="21.75" customHeight="1" x14ac:dyDescent="0.25">
      <c r="B135" s="625" t="s">
        <v>414</v>
      </c>
      <c r="C135" s="623">
        <v>152684.18</v>
      </c>
      <c r="D135" s="623" t="s">
        <v>786</v>
      </c>
      <c r="E135" s="623" t="s">
        <v>788</v>
      </c>
      <c r="F135" s="623"/>
      <c r="G135" s="623"/>
      <c r="H135" s="623"/>
      <c r="I135" s="623"/>
      <c r="J135" s="624"/>
    </row>
    <row r="136" spans="1:11" s="625" customFormat="1" ht="21.75" customHeight="1" x14ac:dyDescent="0.25">
      <c r="B136" s="625" t="s">
        <v>416</v>
      </c>
      <c r="C136" s="623">
        <v>3233.7</v>
      </c>
      <c r="D136" s="623" t="s">
        <v>786</v>
      </c>
      <c r="E136" s="188" t="s">
        <v>788</v>
      </c>
      <c r="F136" s="623"/>
      <c r="G136" s="623"/>
      <c r="H136" s="623"/>
      <c r="I136" s="623"/>
      <c r="J136" s="624"/>
    </row>
    <row r="137" spans="1:11" s="625" customFormat="1" ht="21.75" customHeight="1" x14ac:dyDescent="0.25">
      <c r="B137" s="625" t="s">
        <v>560</v>
      </c>
      <c r="C137" s="623">
        <v>11865.44</v>
      </c>
      <c r="D137" s="623" t="s">
        <v>786</v>
      </c>
      <c r="E137" s="188" t="s">
        <v>789</v>
      </c>
      <c r="F137" s="623"/>
      <c r="G137" s="623"/>
      <c r="H137" s="623"/>
      <c r="I137" s="623"/>
      <c r="J137" s="624"/>
    </row>
    <row r="138" spans="1:11" s="242" customFormat="1" ht="21.75" customHeight="1" x14ac:dyDescent="0.25">
      <c r="B138" s="625" t="s">
        <v>562</v>
      </c>
      <c r="C138" s="623">
        <v>32442.81</v>
      </c>
      <c r="D138" s="623" t="s">
        <v>786</v>
      </c>
      <c r="E138" s="188" t="s">
        <v>789</v>
      </c>
      <c r="F138" s="623"/>
      <c r="G138" s="188"/>
      <c r="H138" s="188"/>
      <c r="I138" s="188"/>
      <c r="J138" s="275"/>
    </row>
    <row r="139" spans="1:11" s="242" customFormat="1" ht="21.75" customHeight="1" x14ac:dyDescent="0.25">
      <c r="B139" s="242" t="s">
        <v>790</v>
      </c>
      <c r="C139" s="623">
        <v>17520628.75</v>
      </c>
      <c r="D139" s="188" t="s">
        <v>786</v>
      </c>
      <c r="E139" s="188" t="s">
        <v>791</v>
      </c>
      <c r="F139" s="623"/>
      <c r="G139" s="188"/>
      <c r="H139" s="188"/>
      <c r="I139" s="188"/>
      <c r="J139" s="275"/>
    </row>
    <row r="140" spans="1:11" s="242" customFormat="1" ht="21.75" customHeight="1" x14ac:dyDescent="0.25">
      <c r="C140" s="623"/>
      <c r="D140" s="188"/>
      <c r="E140" s="188"/>
      <c r="F140" s="623"/>
      <c r="G140" s="188"/>
      <c r="H140" s="188"/>
      <c r="I140" s="188"/>
      <c r="J140" s="275"/>
    </row>
    <row r="141" spans="1:11" s="242" customFormat="1" ht="21.75" customHeight="1" x14ac:dyDescent="0.25">
      <c r="A141" s="321" t="s">
        <v>165</v>
      </c>
      <c r="B141" s="242" t="s">
        <v>128</v>
      </c>
      <c r="C141" s="623">
        <v>2667189.2200000002</v>
      </c>
      <c r="D141" s="188" t="s">
        <v>786</v>
      </c>
      <c r="G141" s="188"/>
      <c r="H141" s="188"/>
      <c r="I141" s="188"/>
      <c r="J141" s="275"/>
    </row>
    <row r="142" spans="1:11" s="242" customFormat="1" ht="21.75" customHeight="1" x14ac:dyDescent="0.25">
      <c r="B142" s="242" t="s">
        <v>792</v>
      </c>
      <c r="C142" s="623">
        <v>2667189.2200000002</v>
      </c>
      <c r="D142" s="188" t="s">
        <v>786</v>
      </c>
      <c r="E142" s="188" t="s">
        <v>793</v>
      </c>
      <c r="F142" s="188"/>
      <c r="G142" s="188"/>
      <c r="H142" s="188"/>
      <c r="I142" s="188"/>
      <c r="J142" s="275"/>
    </row>
    <row r="143" spans="1:11" s="242" customFormat="1" ht="21.75" customHeight="1" x14ac:dyDescent="0.25">
      <c r="B143" s="625"/>
      <c r="C143" s="623"/>
      <c r="D143" s="188"/>
      <c r="E143" s="188"/>
      <c r="F143" s="188"/>
      <c r="G143" s="188"/>
      <c r="H143" s="188"/>
      <c r="I143" s="188"/>
      <c r="J143" s="275"/>
    </row>
    <row r="144" spans="1:11" s="242" customFormat="1" ht="21.75" customHeight="1" x14ac:dyDescent="0.25">
      <c r="A144" s="321" t="s">
        <v>168</v>
      </c>
      <c r="B144" s="242" t="s">
        <v>128</v>
      </c>
      <c r="C144" s="623">
        <v>20148.55</v>
      </c>
      <c r="D144" s="188" t="s">
        <v>785</v>
      </c>
      <c r="E144" s="188"/>
      <c r="F144" s="188"/>
      <c r="G144" s="188"/>
      <c r="H144" s="275"/>
    </row>
    <row r="145" spans="1:13" s="242" customFormat="1" ht="21.75" customHeight="1" x14ac:dyDescent="0.25">
      <c r="B145" s="242" t="s">
        <v>363</v>
      </c>
      <c r="C145" s="623">
        <v>20148.55</v>
      </c>
      <c r="D145" s="188" t="s">
        <v>786</v>
      </c>
      <c r="E145" s="188" t="s">
        <v>794</v>
      </c>
      <c r="F145" s="188"/>
      <c r="G145" s="188"/>
      <c r="H145" s="188"/>
      <c r="I145" s="275"/>
    </row>
    <row r="146" spans="1:13" s="242" customFormat="1" ht="21.75" customHeight="1" x14ac:dyDescent="0.25">
      <c r="C146" s="623"/>
      <c r="D146" s="188"/>
      <c r="E146" s="188"/>
      <c r="F146" s="188"/>
      <c r="G146" s="188"/>
      <c r="H146" s="188"/>
      <c r="I146" s="275"/>
    </row>
    <row r="147" spans="1:13" s="279" customFormat="1" ht="21.75" customHeight="1" thickBot="1" x14ac:dyDescent="0.3">
      <c r="C147" s="280"/>
      <c r="D147" s="281" t="s">
        <v>903</v>
      </c>
      <c r="E147" s="281"/>
      <c r="F147" s="282"/>
      <c r="G147" s="282"/>
      <c r="H147" s="282"/>
      <c r="I147" s="283"/>
      <c r="J147" s="282"/>
      <c r="K147" s="284"/>
    </row>
    <row r="148" spans="1:13" s="242" customFormat="1" ht="48" thickBot="1" x14ac:dyDescent="0.3">
      <c r="A148" s="285" t="s">
        <v>904</v>
      </c>
      <c r="B148" s="246" t="s">
        <v>40</v>
      </c>
      <c r="C148" s="286" t="s">
        <v>142</v>
      </c>
      <c r="D148" s="247" t="s">
        <v>143</v>
      </c>
      <c r="E148" s="247" t="s">
        <v>144</v>
      </c>
      <c r="F148" s="247" t="s">
        <v>145</v>
      </c>
      <c r="G148" s="246" t="s">
        <v>146</v>
      </c>
      <c r="H148" s="246" t="s">
        <v>20</v>
      </c>
      <c r="I148" s="246" t="s">
        <v>21</v>
      </c>
      <c r="J148" s="246" t="s">
        <v>22</v>
      </c>
      <c r="K148" s="247" t="s">
        <v>147</v>
      </c>
    </row>
    <row r="149" spans="1:13" s="625" customFormat="1" ht="21.75" customHeight="1" x14ac:dyDescent="0.25">
      <c r="A149" s="309" t="s">
        <v>148</v>
      </c>
      <c r="B149" s="288">
        <f>J127</f>
        <v>17818294.640000001</v>
      </c>
      <c r="C149" s="310" t="s">
        <v>783</v>
      </c>
      <c r="D149" s="290">
        <v>135722810.24000001</v>
      </c>
      <c r="E149" s="290">
        <v>45925139.390000001</v>
      </c>
      <c r="F149" s="291">
        <v>453160.91</v>
      </c>
      <c r="G149" s="288">
        <f>B149+D149-E149-F149</f>
        <v>107162804.58</v>
      </c>
      <c r="H149" s="291">
        <v>100347889.45</v>
      </c>
      <c r="I149" s="262">
        <f>H149/G149*100</f>
        <v>93.640596514145471</v>
      </c>
      <c r="J149" s="262">
        <f>G149-H149</f>
        <v>6814915.1299999952</v>
      </c>
      <c r="K149" s="262">
        <f>J149/G149*100</f>
        <v>6.3594034858545267</v>
      </c>
    </row>
    <row r="150" spans="1:13" s="625" customFormat="1" ht="21.75" customHeight="1" thickBot="1" x14ac:dyDescent="0.3">
      <c r="A150" s="309" t="s">
        <v>150</v>
      </c>
      <c r="B150" s="292">
        <f>J128</f>
        <v>2667189.2199999969</v>
      </c>
      <c r="C150" s="293" t="s">
        <v>905</v>
      </c>
      <c r="D150" s="292">
        <v>16763411.82</v>
      </c>
      <c r="E150" s="294">
        <v>5367177.08</v>
      </c>
      <c r="F150" s="294">
        <v>23353.42</v>
      </c>
      <c r="G150" s="292">
        <f>B150+D150-E150-F150</f>
        <v>14040070.539999999</v>
      </c>
      <c r="H150" s="294">
        <v>9185164.8699999992</v>
      </c>
      <c r="I150" s="262">
        <f>H150/G150*100</f>
        <v>65.421073518338602</v>
      </c>
      <c r="J150" s="262">
        <f>G150-H150</f>
        <v>4854905.67</v>
      </c>
      <c r="K150" s="262">
        <f>J150/G150*100</f>
        <v>34.578926481661398</v>
      </c>
      <c r="M150" s="313"/>
    </row>
    <row r="151" spans="1:13" s="616" customFormat="1" ht="21.75" customHeight="1" thickTop="1" thickBot="1" x14ac:dyDescent="0.3">
      <c r="A151" s="296" t="s">
        <v>152</v>
      </c>
      <c r="B151" s="297">
        <f>SUM(B149:B150)</f>
        <v>20485483.859999999</v>
      </c>
      <c r="C151" s="298"/>
      <c r="D151" s="297">
        <f>SUM(D149:D150)</f>
        <v>152486222.06</v>
      </c>
      <c r="E151" s="297">
        <f>SUM(E149:E150)</f>
        <v>51292316.469999999</v>
      </c>
      <c r="F151" s="297">
        <f>SUM(F149:F150)</f>
        <v>476514.32999999996</v>
      </c>
      <c r="G151" s="297">
        <f>SUM(G149:G150)</f>
        <v>121202875.12</v>
      </c>
      <c r="H151" s="297">
        <f>SUM(H149:H150)</f>
        <v>109533054.32000001</v>
      </c>
      <c r="I151" s="299">
        <f>H151/G151*100</f>
        <v>90.371663387979879</v>
      </c>
      <c r="J151" s="299">
        <f>SUM(J149:J150)</f>
        <v>11669820.799999995</v>
      </c>
      <c r="K151" s="299">
        <f>J151/G151*100</f>
        <v>9.6283366120201279</v>
      </c>
    </row>
    <row r="152" spans="1:13" s="625" customFormat="1" ht="21.75" customHeight="1" thickTop="1" thickBot="1" x14ac:dyDescent="0.3">
      <c r="A152" s="314" t="s">
        <v>50</v>
      </c>
      <c r="B152" s="315">
        <f>J129</f>
        <v>20485483.859999999</v>
      </c>
      <c r="C152" s="316" t="s">
        <v>783</v>
      </c>
      <c r="D152" s="317">
        <f>114153295.04+2942122.63</f>
        <v>117095417.67</v>
      </c>
      <c r="E152" s="317">
        <v>5145869.0199999996</v>
      </c>
      <c r="F152" s="318">
        <v>187524.24</v>
      </c>
      <c r="G152" s="319">
        <f>B152+D152-E152-F152</f>
        <v>132247508.27000001</v>
      </c>
      <c r="H152" s="318">
        <v>108819901.59999999</v>
      </c>
      <c r="I152" s="320">
        <f>H152/G152*100</f>
        <v>82.285029807768026</v>
      </c>
      <c r="J152" s="320">
        <f>G152-H152</f>
        <v>23427606.670000017</v>
      </c>
      <c r="K152" s="317">
        <f>J152/G152*100</f>
        <v>17.714970192231974</v>
      </c>
    </row>
    <row r="153" spans="1:13" s="616" customFormat="1" ht="21.75" customHeight="1" thickTop="1" thickBot="1" x14ac:dyDescent="0.3">
      <c r="A153" s="296" t="s">
        <v>36</v>
      </c>
      <c r="B153" s="297">
        <f>SUM(B151:B152)</f>
        <v>40970967.719999999</v>
      </c>
      <c r="C153" s="298"/>
      <c r="D153" s="297">
        <f>SUM(D151:D152)</f>
        <v>269581639.73000002</v>
      </c>
      <c r="E153" s="297">
        <f>SUM(E151:E152)</f>
        <v>56438185.489999995</v>
      </c>
      <c r="F153" s="297">
        <f>SUM(F151:F152)</f>
        <v>664038.56999999995</v>
      </c>
      <c r="G153" s="297">
        <f>SUM(G151:G152)</f>
        <v>253450383.39000002</v>
      </c>
      <c r="H153" s="297">
        <f>SUM(H151:H152)</f>
        <v>218352955.92000002</v>
      </c>
      <c r="I153" s="297">
        <f>H153/G153*100</f>
        <v>86.152150570633239</v>
      </c>
      <c r="J153" s="297">
        <f>SUM(J151:J152)</f>
        <v>35097427.470000014</v>
      </c>
      <c r="K153" s="297">
        <f>J153/G153*100</f>
        <v>13.847849429366773</v>
      </c>
    </row>
    <row r="154" spans="1:13" s="616" customFormat="1" ht="21.75" customHeight="1" thickTop="1" thickBot="1" x14ac:dyDescent="0.3">
      <c r="B154" s="617"/>
      <c r="C154" s="711"/>
      <c r="D154" s="617"/>
      <c r="E154" s="617"/>
      <c r="F154" s="617"/>
      <c r="G154" s="617"/>
      <c r="H154" s="617"/>
      <c r="I154" s="617"/>
      <c r="J154" s="617"/>
      <c r="K154" s="617"/>
    </row>
    <row r="155" spans="1:13" s="242" customFormat="1" ht="48" thickBot="1" x14ac:dyDescent="0.3">
      <c r="A155" s="285" t="s">
        <v>906</v>
      </c>
      <c r="B155" s="246" t="s">
        <v>40</v>
      </c>
      <c r="C155" s="286" t="s">
        <v>142</v>
      </c>
      <c r="D155" s="247" t="s">
        <v>143</v>
      </c>
      <c r="E155" s="247" t="s">
        <v>144</v>
      </c>
      <c r="F155" s="247" t="s">
        <v>145</v>
      </c>
      <c r="G155" s="246" t="s">
        <v>146</v>
      </c>
      <c r="H155" s="246" t="s">
        <v>20</v>
      </c>
      <c r="I155" s="246" t="s">
        <v>21</v>
      </c>
      <c r="J155" s="246" t="s">
        <v>22</v>
      </c>
      <c r="K155" s="247" t="s">
        <v>147</v>
      </c>
    </row>
    <row r="156" spans="1:13" s="625" customFormat="1" ht="21.75" customHeight="1" x14ac:dyDescent="0.25">
      <c r="A156" s="309" t="s">
        <v>148</v>
      </c>
      <c r="B156" s="288">
        <v>6814915.1299999999</v>
      </c>
      <c r="C156" s="310" t="s">
        <v>905</v>
      </c>
      <c r="D156" s="290">
        <v>187805973.21000001</v>
      </c>
      <c r="E156" s="290">
        <v>38292391.710000001</v>
      </c>
      <c r="F156" s="291">
        <v>280994.27</v>
      </c>
      <c r="G156" s="288">
        <f>B156+D156-E156-F156</f>
        <v>156047502.35999998</v>
      </c>
      <c r="H156" s="291">
        <v>139828700.63</v>
      </c>
      <c r="I156" s="262">
        <f>H156/G156*100</f>
        <v>89.606497069986176</v>
      </c>
      <c r="J156" s="262">
        <f>G156-H156</f>
        <v>16218801.729999989</v>
      </c>
      <c r="K156" s="262">
        <f>J156/G156*100</f>
        <v>10.393502930013824</v>
      </c>
    </row>
    <row r="157" spans="1:13" s="625" customFormat="1" ht="21.75" customHeight="1" thickBot="1" x14ac:dyDescent="0.3">
      <c r="A157" s="309" t="s">
        <v>150</v>
      </c>
      <c r="B157" s="292">
        <v>4854905.67</v>
      </c>
      <c r="C157" s="293" t="s">
        <v>907</v>
      </c>
      <c r="D157" s="292">
        <v>0</v>
      </c>
      <c r="E157" s="294">
        <v>0</v>
      </c>
      <c r="F157" s="294">
        <v>5185.3500000000004</v>
      </c>
      <c r="G157" s="292">
        <f>B157+D157-E157-F157</f>
        <v>4849720.32</v>
      </c>
      <c r="H157" s="294">
        <v>4634562.8</v>
      </c>
      <c r="I157" s="262">
        <f>H157/G157*100</f>
        <v>95.563506639492147</v>
      </c>
      <c r="J157" s="262">
        <f>G157-H157</f>
        <v>215157.52000000048</v>
      </c>
      <c r="K157" s="262">
        <f>J157/G157*100</f>
        <v>4.4364933605078587</v>
      </c>
      <c r="M157" s="313"/>
    </row>
    <row r="158" spans="1:13" s="616" customFormat="1" ht="21.75" customHeight="1" thickTop="1" thickBot="1" x14ac:dyDescent="0.3">
      <c r="A158" s="296" t="s">
        <v>152</v>
      </c>
      <c r="B158" s="297">
        <f>SUM(B156:B157)</f>
        <v>11669820.800000001</v>
      </c>
      <c r="C158" s="298"/>
      <c r="D158" s="297">
        <f>SUM(D156:D157)</f>
        <v>187805973.21000001</v>
      </c>
      <c r="E158" s="297">
        <f>SUM(E156:E157)</f>
        <v>38292391.710000001</v>
      </c>
      <c r="F158" s="297">
        <f>SUM(F156:F157)</f>
        <v>286179.62</v>
      </c>
      <c r="G158" s="297">
        <f>SUM(G156:G157)</f>
        <v>160897222.67999998</v>
      </c>
      <c r="H158" s="297">
        <f>SUM(H156:H157)</f>
        <v>144463263.43000001</v>
      </c>
      <c r="I158" s="299">
        <f>H158/G158*100</f>
        <v>89.786051632050473</v>
      </c>
      <c r="J158" s="299">
        <f>SUM(J156:J157)</f>
        <v>16433959.249999989</v>
      </c>
      <c r="K158" s="299">
        <f>J158/G158*100</f>
        <v>10.213948367949536</v>
      </c>
    </row>
    <row r="159" spans="1:13" s="625" customFormat="1" ht="21.75" customHeight="1" thickTop="1" thickBot="1" x14ac:dyDescent="0.3">
      <c r="A159" s="314" t="s">
        <v>50</v>
      </c>
      <c r="B159" s="315">
        <v>2962271.3600000143</v>
      </c>
      <c r="C159" s="316" t="s">
        <v>905</v>
      </c>
      <c r="D159" s="317">
        <f>84242294.25-1341859.94</f>
        <v>82900434.310000002</v>
      </c>
      <c r="E159" s="317">
        <v>10102359.43</v>
      </c>
      <c r="F159" s="318"/>
      <c r="G159" s="319">
        <f>B159+D159-E159-F159</f>
        <v>75760346.24000001</v>
      </c>
      <c r="H159" s="318">
        <v>74139934.819999963</v>
      </c>
      <c r="I159" s="320">
        <f>H159/G159*100</f>
        <v>97.861135144674805</v>
      </c>
      <c r="J159" s="320">
        <v>1620411.4200000465</v>
      </c>
      <c r="K159" s="317">
        <f>J159/G159*100</f>
        <v>2.1388648553251994</v>
      </c>
    </row>
    <row r="160" spans="1:13" s="616" customFormat="1" ht="21.75" customHeight="1" thickTop="1" thickBot="1" x14ac:dyDescent="0.3">
      <c r="A160" s="296" t="s">
        <v>36</v>
      </c>
      <c r="B160" s="297">
        <f>SUM(B158:B159)</f>
        <v>14632092.160000015</v>
      </c>
      <c r="C160" s="298"/>
      <c r="D160" s="297">
        <f>SUM(D158:D159)</f>
        <v>270706407.51999998</v>
      </c>
      <c r="E160" s="297">
        <f t="shared" ref="E160:H160" si="1">SUM(E158:E159)</f>
        <v>48394751.140000001</v>
      </c>
      <c r="F160" s="297">
        <f t="shared" si="1"/>
        <v>286179.62</v>
      </c>
      <c r="G160" s="297">
        <f t="shared" si="1"/>
        <v>236657568.91999999</v>
      </c>
      <c r="H160" s="297">
        <f t="shared" si="1"/>
        <v>218603198.24999997</v>
      </c>
      <c r="I160" s="297">
        <f>H160/G160*100</f>
        <v>92.371099410683485</v>
      </c>
      <c r="J160" s="297">
        <f>SUM(J158:J159)</f>
        <v>18054370.670000035</v>
      </c>
      <c r="K160" s="297">
        <f>J160/G160*100</f>
        <v>7.6289005893165225</v>
      </c>
    </row>
    <row r="161" spans="1:11" s="616" customFormat="1" ht="11.25" customHeight="1" thickTop="1" x14ac:dyDescent="0.25">
      <c r="B161" s="617"/>
      <c r="C161" s="711"/>
      <c r="D161" s="617"/>
      <c r="E161" s="617"/>
      <c r="F161" s="617"/>
      <c r="G161" s="617"/>
      <c r="H161" s="617"/>
      <c r="I161" s="617"/>
      <c r="J161" s="617"/>
      <c r="K161" s="617"/>
    </row>
    <row r="162" spans="1:11" s="242" customFormat="1" ht="27.75" customHeight="1" x14ac:dyDescent="0.25">
      <c r="A162" s="321" t="s">
        <v>37</v>
      </c>
      <c r="B162" s="616" t="s">
        <v>908</v>
      </c>
      <c r="C162" s="616"/>
      <c r="D162" s="617"/>
      <c r="E162" s="617"/>
      <c r="F162" s="617"/>
      <c r="G162" s="617"/>
      <c r="H162" s="188"/>
      <c r="I162" s="188"/>
      <c r="J162" s="188"/>
    </row>
    <row r="163" spans="1:11" s="242" customFormat="1" ht="21.75" customHeight="1" x14ac:dyDescent="0.25">
      <c r="A163" s="321" t="s">
        <v>154</v>
      </c>
      <c r="B163" s="242" t="s">
        <v>128</v>
      </c>
      <c r="C163" s="322">
        <f>SUM(C164:C171)</f>
        <v>16218801.729999993</v>
      </c>
      <c r="D163" s="188" t="s">
        <v>155</v>
      </c>
      <c r="E163" s="188"/>
      <c r="F163" s="188"/>
      <c r="G163" s="188"/>
      <c r="H163" s="188"/>
      <c r="I163" s="188"/>
      <c r="J163" s="188"/>
    </row>
    <row r="164" spans="1:11" s="625" customFormat="1" ht="21.75" customHeight="1" x14ac:dyDescent="0.25">
      <c r="B164" s="625" t="s">
        <v>412</v>
      </c>
      <c r="C164" s="623">
        <v>15743.54</v>
      </c>
      <c r="D164" s="623" t="s">
        <v>55</v>
      </c>
      <c r="E164" s="623" t="s">
        <v>413</v>
      </c>
      <c r="F164" s="623"/>
      <c r="G164" s="623"/>
      <c r="H164" s="623"/>
      <c r="I164" s="623"/>
      <c r="J164" s="624"/>
    </row>
    <row r="165" spans="1:11" s="625" customFormat="1" ht="21.75" customHeight="1" x14ac:dyDescent="0.25">
      <c r="B165" s="625" t="s">
        <v>414</v>
      </c>
      <c r="C165" s="623">
        <v>60613.61</v>
      </c>
      <c r="D165" s="623" t="s">
        <v>55</v>
      </c>
      <c r="E165" s="623" t="s">
        <v>559</v>
      </c>
      <c r="F165" s="623"/>
      <c r="G165" s="623"/>
      <c r="H165" s="623"/>
      <c r="I165" s="623"/>
      <c r="J165" s="624"/>
    </row>
    <row r="166" spans="1:11" s="625" customFormat="1" ht="21.75" customHeight="1" x14ac:dyDescent="0.25">
      <c r="B166" s="625" t="s">
        <v>416</v>
      </c>
      <c r="C166" s="623">
        <v>3233.7</v>
      </c>
      <c r="D166" s="623" t="s">
        <v>55</v>
      </c>
      <c r="E166" s="188" t="s">
        <v>559</v>
      </c>
      <c r="F166" s="623"/>
      <c r="G166" s="623"/>
      <c r="H166" s="623"/>
      <c r="I166" s="623"/>
      <c r="J166" s="624"/>
    </row>
    <row r="167" spans="1:11" s="625" customFormat="1" ht="21.75" customHeight="1" x14ac:dyDescent="0.25">
      <c r="B167" s="625" t="s">
        <v>909</v>
      </c>
      <c r="C167" s="623">
        <v>797664.46</v>
      </c>
      <c r="D167" s="623" t="s">
        <v>55</v>
      </c>
      <c r="E167" s="188" t="s">
        <v>910</v>
      </c>
      <c r="F167" s="623"/>
      <c r="G167" s="623"/>
      <c r="H167" s="623"/>
      <c r="I167" s="623"/>
      <c r="J167" s="624"/>
    </row>
    <row r="168" spans="1:11" s="625" customFormat="1" ht="21.75" customHeight="1" x14ac:dyDescent="0.25">
      <c r="C168" s="623"/>
      <c r="D168" s="623"/>
      <c r="E168" s="188" t="s">
        <v>911</v>
      </c>
      <c r="F168" s="623"/>
      <c r="G168" s="623"/>
      <c r="H168" s="623"/>
      <c r="I168" s="623"/>
      <c r="J168" s="624"/>
    </row>
    <row r="169" spans="1:11" s="242" customFormat="1" ht="21.75" customHeight="1" x14ac:dyDescent="0.25">
      <c r="B169" s="625" t="s">
        <v>912</v>
      </c>
      <c r="C169" s="623">
        <v>201760.01</v>
      </c>
      <c r="D169" s="623" t="s">
        <v>55</v>
      </c>
      <c r="E169" s="188" t="s">
        <v>913</v>
      </c>
      <c r="F169" s="623"/>
      <c r="G169" s="188"/>
      <c r="H169" s="188"/>
      <c r="I169" s="188"/>
      <c r="J169" s="275"/>
    </row>
    <row r="170" spans="1:11" s="242" customFormat="1" ht="21.75" customHeight="1" x14ac:dyDescent="0.25">
      <c r="B170" s="625"/>
      <c r="C170" s="623"/>
      <c r="D170" s="623"/>
      <c r="E170" s="188" t="s">
        <v>914</v>
      </c>
      <c r="F170" s="623"/>
      <c r="G170" s="188"/>
      <c r="H170" s="188"/>
      <c r="I170" s="188"/>
      <c r="J170" s="275"/>
    </row>
    <row r="171" spans="1:11" s="242" customFormat="1" ht="21.75" customHeight="1" x14ac:dyDescent="0.25">
      <c r="B171" s="625" t="s">
        <v>915</v>
      </c>
      <c r="C171" s="623">
        <v>15139786.409999993</v>
      </c>
      <c r="D171" s="623" t="s">
        <v>55</v>
      </c>
      <c r="E171" s="188" t="s">
        <v>916</v>
      </c>
      <c r="F171" s="623"/>
      <c r="G171" s="188"/>
      <c r="H171" s="188"/>
      <c r="I171" s="188"/>
      <c r="J171" s="275"/>
    </row>
    <row r="172" spans="1:11" s="242" customFormat="1" ht="21.75" customHeight="1" x14ac:dyDescent="0.25">
      <c r="B172" s="625"/>
      <c r="C172" s="623"/>
      <c r="D172" s="623"/>
      <c r="E172" s="188"/>
      <c r="F172" s="623"/>
      <c r="G172" s="188"/>
      <c r="H172" s="188"/>
      <c r="I172" s="188"/>
      <c r="J172" s="275"/>
    </row>
    <row r="173" spans="1:11" s="242" customFormat="1" ht="21.75" customHeight="1" x14ac:dyDescent="0.25">
      <c r="A173" s="321" t="s">
        <v>165</v>
      </c>
      <c r="B173" s="242" t="s">
        <v>128</v>
      </c>
      <c r="C173" s="322">
        <v>215157.49</v>
      </c>
      <c r="D173" s="188" t="s">
        <v>55</v>
      </c>
      <c r="G173" s="188"/>
      <c r="H173" s="188"/>
      <c r="I173" s="188"/>
      <c r="J173" s="275"/>
    </row>
    <row r="174" spans="1:11" s="242" customFormat="1" ht="21.75" customHeight="1" x14ac:dyDescent="0.25">
      <c r="B174" s="242" t="s">
        <v>917</v>
      </c>
      <c r="C174" s="188">
        <v>215157.49</v>
      </c>
      <c r="D174" s="188" t="s">
        <v>55</v>
      </c>
      <c r="E174" s="188" t="s">
        <v>918</v>
      </c>
      <c r="F174" s="188"/>
      <c r="G174" s="188"/>
      <c r="H174" s="188"/>
      <c r="I174" s="188"/>
      <c r="J174" s="275"/>
    </row>
    <row r="175" spans="1:11" s="242" customFormat="1" ht="21.75" customHeight="1" x14ac:dyDescent="0.25">
      <c r="B175" s="625"/>
      <c r="C175" s="322"/>
      <c r="D175" s="188"/>
      <c r="E175" s="188"/>
      <c r="F175" s="188"/>
      <c r="G175" s="188"/>
      <c r="H175" s="188"/>
      <c r="I175" s="188"/>
      <c r="J175" s="275"/>
    </row>
    <row r="176" spans="1:11" s="242" customFormat="1" ht="21.75" customHeight="1" x14ac:dyDescent="0.25">
      <c r="A176" s="321" t="s">
        <v>168</v>
      </c>
      <c r="B176" s="242" t="s">
        <v>128</v>
      </c>
      <c r="C176" s="188">
        <v>1620411.42</v>
      </c>
      <c r="D176" s="188" t="s">
        <v>155</v>
      </c>
      <c r="E176" s="188"/>
      <c r="F176" s="188"/>
      <c r="G176" s="188"/>
      <c r="H176" s="275"/>
    </row>
    <row r="177" spans="1:13" s="242" customFormat="1" ht="21.75" customHeight="1" x14ac:dyDescent="0.25">
      <c r="B177" s="242" t="s">
        <v>363</v>
      </c>
      <c r="C177" s="188">
        <v>20148.55</v>
      </c>
      <c r="D177" s="188" t="s">
        <v>55</v>
      </c>
      <c r="E177" s="188" t="s">
        <v>919</v>
      </c>
      <c r="F177" s="188"/>
      <c r="G177" s="188"/>
      <c r="H177" s="188"/>
      <c r="I177" s="275"/>
    </row>
    <row r="178" spans="1:13" s="242" customFormat="1" ht="21.75" customHeight="1" x14ac:dyDescent="0.25">
      <c r="B178" s="242" t="s">
        <v>920</v>
      </c>
      <c r="C178" s="188">
        <v>1600262.8699999999</v>
      </c>
      <c r="D178" s="188" t="s">
        <v>55</v>
      </c>
      <c r="E178" s="188" t="s">
        <v>921</v>
      </c>
      <c r="F178" s="188"/>
      <c r="G178" s="188"/>
      <c r="H178" s="188"/>
      <c r="I178" s="275"/>
    </row>
    <row r="179" spans="1:13" s="33" customFormat="1" x14ac:dyDescent="0.25">
      <c r="B179" s="38"/>
      <c r="C179" s="137"/>
      <c r="D179" s="38"/>
      <c r="E179" s="38"/>
      <c r="F179" s="38"/>
      <c r="G179" s="38"/>
      <c r="H179" s="38"/>
      <c r="I179" s="68"/>
      <c r="J179" s="68"/>
      <c r="K179" s="68"/>
    </row>
    <row r="180" spans="1:13" s="18" customFormat="1" x14ac:dyDescent="0.25">
      <c r="A180" s="83"/>
      <c r="B180" s="113"/>
      <c r="C180" s="112"/>
      <c r="D180" s="84"/>
      <c r="E180" s="84"/>
      <c r="F180" s="109"/>
      <c r="G180" s="83"/>
      <c r="H180" s="83"/>
      <c r="I180" s="83"/>
      <c r="J180" s="83"/>
      <c r="K180" s="84"/>
    </row>
    <row r="181" spans="1:13" s="279" customFormat="1" ht="21.75" customHeight="1" thickBot="1" x14ac:dyDescent="0.3">
      <c r="C181" s="280"/>
      <c r="D181" s="281" t="s">
        <v>996</v>
      </c>
      <c r="E181" s="281"/>
      <c r="F181" s="282"/>
      <c r="G181" s="282"/>
      <c r="H181" s="282"/>
      <c r="I181" s="283"/>
      <c r="J181" s="282"/>
      <c r="K181" s="284"/>
    </row>
    <row r="182" spans="1:13" s="242" customFormat="1" ht="48" thickBot="1" x14ac:dyDescent="0.3">
      <c r="A182" s="285" t="s">
        <v>997</v>
      </c>
      <c r="B182" s="246" t="s">
        <v>40</v>
      </c>
      <c r="C182" s="286" t="s">
        <v>142</v>
      </c>
      <c r="D182" s="247" t="s">
        <v>143</v>
      </c>
      <c r="E182" s="247" t="s">
        <v>144</v>
      </c>
      <c r="F182" s="247" t="s">
        <v>145</v>
      </c>
      <c r="G182" s="246" t="s">
        <v>146</v>
      </c>
      <c r="H182" s="246" t="s">
        <v>20</v>
      </c>
      <c r="I182" s="246" t="s">
        <v>21</v>
      </c>
      <c r="J182" s="246" t="s">
        <v>22</v>
      </c>
      <c r="K182" s="247" t="s">
        <v>147</v>
      </c>
    </row>
    <row r="183" spans="1:13" s="625" customFormat="1" ht="21.75" customHeight="1" x14ac:dyDescent="0.25">
      <c r="A183" s="309" t="s">
        <v>148</v>
      </c>
      <c r="B183" s="288">
        <v>16218801.729999989</v>
      </c>
      <c r="C183" s="310" t="s">
        <v>905</v>
      </c>
      <c r="D183" s="290">
        <v>0</v>
      </c>
      <c r="E183" s="290">
        <v>0</v>
      </c>
      <c r="F183" s="291">
        <v>0</v>
      </c>
      <c r="G183" s="288">
        <f>B183+D183-E183-F183</f>
        <v>16218801.729999989</v>
      </c>
      <c r="H183" s="291">
        <v>0</v>
      </c>
      <c r="I183" s="262">
        <f>H183/G183*100</f>
        <v>0</v>
      </c>
      <c r="J183" s="262">
        <f>G183-H183</f>
        <v>16218801.729999989</v>
      </c>
      <c r="K183" s="262">
        <f>J183/G183*100</f>
        <v>100</v>
      </c>
    </row>
    <row r="184" spans="1:13" s="625" customFormat="1" ht="21.75" customHeight="1" thickBot="1" x14ac:dyDescent="0.3">
      <c r="A184" s="309" t="s">
        <v>150</v>
      </c>
      <c r="B184" s="292">
        <v>215157.52000000048</v>
      </c>
      <c r="C184" s="293" t="s">
        <v>998</v>
      </c>
      <c r="D184" s="292">
        <v>17125438.41</v>
      </c>
      <c r="E184" s="294">
        <v>7424011.1600000001</v>
      </c>
      <c r="F184" s="294">
        <v>10654.75</v>
      </c>
      <c r="G184" s="292">
        <f>B184+D184-E184-F184</f>
        <v>9905930.0199999996</v>
      </c>
      <c r="H184" s="294">
        <v>8371554.3200000003</v>
      </c>
      <c r="I184" s="262">
        <f>H184/G184*100</f>
        <v>84.510533620749328</v>
      </c>
      <c r="J184" s="262">
        <f>G184-H184</f>
        <v>1534375.6999999993</v>
      </c>
      <c r="K184" s="262">
        <f>J184/G184*100</f>
        <v>15.489466379250672</v>
      </c>
      <c r="M184" s="313"/>
    </row>
    <row r="185" spans="1:13" s="616" customFormat="1" ht="21.75" customHeight="1" thickTop="1" thickBot="1" x14ac:dyDescent="0.3">
      <c r="A185" s="296" t="s">
        <v>152</v>
      </c>
      <c r="B185" s="297">
        <v>16433959.249999989</v>
      </c>
      <c r="C185" s="298"/>
      <c r="D185" s="297">
        <f>SUM(D183:D184)</f>
        <v>17125438.41</v>
      </c>
      <c r="E185" s="297">
        <f>SUM(E183:E184)</f>
        <v>7424011.1600000001</v>
      </c>
      <c r="F185" s="297">
        <f>SUM(F183:F184)</f>
        <v>10654.75</v>
      </c>
      <c r="G185" s="297">
        <f>SUM(G183:G184)</f>
        <v>26124731.749999989</v>
      </c>
      <c r="H185" s="297">
        <f>SUM(H183:H184)</f>
        <v>8371554.3200000003</v>
      </c>
      <c r="I185" s="299">
        <f>H185/G185*100</f>
        <v>32.044556093863065</v>
      </c>
      <c r="J185" s="299">
        <f>SUM(J183:J184)</f>
        <v>17753177.429999989</v>
      </c>
      <c r="K185" s="299">
        <f>J185/G185*100</f>
        <v>67.955443906136935</v>
      </c>
    </row>
    <row r="186" spans="1:13" s="625" customFormat="1" ht="21.75" customHeight="1" thickTop="1" thickBot="1" x14ac:dyDescent="0.3">
      <c r="A186" s="314" t="s">
        <v>50</v>
      </c>
      <c r="B186" s="315">
        <v>1620411.4200000465</v>
      </c>
      <c r="C186" s="316" t="s">
        <v>905</v>
      </c>
      <c r="D186" s="317">
        <v>0</v>
      </c>
      <c r="E186" s="317">
        <v>0</v>
      </c>
      <c r="F186" s="318">
        <v>0</v>
      </c>
      <c r="G186" s="319">
        <f>B186+D186-E186-F186</f>
        <v>1620411.4200000465</v>
      </c>
      <c r="H186" s="318">
        <v>0</v>
      </c>
      <c r="I186" s="320">
        <f>H186/G186*100</f>
        <v>0</v>
      </c>
      <c r="J186" s="320">
        <v>1620411.4200000465</v>
      </c>
      <c r="K186" s="317">
        <f>J186/G186*100</f>
        <v>100</v>
      </c>
    </row>
    <row r="187" spans="1:13" s="616" customFormat="1" ht="21.75" customHeight="1" thickTop="1" thickBot="1" x14ac:dyDescent="0.3">
      <c r="A187" s="296" t="s">
        <v>36</v>
      </c>
      <c r="B187" s="297">
        <v>18054370.670000035</v>
      </c>
      <c r="C187" s="298"/>
      <c r="D187" s="297">
        <f>SUM(D185:D186)</f>
        <v>17125438.41</v>
      </c>
      <c r="E187" s="297">
        <f t="shared" ref="E187:H187" si="2">SUM(E185:E186)</f>
        <v>7424011.1600000001</v>
      </c>
      <c r="F187" s="297">
        <f t="shared" si="2"/>
        <v>10654.75</v>
      </c>
      <c r="G187" s="297">
        <f t="shared" si="2"/>
        <v>27745143.170000035</v>
      </c>
      <c r="H187" s="297">
        <f t="shared" si="2"/>
        <v>8371554.3200000003</v>
      </c>
      <c r="I187" s="297">
        <f>H187/G187*100</f>
        <v>30.173044228699109</v>
      </c>
      <c r="J187" s="297">
        <f>SUM(J185:J186)</f>
        <v>19373588.850000035</v>
      </c>
      <c r="K187" s="297">
        <f>J187/G187*100</f>
        <v>69.826955771300888</v>
      </c>
    </row>
    <row r="188" spans="1:13" s="616" customFormat="1" ht="11.25" customHeight="1" thickTop="1" x14ac:dyDescent="0.25">
      <c r="B188" s="617"/>
      <c r="C188" s="737"/>
      <c r="D188" s="617"/>
      <c r="E188" s="617"/>
      <c r="F188" s="617"/>
      <c r="G188" s="617"/>
      <c r="H188" s="617"/>
      <c r="I188" s="617"/>
      <c r="J188" s="617"/>
      <c r="K188" s="617"/>
    </row>
    <row r="189" spans="1:13" s="242" customFormat="1" ht="27.75" customHeight="1" x14ac:dyDescent="0.25">
      <c r="A189" s="321" t="s">
        <v>37</v>
      </c>
      <c r="B189" s="616" t="s">
        <v>1001</v>
      </c>
      <c r="C189" s="616"/>
      <c r="D189" s="617"/>
      <c r="E189" s="617"/>
      <c r="F189" s="617"/>
      <c r="G189" s="617"/>
      <c r="H189" s="188"/>
      <c r="I189" s="188"/>
      <c r="J189" s="188"/>
    </row>
    <row r="190" spans="1:13" s="242" customFormat="1" ht="21.75" customHeight="1" x14ac:dyDescent="0.25">
      <c r="A190" s="321" t="s">
        <v>154</v>
      </c>
      <c r="B190" s="242" t="s">
        <v>128</v>
      </c>
      <c r="C190" s="322">
        <f>SUM(C191:C198)</f>
        <v>16218801.729999993</v>
      </c>
      <c r="D190" s="188" t="s">
        <v>155</v>
      </c>
      <c r="E190" s="188"/>
      <c r="F190" s="188"/>
      <c r="G190" s="188"/>
      <c r="H190" s="188"/>
      <c r="I190" s="188"/>
      <c r="J190" s="188"/>
    </row>
    <row r="191" spans="1:13" s="625" customFormat="1" ht="21.75" customHeight="1" x14ac:dyDescent="0.25">
      <c r="B191" s="625" t="s">
        <v>412</v>
      </c>
      <c r="C191" s="623">
        <v>15743.54</v>
      </c>
      <c r="D191" s="623" t="s">
        <v>55</v>
      </c>
      <c r="E191" s="623" t="s">
        <v>413</v>
      </c>
      <c r="F191" s="623"/>
      <c r="G191" s="623"/>
      <c r="H191" s="623"/>
      <c r="I191" s="623"/>
      <c r="J191" s="624"/>
    </row>
    <row r="192" spans="1:13" s="625" customFormat="1" ht="21.75" customHeight="1" x14ac:dyDescent="0.25">
      <c r="B192" s="625" t="s">
        <v>414</v>
      </c>
      <c r="C192" s="623">
        <v>60613.61</v>
      </c>
      <c r="D192" s="623" t="s">
        <v>55</v>
      </c>
      <c r="E192" s="623" t="s">
        <v>559</v>
      </c>
      <c r="F192" s="623"/>
      <c r="G192" s="623"/>
      <c r="H192" s="623"/>
      <c r="I192" s="623"/>
      <c r="J192" s="624"/>
    </row>
    <row r="193" spans="1:11" s="625" customFormat="1" ht="21.75" customHeight="1" x14ac:dyDescent="0.25">
      <c r="B193" s="625" t="s">
        <v>416</v>
      </c>
      <c r="C193" s="623">
        <v>3233.7</v>
      </c>
      <c r="D193" s="623" t="s">
        <v>55</v>
      </c>
      <c r="E193" s="188" t="s">
        <v>559</v>
      </c>
      <c r="F193" s="623"/>
      <c r="G193" s="623"/>
      <c r="H193" s="623"/>
      <c r="I193" s="623"/>
      <c r="J193" s="624"/>
    </row>
    <row r="194" spans="1:11" s="625" customFormat="1" ht="21.75" customHeight="1" x14ac:dyDescent="0.25">
      <c r="B194" s="625" t="s">
        <v>909</v>
      </c>
      <c r="C194" s="623">
        <v>797664.46</v>
      </c>
      <c r="D194" s="623" t="s">
        <v>55</v>
      </c>
      <c r="E194" s="188" t="s">
        <v>910</v>
      </c>
      <c r="F194" s="623"/>
      <c r="G194" s="623"/>
      <c r="H194" s="623"/>
      <c r="I194" s="623"/>
      <c r="J194" s="624"/>
    </row>
    <row r="195" spans="1:11" s="625" customFormat="1" ht="21.75" customHeight="1" x14ac:dyDescent="0.25">
      <c r="C195" s="623"/>
      <c r="D195" s="623"/>
      <c r="E195" s="188" t="s">
        <v>911</v>
      </c>
      <c r="F195" s="623"/>
      <c r="G195" s="623"/>
      <c r="H195" s="623"/>
      <c r="I195" s="623"/>
      <c r="J195" s="624"/>
    </row>
    <row r="196" spans="1:11" s="242" customFormat="1" ht="21.75" customHeight="1" x14ac:dyDescent="0.25">
      <c r="B196" s="625" t="s">
        <v>912</v>
      </c>
      <c r="C196" s="623">
        <v>201760.01</v>
      </c>
      <c r="D196" s="623" t="s">
        <v>55</v>
      </c>
      <c r="E196" s="188" t="s">
        <v>913</v>
      </c>
      <c r="F196" s="623"/>
      <c r="G196" s="188"/>
      <c r="H196" s="188"/>
      <c r="I196" s="188"/>
      <c r="J196" s="275"/>
    </row>
    <row r="197" spans="1:11" s="242" customFormat="1" ht="21.75" customHeight="1" x14ac:dyDescent="0.25">
      <c r="B197" s="625"/>
      <c r="C197" s="623"/>
      <c r="D197" s="623"/>
      <c r="E197" s="188" t="s">
        <v>914</v>
      </c>
      <c r="F197" s="623"/>
      <c r="G197" s="188"/>
      <c r="H197" s="188"/>
      <c r="I197" s="188"/>
      <c r="J197" s="275"/>
    </row>
    <row r="198" spans="1:11" s="242" customFormat="1" ht="21.75" customHeight="1" x14ac:dyDescent="0.25">
      <c r="B198" s="625" t="s">
        <v>915</v>
      </c>
      <c r="C198" s="623">
        <v>15139786.409999993</v>
      </c>
      <c r="D198" s="623" t="s">
        <v>55</v>
      </c>
      <c r="E198" s="188" t="s">
        <v>916</v>
      </c>
      <c r="F198" s="623"/>
      <c r="G198" s="188"/>
      <c r="H198" s="188"/>
      <c r="I198" s="188"/>
      <c r="J198" s="275"/>
    </row>
    <row r="199" spans="1:11" s="242" customFormat="1" ht="21.75" customHeight="1" x14ac:dyDescent="0.25">
      <c r="B199" s="625"/>
      <c r="C199" s="623"/>
      <c r="D199" s="623"/>
      <c r="E199" s="188"/>
      <c r="F199" s="623"/>
      <c r="G199" s="188"/>
      <c r="H199" s="188"/>
      <c r="I199" s="188"/>
      <c r="J199" s="275"/>
    </row>
    <row r="200" spans="1:11" s="242" customFormat="1" ht="21.75" customHeight="1" x14ac:dyDescent="0.25">
      <c r="A200" s="321" t="s">
        <v>165</v>
      </c>
      <c r="B200" s="242" t="s">
        <v>128</v>
      </c>
      <c r="C200" s="322">
        <v>1534375.7</v>
      </c>
      <c r="D200" s="188" t="s">
        <v>55</v>
      </c>
      <c r="G200" s="188"/>
      <c r="H200" s="188"/>
      <c r="I200" s="188"/>
      <c r="J200" s="275"/>
    </row>
    <row r="201" spans="1:11" s="242" customFormat="1" ht="21.75" customHeight="1" x14ac:dyDescent="0.25">
      <c r="B201" s="242" t="s">
        <v>999</v>
      </c>
      <c r="C201" s="188">
        <v>1534375.7</v>
      </c>
      <c r="D201" s="188" t="s">
        <v>55</v>
      </c>
      <c r="E201" s="188" t="s">
        <v>1000</v>
      </c>
      <c r="F201" s="188"/>
      <c r="G201" s="188"/>
      <c r="H201" s="188"/>
      <c r="I201" s="188"/>
      <c r="J201" s="275"/>
    </row>
    <row r="202" spans="1:11" s="242" customFormat="1" ht="21.75" customHeight="1" x14ac:dyDescent="0.25">
      <c r="B202" s="625"/>
      <c r="C202" s="322"/>
      <c r="D202" s="188"/>
      <c r="E202" s="188"/>
      <c r="F202" s="188"/>
      <c r="G202" s="188"/>
      <c r="H202" s="188"/>
      <c r="I202" s="188"/>
      <c r="J202" s="275"/>
    </row>
    <row r="203" spans="1:11" s="242" customFormat="1" ht="21.75" customHeight="1" x14ac:dyDescent="0.25">
      <c r="A203" s="321" t="s">
        <v>168</v>
      </c>
      <c r="B203" s="242" t="s">
        <v>128</v>
      </c>
      <c r="C203" s="188">
        <v>1620411.42</v>
      </c>
      <c r="D203" s="188" t="s">
        <v>155</v>
      </c>
      <c r="E203" s="188"/>
      <c r="F203" s="188"/>
      <c r="G203" s="188"/>
      <c r="H203" s="275"/>
    </row>
    <row r="204" spans="1:11" s="242" customFormat="1" ht="21.75" customHeight="1" x14ac:dyDescent="0.25">
      <c r="B204" s="242" t="s">
        <v>363</v>
      </c>
      <c r="C204" s="188">
        <v>20148.55</v>
      </c>
      <c r="D204" s="188" t="s">
        <v>55</v>
      </c>
      <c r="E204" s="188" t="s">
        <v>919</v>
      </c>
      <c r="F204" s="188"/>
      <c r="G204" s="188"/>
      <c r="H204" s="188"/>
      <c r="I204" s="275"/>
    </row>
    <row r="205" spans="1:11" s="242" customFormat="1" ht="21.75" customHeight="1" x14ac:dyDescent="0.25">
      <c r="B205" s="242" t="s">
        <v>920</v>
      </c>
      <c r="C205" s="188">
        <v>1600262.8699999999</v>
      </c>
      <c r="D205" s="188" t="s">
        <v>55</v>
      </c>
      <c r="E205" s="188" t="s">
        <v>921</v>
      </c>
      <c r="F205" s="188"/>
      <c r="G205" s="188"/>
      <c r="H205" s="188"/>
      <c r="I205" s="275"/>
    </row>
    <row r="206" spans="1:11" s="101" customFormat="1" x14ac:dyDescent="0.25">
      <c r="C206" s="104"/>
      <c r="D206" s="38"/>
      <c r="E206" s="38"/>
      <c r="F206" s="105"/>
      <c r="G206" s="105"/>
      <c r="H206" s="105"/>
      <c r="I206" s="106"/>
      <c r="J206" s="105"/>
      <c r="K206" s="156"/>
    </row>
    <row r="207" spans="1:11" s="279" customFormat="1" ht="21.75" customHeight="1" thickBot="1" x14ac:dyDescent="0.3">
      <c r="C207" s="280"/>
      <c r="D207" s="281" t="s">
        <v>1082</v>
      </c>
      <c r="E207" s="281"/>
      <c r="F207" s="282"/>
      <c r="G207" s="282"/>
      <c r="H207" s="282"/>
      <c r="I207" s="283"/>
      <c r="J207" s="282"/>
      <c r="K207" s="284"/>
    </row>
    <row r="208" spans="1:11" s="242" customFormat="1" ht="48" thickBot="1" x14ac:dyDescent="0.3">
      <c r="A208" s="285" t="s">
        <v>1083</v>
      </c>
      <c r="B208" s="246" t="s">
        <v>40</v>
      </c>
      <c r="C208" s="286" t="s">
        <v>142</v>
      </c>
      <c r="D208" s="247" t="s">
        <v>143</v>
      </c>
      <c r="E208" s="247" t="s">
        <v>144</v>
      </c>
      <c r="F208" s="247" t="s">
        <v>145</v>
      </c>
      <c r="G208" s="246" t="s">
        <v>146</v>
      </c>
      <c r="H208" s="246" t="s">
        <v>20</v>
      </c>
      <c r="I208" s="246" t="s">
        <v>21</v>
      </c>
      <c r="J208" s="246" t="s">
        <v>22</v>
      </c>
      <c r="K208" s="247" t="s">
        <v>147</v>
      </c>
    </row>
    <row r="209" spans="1:13" s="751" customFormat="1" ht="21.75" customHeight="1" x14ac:dyDescent="0.25">
      <c r="A209" s="309" t="s">
        <v>148</v>
      </c>
      <c r="B209" s="288">
        <v>16218801.729999989</v>
      </c>
      <c r="C209" s="310" t="s">
        <v>998</v>
      </c>
      <c r="D209" s="290">
        <v>165111038.37</v>
      </c>
      <c r="E209" s="290">
        <v>62302841.909999996</v>
      </c>
      <c r="F209" s="291">
        <f>26687.92+422249.79+393913.95</f>
        <v>842851.65999999992</v>
      </c>
      <c r="G209" s="288">
        <f>B209+D209-E209-F209</f>
        <v>118184146.53</v>
      </c>
      <c r="H209" s="291">
        <f>109757067.64-2510260.7</f>
        <v>107246806.94</v>
      </c>
      <c r="I209" s="262">
        <f>H209/G209*100</f>
        <v>90.745510365704035</v>
      </c>
      <c r="J209" s="262">
        <f>G209-H209</f>
        <v>10937339.590000004</v>
      </c>
      <c r="K209" s="262">
        <f>J209/G209*100</f>
        <v>9.2544896342959646</v>
      </c>
    </row>
    <row r="210" spans="1:13" s="751" customFormat="1" ht="21.75" customHeight="1" thickBot="1" x14ac:dyDescent="0.3">
      <c r="A210" s="309" t="s">
        <v>150</v>
      </c>
      <c r="B210" s="292">
        <v>1534375.6999999993</v>
      </c>
      <c r="C210" s="293" t="s">
        <v>1084</v>
      </c>
      <c r="D210" s="292">
        <f>1760449.42+3328049.34+171739.44+5826927.98+5036231.61+2279705.74</f>
        <v>18403103.530000001</v>
      </c>
      <c r="E210" s="294">
        <f>2493355.2+911598.9+1785776.4</f>
        <v>5190730.5</v>
      </c>
      <c r="F210" s="294">
        <v>5855.04</v>
      </c>
      <c r="G210" s="292">
        <f>B210+D210-E210-F210</f>
        <v>14740893.690000001</v>
      </c>
      <c r="H210" s="294">
        <f>795514.85+2474050.44+4372632.53+5036231.61-57600-159741.51</f>
        <v>12461087.92</v>
      </c>
      <c r="I210" s="262">
        <f>H210/G210*100</f>
        <v>84.534141430335481</v>
      </c>
      <c r="J210" s="262">
        <f>G210-H210</f>
        <v>2279805.7700000014</v>
      </c>
      <c r="K210" s="262">
        <f>J210/G210*100</f>
        <v>15.465858569664517</v>
      </c>
      <c r="M210" s="313"/>
    </row>
    <row r="211" spans="1:13" s="827" customFormat="1" ht="21.75" customHeight="1" thickTop="1" thickBot="1" x14ac:dyDescent="0.3">
      <c r="A211" s="296" t="s">
        <v>152</v>
      </c>
      <c r="B211" s="297">
        <f>SUM(B209:B210)</f>
        <v>17753177.429999989</v>
      </c>
      <c r="C211" s="298"/>
      <c r="D211" s="297">
        <f>SUM(D209:D210)</f>
        <v>183514141.90000001</v>
      </c>
      <c r="E211" s="297">
        <f>SUM(E209:E210)</f>
        <v>67493572.409999996</v>
      </c>
      <c r="F211" s="297">
        <f>SUM(F209:F210)</f>
        <v>848706.7</v>
      </c>
      <c r="G211" s="297">
        <f>SUM(G209:G210)</f>
        <v>132925040.22</v>
      </c>
      <c r="H211" s="297">
        <f>SUM(H209:H210)</f>
        <v>119707894.86</v>
      </c>
      <c r="I211" s="299">
        <f>H211/G211*100</f>
        <v>90.056692600487679</v>
      </c>
      <c r="J211" s="297">
        <f>SUM(J209:J210)</f>
        <v>13217145.360000005</v>
      </c>
      <c r="K211" s="299">
        <f>J211/G211*100</f>
        <v>9.9433073995123333</v>
      </c>
    </row>
    <row r="212" spans="1:13" s="751" customFormat="1" ht="21.75" customHeight="1" thickTop="1" thickBot="1" x14ac:dyDescent="0.3">
      <c r="A212" s="314" t="s">
        <v>50</v>
      </c>
      <c r="B212" s="315">
        <v>1620411.4200000465</v>
      </c>
      <c r="C212" s="316" t="s">
        <v>998</v>
      </c>
      <c r="D212" s="317">
        <v>47307304.950000003</v>
      </c>
      <c r="E212" s="317">
        <v>14736511.85</v>
      </c>
      <c r="F212" s="318">
        <v>0</v>
      </c>
      <c r="G212" s="319">
        <f>B212+D212-E212-F212</f>
        <v>34191204.520000048</v>
      </c>
      <c r="H212" s="318">
        <v>31581049.289999999</v>
      </c>
      <c r="I212" s="320">
        <f>H212/G212*100</f>
        <v>92.366003869582173</v>
      </c>
      <c r="J212" s="320">
        <f>G212-H212</f>
        <v>2610155.2300000489</v>
      </c>
      <c r="K212" s="317">
        <f>J212/G212*100</f>
        <v>7.6339961304178274</v>
      </c>
    </row>
    <row r="213" spans="1:13" s="827" customFormat="1" ht="21.75" customHeight="1" thickTop="1" thickBot="1" x14ac:dyDescent="0.3">
      <c r="A213" s="296" t="s">
        <v>36</v>
      </c>
      <c r="B213" s="297">
        <f>SUM(B211:B212)</f>
        <v>19373588.850000035</v>
      </c>
      <c r="C213" s="298"/>
      <c r="D213" s="297">
        <f>SUM(D211:D212)</f>
        <v>230821446.85000002</v>
      </c>
      <c r="E213" s="297">
        <f>SUM(E211:E212)</f>
        <v>82230084.25999999</v>
      </c>
      <c r="F213" s="297">
        <f>SUM(F211:F212)</f>
        <v>848706.7</v>
      </c>
      <c r="G213" s="297">
        <f>SUM(G211:G212)</f>
        <v>167116244.74000004</v>
      </c>
      <c r="H213" s="297">
        <f>SUM(H211:H212)</f>
        <v>151288944.15000001</v>
      </c>
      <c r="I213" s="297">
        <f>H213/G213*100</f>
        <v>90.52916691933558</v>
      </c>
      <c r="J213" s="297">
        <f>SUM(J211:J212)</f>
        <v>15827300.590000054</v>
      </c>
      <c r="K213" s="297">
        <f>J213/G213*100</f>
        <v>9.4708330806644305</v>
      </c>
    </row>
    <row r="214" spans="1:13" s="827" customFormat="1" ht="11.25" customHeight="1" thickTop="1" x14ac:dyDescent="0.25">
      <c r="B214" s="828"/>
      <c r="C214" s="880"/>
      <c r="D214" s="828"/>
      <c r="E214" s="828"/>
      <c r="F214" s="828"/>
      <c r="G214" s="828"/>
      <c r="H214" s="828"/>
      <c r="I214" s="828"/>
      <c r="J214" s="828"/>
      <c r="K214" s="828"/>
    </row>
    <row r="215" spans="1:13" s="242" customFormat="1" ht="21.75" customHeight="1" x14ac:dyDescent="0.25">
      <c r="A215" s="321" t="s">
        <v>154</v>
      </c>
      <c r="B215" s="242" t="s">
        <v>128</v>
      </c>
      <c r="C215" s="322">
        <f>SUM(C216:C222)</f>
        <v>10937339.59</v>
      </c>
      <c r="D215" s="188" t="s">
        <v>155</v>
      </c>
      <c r="E215" s="188"/>
      <c r="F215" s="188"/>
      <c r="G215" s="188"/>
      <c r="H215" s="188"/>
      <c r="I215" s="188"/>
      <c r="J215" s="188"/>
    </row>
    <row r="216" spans="1:13" s="751" customFormat="1" ht="21.75" customHeight="1" x14ac:dyDescent="0.25">
      <c r="B216" s="751" t="s">
        <v>412</v>
      </c>
      <c r="C216" s="804">
        <v>10076.07</v>
      </c>
      <c r="D216" s="804" t="s">
        <v>55</v>
      </c>
      <c r="E216" s="804" t="s">
        <v>1085</v>
      </c>
      <c r="F216" s="804"/>
      <c r="G216" s="804"/>
      <c r="H216" s="804"/>
      <c r="I216" s="804"/>
      <c r="J216" s="750"/>
    </row>
    <row r="217" spans="1:13" s="751" customFormat="1" ht="21.75" customHeight="1" x14ac:dyDescent="0.25">
      <c r="B217" s="751" t="s">
        <v>414</v>
      </c>
      <c r="C217" s="804">
        <v>60613.61</v>
      </c>
      <c r="D217" s="804" t="s">
        <v>55</v>
      </c>
      <c r="E217" s="804" t="s">
        <v>559</v>
      </c>
      <c r="F217" s="804"/>
      <c r="G217" s="804"/>
      <c r="H217" s="804"/>
      <c r="I217" s="804"/>
      <c r="J217" s="750"/>
    </row>
    <row r="218" spans="1:13" s="751" customFormat="1" ht="21.75" customHeight="1" x14ac:dyDescent="0.25">
      <c r="B218" s="751" t="s">
        <v>416</v>
      </c>
      <c r="C218" s="804">
        <v>3233.7</v>
      </c>
      <c r="D218" s="804" t="s">
        <v>55</v>
      </c>
      <c r="E218" s="188" t="s">
        <v>559</v>
      </c>
      <c r="F218" s="804"/>
      <c r="G218" s="804"/>
      <c r="H218" s="804"/>
      <c r="I218" s="804"/>
      <c r="J218" s="750"/>
    </row>
    <row r="219" spans="1:13" s="751" customFormat="1" ht="21.75" customHeight="1" x14ac:dyDescent="0.25">
      <c r="B219" s="751" t="s">
        <v>909</v>
      </c>
      <c r="C219" s="804">
        <v>5666.47</v>
      </c>
      <c r="D219" s="804" t="s">
        <v>55</v>
      </c>
      <c r="E219" s="188" t="s">
        <v>1237</v>
      </c>
      <c r="F219" s="804"/>
      <c r="G219" s="804"/>
      <c r="H219" s="804"/>
      <c r="I219" s="804"/>
      <c r="J219" s="750"/>
    </row>
    <row r="220" spans="1:13" s="751" customFormat="1" ht="21.75" customHeight="1" x14ac:dyDescent="0.25">
      <c r="B220" s="751" t="s">
        <v>912</v>
      </c>
      <c r="C220" s="804">
        <v>32646.959999999999</v>
      </c>
      <c r="D220" s="804" t="s">
        <v>55</v>
      </c>
      <c r="E220" s="188" t="s">
        <v>559</v>
      </c>
      <c r="F220" s="804"/>
      <c r="G220" s="804"/>
      <c r="H220" s="804"/>
      <c r="I220" s="804"/>
      <c r="J220" s="750"/>
    </row>
    <row r="221" spans="1:13" s="242" customFormat="1" ht="21.75" customHeight="1" x14ac:dyDescent="0.25">
      <c r="B221" s="751" t="s">
        <v>915</v>
      </c>
      <c r="C221" s="804">
        <v>148125.66</v>
      </c>
      <c r="D221" s="804" t="s">
        <v>55</v>
      </c>
      <c r="E221" s="188" t="s">
        <v>1237</v>
      </c>
      <c r="F221" s="804"/>
      <c r="G221" s="188"/>
      <c r="H221" s="188"/>
      <c r="I221" s="188"/>
      <c r="J221" s="275"/>
    </row>
    <row r="222" spans="1:13" s="242" customFormat="1" ht="21.75" customHeight="1" x14ac:dyDescent="0.25">
      <c r="B222" s="751" t="s">
        <v>1086</v>
      </c>
      <c r="C222" s="804">
        <f>44738.76+10632238.36</f>
        <v>10676977.119999999</v>
      </c>
      <c r="D222" s="804" t="s">
        <v>55</v>
      </c>
      <c r="E222" s="188" t="s">
        <v>1087</v>
      </c>
      <c r="F222" s="804"/>
      <c r="G222" s="188"/>
      <c r="H222" s="188"/>
      <c r="I222" s="188"/>
      <c r="J222" s="275"/>
    </row>
    <row r="223" spans="1:13" s="242" customFormat="1" ht="21.75" customHeight="1" x14ac:dyDescent="0.25">
      <c r="B223" s="751"/>
      <c r="C223" s="804"/>
      <c r="D223" s="804"/>
      <c r="E223" s="188"/>
      <c r="F223" s="804"/>
      <c r="G223" s="188"/>
      <c r="H223" s="188"/>
      <c r="I223" s="188"/>
      <c r="J223" s="275"/>
    </row>
    <row r="224" spans="1:13" s="242" customFormat="1" ht="21.75" customHeight="1" x14ac:dyDescent="0.25">
      <c r="A224" s="321" t="s">
        <v>165</v>
      </c>
      <c r="B224" s="242" t="s">
        <v>128</v>
      </c>
      <c r="C224" s="322">
        <f>SUM(C225)</f>
        <v>2279805.7400000002</v>
      </c>
      <c r="D224" s="188" t="s">
        <v>55</v>
      </c>
      <c r="G224" s="188"/>
      <c r="H224" s="188"/>
      <c r="I224" s="188"/>
      <c r="J224" s="275"/>
    </row>
    <row r="225" spans="1:13" s="242" customFormat="1" ht="21.75" customHeight="1" x14ac:dyDescent="0.25">
      <c r="B225" s="242" t="s">
        <v>1088</v>
      </c>
      <c r="C225" s="188">
        <v>2279805.7400000002</v>
      </c>
      <c r="D225" s="188" t="s">
        <v>55</v>
      </c>
      <c r="E225" s="188" t="s">
        <v>1000</v>
      </c>
      <c r="F225" s="188"/>
      <c r="G225" s="188"/>
      <c r="H225" s="188"/>
      <c r="I225" s="188"/>
      <c r="J225" s="275"/>
    </row>
    <row r="226" spans="1:13" s="242" customFormat="1" ht="21.75" customHeight="1" x14ac:dyDescent="0.25">
      <c r="B226" s="751"/>
      <c r="C226" s="322"/>
      <c r="D226" s="188"/>
      <c r="E226" s="188"/>
      <c r="F226" s="188"/>
      <c r="G226" s="188"/>
      <c r="H226" s="188"/>
      <c r="I226" s="188"/>
      <c r="J226" s="275"/>
    </row>
    <row r="227" spans="1:13" s="242" customFormat="1" ht="21.75" customHeight="1" x14ac:dyDescent="0.25">
      <c r="A227" s="321" t="s">
        <v>168</v>
      </c>
      <c r="B227" s="242" t="s">
        <v>128</v>
      </c>
      <c r="C227" s="188">
        <f>SUM(C228:C229)</f>
        <v>2610155.23</v>
      </c>
      <c r="D227" s="188" t="s">
        <v>155</v>
      </c>
      <c r="E227" s="188"/>
      <c r="F227" s="188"/>
      <c r="G227" s="188"/>
      <c r="H227" s="275"/>
    </row>
    <row r="228" spans="1:13" s="242" customFormat="1" ht="21.75" customHeight="1" x14ac:dyDescent="0.25">
      <c r="B228" s="242" t="s">
        <v>363</v>
      </c>
      <c r="C228" s="188">
        <v>20148.55</v>
      </c>
      <c r="D228" s="188" t="s">
        <v>55</v>
      </c>
      <c r="E228" s="188" t="s">
        <v>1089</v>
      </c>
      <c r="F228" s="188"/>
      <c r="G228" s="188"/>
      <c r="H228" s="188"/>
      <c r="I228" s="275"/>
    </row>
    <row r="229" spans="1:13" s="242" customFormat="1" ht="21.75" customHeight="1" x14ac:dyDescent="0.25">
      <c r="B229" s="242" t="s">
        <v>1090</v>
      </c>
      <c r="C229" s="188">
        <v>2590006.6800000002</v>
      </c>
      <c r="D229" s="188" t="s">
        <v>55</v>
      </c>
      <c r="E229" s="188" t="s">
        <v>1087</v>
      </c>
      <c r="F229" s="188"/>
      <c r="G229" s="188"/>
      <c r="H229" s="188"/>
      <c r="I229" s="275"/>
    </row>
    <row r="230" spans="1:13" s="242" customFormat="1" ht="15.75" x14ac:dyDescent="0.25">
      <c r="D230" s="188"/>
      <c r="E230" s="188"/>
      <c r="F230" s="188"/>
      <c r="G230" s="188"/>
      <c r="H230" s="188"/>
      <c r="I230" s="275"/>
      <c r="J230" s="881"/>
    </row>
    <row r="231" spans="1:13" s="279" customFormat="1" ht="21.75" customHeight="1" thickBot="1" x14ac:dyDescent="0.3">
      <c r="C231" s="280"/>
      <c r="D231" s="281" t="s">
        <v>1238</v>
      </c>
      <c r="E231" s="281"/>
      <c r="F231" s="282"/>
      <c r="G231" s="282"/>
      <c r="H231" s="282"/>
      <c r="I231" s="283"/>
      <c r="J231" s="282"/>
      <c r="K231" s="284"/>
    </row>
    <row r="232" spans="1:13" s="242" customFormat="1" ht="48" thickBot="1" x14ac:dyDescent="0.3">
      <c r="A232" s="285" t="s">
        <v>1239</v>
      </c>
      <c r="B232" s="246" t="s">
        <v>40</v>
      </c>
      <c r="C232" s="286" t="s">
        <v>142</v>
      </c>
      <c r="D232" s="247" t="s">
        <v>143</v>
      </c>
      <c r="E232" s="247" t="s">
        <v>144</v>
      </c>
      <c r="F232" s="247" t="s">
        <v>145</v>
      </c>
      <c r="G232" s="246" t="s">
        <v>146</v>
      </c>
      <c r="H232" s="246" t="s">
        <v>20</v>
      </c>
      <c r="I232" s="246" t="s">
        <v>21</v>
      </c>
      <c r="J232" s="246" t="s">
        <v>22</v>
      </c>
      <c r="K232" s="247" t="s">
        <v>147</v>
      </c>
    </row>
    <row r="233" spans="1:13" s="751" customFormat="1" ht="21.75" customHeight="1" x14ac:dyDescent="0.25">
      <c r="A233" s="309" t="s">
        <v>148</v>
      </c>
      <c r="B233" s="288">
        <v>10937339.590000004</v>
      </c>
      <c r="C233" s="310" t="s">
        <v>1084</v>
      </c>
      <c r="D233" s="290">
        <v>151337623.93000001</v>
      </c>
      <c r="E233" s="290">
        <v>47749613.939999998</v>
      </c>
      <c r="F233" s="291">
        <v>200867.37</v>
      </c>
      <c r="G233" s="288">
        <f>B233+D233-E233-F233</f>
        <v>114324482.21000001</v>
      </c>
      <c r="H233" s="291">
        <f>109445195.66-1925840.95-3017443.71</f>
        <v>104501911</v>
      </c>
      <c r="I233" s="262">
        <f>H233/G233*100</f>
        <v>91.408164707925678</v>
      </c>
      <c r="J233" s="262">
        <f>G233-H233</f>
        <v>9822571.2100000083</v>
      </c>
      <c r="K233" s="262">
        <f>J233/G233*100</f>
        <v>8.59183529207432</v>
      </c>
    </row>
    <row r="234" spans="1:13" s="751" customFormat="1" ht="21.75" customHeight="1" thickBot="1" x14ac:dyDescent="0.3">
      <c r="A234" s="309" t="s">
        <v>150</v>
      </c>
      <c r="B234" s="292">
        <v>2279805.7700000014</v>
      </c>
      <c r="C234" s="293" t="s">
        <v>1240</v>
      </c>
      <c r="D234" s="292">
        <v>14130330.630000001</v>
      </c>
      <c r="E234" s="294">
        <v>6486649.4800000004</v>
      </c>
      <c r="F234" s="294">
        <v>9567.67</v>
      </c>
      <c r="G234" s="292">
        <f>B234+D234-E234-F234</f>
        <v>9913919.2500000019</v>
      </c>
      <c r="H234" s="294">
        <f>1925840.95+2814731.89+875084.44+4115075.94-157681.03</f>
        <v>9573052.1899999995</v>
      </c>
      <c r="I234" s="262">
        <f>H234/G234*100</f>
        <v>96.561732535798058</v>
      </c>
      <c r="J234" s="262">
        <v>340867.06000000238</v>
      </c>
      <c r="K234" s="262">
        <f>J234/G234*100</f>
        <v>3.4382674642019335</v>
      </c>
      <c r="M234" s="313"/>
    </row>
    <row r="235" spans="1:13" s="827" customFormat="1" ht="21.75" customHeight="1" thickTop="1" thickBot="1" x14ac:dyDescent="0.3">
      <c r="A235" s="296" t="s">
        <v>152</v>
      </c>
      <c r="B235" s="297">
        <f>SUM(B233:B234)</f>
        <v>13217145.360000005</v>
      </c>
      <c r="C235" s="298"/>
      <c r="D235" s="297">
        <f>SUM(D233:D234)</f>
        <v>165467954.56</v>
      </c>
      <c r="E235" s="297">
        <f>SUM(E233:E234)</f>
        <v>54236263.420000002</v>
      </c>
      <c r="F235" s="297">
        <f>SUM(F233:F234)</f>
        <v>210435.04</v>
      </c>
      <c r="G235" s="297">
        <f>SUM(G233:G234)</f>
        <v>124238401.46000001</v>
      </c>
      <c r="H235" s="297">
        <f>SUM(H233:H234)</f>
        <v>114074963.19</v>
      </c>
      <c r="I235" s="299">
        <f>H235/G235*100</f>
        <v>91.819406761063121</v>
      </c>
      <c r="J235" s="297">
        <f>SUM(J233:J234)</f>
        <v>10163438.270000011</v>
      </c>
      <c r="K235" s="299">
        <f>J235/G235*100</f>
        <v>8.1805932389368721</v>
      </c>
    </row>
    <row r="236" spans="1:13" s="751" customFormat="1" ht="21.75" customHeight="1" thickTop="1" thickBot="1" x14ac:dyDescent="0.3">
      <c r="A236" s="314" t="s">
        <v>50</v>
      </c>
      <c r="B236" s="315">
        <v>2610155.2300000489</v>
      </c>
      <c r="C236" s="316" t="s">
        <v>1084</v>
      </c>
      <c r="D236" s="317">
        <v>100371039.78</v>
      </c>
      <c r="E236" s="317">
        <v>6061589.0499999998</v>
      </c>
      <c r="F236" s="318">
        <v>4752.9399999999996</v>
      </c>
      <c r="G236" s="319">
        <f>B236+D236-E236-F236</f>
        <v>96914853.020000055</v>
      </c>
      <c r="H236" s="318">
        <v>86363173.989999995</v>
      </c>
      <c r="I236" s="320">
        <f>H236/G236*100</f>
        <v>89.112423223896826</v>
      </c>
      <c r="J236" s="320">
        <f>G236-H236</f>
        <v>10551679.030000061</v>
      </c>
      <c r="K236" s="317">
        <f>J236/G236*100</f>
        <v>10.887576776103183</v>
      </c>
    </row>
    <row r="237" spans="1:13" s="827" customFormat="1" ht="21.75" customHeight="1" thickTop="1" thickBot="1" x14ac:dyDescent="0.3">
      <c r="A237" s="296" t="s">
        <v>36</v>
      </c>
      <c r="B237" s="297">
        <f>SUM(B235:B236)</f>
        <v>15827300.590000054</v>
      </c>
      <c r="C237" s="298"/>
      <c r="D237" s="297">
        <f>SUM(D235:D236)</f>
        <v>265838994.34</v>
      </c>
      <c r="E237" s="297">
        <f>SUM(E235:E236)</f>
        <v>60297852.469999999</v>
      </c>
      <c r="F237" s="297">
        <f>SUM(F235:F236)</f>
        <v>215187.98</v>
      </c>
      <c r="G237" s="297">
        <f>SUM(G235:G236)</f>
        <v>221153254.48000008</v>
      </c>
      <c r="H237" s="297">
        <f>SUM(H235:H236)</f>
        <v>200438137.18000001</v>
      </c>
      <c r="I237" s="297">
        <f>H237/G237*100</f>
        <v>90.633139291254054</v>
      </c>
      <c r="J237" s="297">
        <f>SUM(J235:J236)</f>
        <v>20715117.300000072</v>
      </c>
      <c r="K237" s="297">
        <f>J237/G237*100</f>
        <v>9.3668607087459517</v>
      </c>
    </row>
    <row r="238" spans="1:13" s="827" customFormat="1" ht="11.25" customHeight="1" thickTop="1" x14ac:dyDescent="0.25">
      <c r="B238" s="828"/>
      <c r="C238" s="880"/>
      <c r="D238" s="828"/>
      <c r="E238" s="828"/>
      <c r="F238" s="828"/>
      <c r="G238" s="828"/>
      <c r="H238" s="828"/>
      <c r="I238" s="828"/>
      <c r="J238" s="828"/>
      <c r="K238" s="828"/>
    </row>
    <row r="239" spans="1:13" s="242" customFormat="1" ht="21.75" customHeight="1" x14ac:dyDescent="0.25">
      <c r="A239" s="321" t="s">
        <v>154</v>
      </c>
      <c r="B239" s="242" t="s">
        <v>128</v>
      </c>
      <c r="C239" s="322">
        <f>SUM(C240:C245)</f>
        <v>9822571.2100000009</v>
      </c>
      <c r="D239" s="188" t="s">
        <v>155</v>
      </c>
      <c r="E239" s="188"/>
      <c r="F239" s="188"/>
      <c r="G239" s="188"/>
      <c r="H239" s="188"/>
      <c r="I239" s="188"/>
      <c r="J239" s="188"/>
      <c r="L239" s="881"/>
    </row>
    <row r="240" spans="1:13" s="751" customFormat="1" ht="21.75" customHeight="1" x14ac:dyDescent="0.25">
      <c r="B240" s="751" t="s">
        <v>412</v>
      </c>
      <c r="C240" s="804">
        <v>10076.07</v>
      </c>
      <c r="D240" s="804" t="s">
        <v>55</v>
      </c>
      <c r="E240" s="804" t="s">
        <v>1085</v>
      </c>
      <c r="F240" s="804"/>
      <c r="G240" s="804"/>
      <c r="H240" s="804"/>
      <c r="I240" s="804"/>
      <c r="J240" s="750"/>
    </row>
    <row r="241" spans="1:11" s="751" customFormat="1" ht="21.75" customHeight="1" x14ac:dyDescent="0.25">
      <c r="B241" s="751" t="s">
        <v>414</v>
      </c>
      <c r="C241" s="804">
        <v>60613.61</v>
      </c>
      <c r="D241" s="804" t="s">
        <v>55</v>
      </c>
      <c r="E241" s="804" t="s">
        <v>559</v>
      </c>
      <c r="F241" s="804"/>
      <c r="G241" s="804"/>
      <c r="H241" s="804"/>
      <c r="I241" s="804"/>
      <c r="J241" s="750"/>
    </row>
    <row r="242" spans="1:11" s="751" customFormat="1" ht="21.75" customHeight="1" x14ac:dyDescent="0.25">
      <c r="B242" s="751" t="s">
        <v>416</v>
      </c>
      <c r="C242" s="804">
        <v>3233.7</v>
      </c>
      <c r="D242" s="804" t="s">
        <v>55</v>
      </c>
      <c r="E242" s="188" t="s">
        <v>559</v>
      </c>
      <c r="F242" s="804"/>
      <c r="G242" s="804"/>
      <c r="H242" s="804"/>
      <c r="I242" s="804"/>
      <c r="J242" s="750"/>
    </row>
    <row r="243" spans="1:11" s="751" customFormat="1" ht="21.75" customHeight="1" x14ac:dyDescent="0.25">
      <c r="B243" s="751" t="s">
        <v>1241</v>
      </c>
      <c r="C243" s="804">
        <v>32646.959999999999</v>
      </c>
      <c r="D243" s="804" t="s">
        <v>55</v>
      </c>
      <c r="E243" s="188" t="s">
        <v>1242</v>
      </c>
      <c r="F243" s="804"/>
      <c r="G243" s="804"/>
      <c r="H243" s="804"/>
      <c r="I243" s="804"/>
      <c r="J243" s="750"/>
    </row>
    <row r="244" spans="1:11" s="242" customFormat="1" ht="21.75" customHeight="1" x14ac:dyDescent="0.25">
      <c r="B244" s="751" t="s">
        <v>1086</v>
      </c>
      <c r="C244" s="804">
        <v>30639.31</v>
      </c>
      <c r="D244" s="804" t="s">
        <v>55</v>
      </c>
      <c r="E244" s="188" t="s">
        <v>1242</v>
      </c>
      <c r="F244" s="804"/>
      <c r="G244" s="188"/>
      <c r="H244" s="188"/>
      <c r="I244" s="188"/>
      <c r="J244" s="275"/>
    </row>
    <row r="245" spans="1:11" s="242" customFormat="1" ht="21.75" customHeight="1" x14ac:dyDescent="0.25">
      <c r="B245" s="751" t="s">
        <v>1243</v>
      </c>
      <c r="C245" s="804">
        <v>9685361.5600000005</v>
      </c>
      <c r="D245" s="804" t="s">
        <v>55</v>
      </c>
      <c r="E245" s="188" t="s">
        <v>1244</v>
      </c>
      <c r="F245" s="804"/>
      <c r="G245" s="188"/>
      <c r="H245" s="188"/>
      <c r="I245" s="188"/>
      <c r="J245" s="275"/>
    </row>
    <row r="246" spans="1:11" s="242" customFormat="1" ht="21.75" customHeight="1" x14ac:dyDescent="0.25">
      <c r="B246" s="751"/>
      <c r="C246" s="804"/>
      <c r="D246" s="804"/>
      <c r="E246" s="188"/>
      <c r="F246" s="804"/>
      <c r="G246" s="188"/>
      <c r="H246" s="188"/>
      <c r="I246" s="188"/>
      <c r="J246" s="275"/>
    </row>
    <row r="247" spans="1:11" s="242" customFormat="1" ht="21.75" customHeight="1" x14ac:dyDescent="0.25">
      <c r="A247" s="321" t="s">
        <v>165</v>
      </c>
      <c r="B247" s="242" t="s">
        <v>128</v>
      </c>
      <c r="C247" s="322">
        <v>340867.06</v>
      </c>
      <c r="D247" s="188" t="s">
        <v>55</v>
      </c>
      <c r="G247" s="188"/>
      <c r="H247" s="188"/>
      <c r="I247" s="188"/>
      <c r="J247" s="275"/>
    </row>
    <row r="248" spans="1:11" s="242" customFormat="1" ht="21.75" customHeight="1" x14ac:dyDescent="0.25">
      <c r="B248" s="242" t="s">
        <v>1088</v>
      </c>
      <c r="C248" s="188">
        <v>340867.06</v>
      </c>
      <c r="D248" s="188" t="s">
        <v>55</v>
      </c>
      <c r="E248" s="188" t="s">
        <v>1244</v>
      </c>
      <c r="F248" s="188"/>
      <c r="G248" s="188"/>
      <c r="H248" s="188"/>
      <c r="I248" s="188"/>
      <c r="J248" s="275"/>
    </row>
    <row r="249" spans="1:11" s="242" customFormat="1" ht="21.75" customHeight="1" x14ac:dyDescent="0.25">
      <c r="B249" s="751"/>
      <c r="C249" s="322"/>
      <c r="D249" s="188"/>
      <c r="E249" s="188"/>
      <c r="F249" s="188"/>
      <c r="G249" s="188"/>
      <c r="H249" s="188"/>
      <c r="I249" s="188"/>
      <c r="J249" s="275"/>
    </row>
    <row r="250" spans="1:11" s="242" customFormat="1" ht="21.75" customHeight="1" x14ac:dyDescent="0.25">
      <c r="A250" s="321" t="s">
        <v>168</v>
      </c>
      <c r="B250" s="242" t="s">
        <v>128</v>
      </c>
      <c r="C250" s="188">
        <v>10551679.029999999</v>
      </c>
      <c r="D250" s="188" t="s">
        <v>155</v>
      </c>
      <c r="E250" s="188"/>
      <c r="F250" s="188"/>
      <c r="G250" s="188"/>
      <c r="H250" s="275"/>
    </row>
    <row r="251" spans="1:11" s="242" customFormat="1" ht="21.75" customHeight="1" x14ac:dyDescent="0.25">
      <c r="B251" s="242" t="s">
        <v>363</v>
      </c>
      <c r="C251" s="188">
        <v>20148.55</v>
      </c>
      <c r="D251" s="188" t="s">
        <v>55</v>
      </c>
      <c r="E251" s="188" t="s">
        <v>1245</v>
      </c>
      <c r="F251" s="188"/>
      <c r="G251" s="188"/>
      <c r="H251" s="188"/>
      <c r="I251" s="275"/>
    </row>
    <row r="252" spans="1:11" s="242" customFormat="1" ht="21.75" customHeight="1" x14ac:dyDescent="0.25">
      <c r="B252" s="242" t="s">
        <v>1246</v>
      </c>
      <c r="C252" s="188">
        <v>10531530.479999999</v>
      </c>
      <c r="D252" s="188" t="s">
        <v>55</v>
      </c>
      <c r="E252" s="188" t="s">
        <v>1247</v>
      </c>
      <c r="F252" s="188"/>
      <c r="G252" s="188"/>
      <c r="H252" s="188"/>
      <c r="I252" s="275"/>
    </row>
    <row r="253" spans="1:11" s="242" customFormat="1" ht="15.75" x14ac:dyDescent="0.25">
      <c r="D253" s="188"/>
      <c r="E253" s="188"/>
      <c r="F253" s="188"/>
      <c r="G253" s="188"/>
      <c r="H253" s="188"/>
      <c r="I253" s="275"/>
    </row>
    <row r="254" spans="1:11" s="279" customFormat="1" ht="21.75" customHeight="1" thickBot="1" x14ac:dyDescent="0.3">
      <c r="C254" s="280"/>
      <c r="D254" s="281" t="s">
        <v>1373</v>
      </c>
      <c r="E254" s="281"/>
      <c r="F254" s="282"/>
      <c r="G254" s="282"/>
      <c r="H254" s="282"/>
      <c r="I254" s="283"/>
      <c r="J254" s="282"/>
      <c r="K254" s="284"/>
    </row>
    <row r="255" spans="1:11" s="242" customFormat="1" ht="48" thickBot="1" x14ac:dyDescent="0.3">
      <c r="A255" s="285" t="s">
        <v>1373</v>
      </c>
      <c r="B255" s="246" t="s">
        <v>40</v>
      </c>
      <c r="C255" s="286" t="s">
        <v>142</v>
      </c>
      <c r="D255" s="247" t="s">
        <v>143</v>
      </c>
      <c r="E255" s="247" t="s">
        <v>144</v>
      </c>
      <c r="F255" s="247" t="s">
        <v>145</v>
      </c>
      <c r="G255" s="246" t="s">
        <v>146</v>
      </c>
      <c r="H255" s="246" t="s">
        <v>20</v>
      </c>
      <c r="I255" s="246" t="s">
        <v>21</v>
      </c>
      <c r="J255" s="246" t="s">
        <v>22</v>
      </c>
      <c r="K255" s="247" t="s">
        <v>147</v>
      </c>
    </row>
    <row r="256" spans="1:11" s="751" customFormat="1" ht="21.75" customHeight="1" x14ac:dyDescent="0.25">
      <c r="A256" s="309" t="s">
        <v>148</v>
      </c>
      <c r="B256" s="288">
        <v>9822571.2100000009</v>
      </c>
      <c r="C256" s="310" t="s">
        <v>1374</v>
      </c>
      <c r="D256" s="290">
        <v>182936635.94</v>
      </c>
      <c r="E256" s="290">
        <v>57685523.329999998</v>
      </c>
      <c r="F256" s="291">
        <v>579854.81999999995</v>
      </c>
      <c r="G256" s="288">
        <f>B256+D256-E256-F256</f>
        <v>134493829</v>
      </c>
      <c r="H256" s="291">
        <v>125083117.41</v>
      </c>
      <c r="I256" s="262">
        <f>H256/G256*100</f>
        <v>93.002867373193752</v>
      </c>
      <c r="J256" s="262">
        <f>G256-H256</f>
        <v>9410711.5900000036</v>
      </c>
      <c r="K256" s="262">
        <f>J256/G256*100</f>
        <v>6.9971326268062475</v>
      </c>
    </row>
    <row r="257" spans="1:13" s="751" customFormat="1" ht="21.75" customHeight="1" thickBot="1" x14ac:dyDescent="0.3">
      <c r="A257" s="309" t="s">
        <v>150</v>
      </c>
      <c r="B257" s="292">
        <v>340867.06</v>
      </c>
      <c r="C257" s="293" t="s">
        <v>1375</v>
      </c>
      <c r="D257" s="292">
        <v>20130379.940000001</v>
      </c>
      <c r="E257" s="294">
        <v>5751825.3300000001</v>
      </c>
      <c r="F257" s="294">
        <v>66233.31</v>
      </c>
      <c r="G257" s="292">
        <f>B257+D257-E257-F257</f>
        <v>14653188.359999999</v>
      </c>
      <c r="H257" s="294">
        <v>11822072.189999999</v>
      </c>
      <c r="I257" s="262">
        <f>H257/G257*100</f>
        <v>80.679179845061384</v>
      </c>
      <c r="J257" s="262">
        <f>G257-H257</f>
        <v>2831116.17</v>
      </c>
      <c r="K257" s="262">
        <f>J257/G257*100</f>
        <v>19.320820154938623</v>
      </c>
      <c r="M257" s="313"/>
    </row>
    <row r="258" spans="1:13" s="827" customFormat="1" ht="21.75" customHeight="1" thickTop="1" thickBot="1" x14ac:dyDescent="0.3">
      <c r="A258" s="296" t="s">
        <v>152</v>
      </c>
      <c r="B258" s="297">
        <f>SUM(B256:B257)</f>
        <v>10163438.270000001</v>
      </c>
      <c r="C258" s="298"/>
      <c r="D258" s="297">
        <f>SUM(D256:D257)</f>
        <v>203067015.88</v>
      </c>
      <c r="E258" s="297">
        <f>SUM(E256:E257)</f>
        <v>63437348.659999996</v>
      </c>
      <c r="F258" s="297">
        <f>SUM(F256:F257)</f>
        <v>646088.12999999989</v>
      </c>
      <c r="G258" s="297">
        <f>SUM(G256:G257)</f>
        <v>149147017.36000001</v>
      </c>
      <c r="H258" s="297">
        <f>SUM(H256:H257)</f>
        <v>136905189.59999999</v>
      </c>
      <c r="I258" s="299">
        <f>H258/G258*100</f>
        <v>91.792106891114287</v>
      </c>
      <c r="J258" s="297">
        <f>SUM(J256:J257)</f>
        <v>12241827.760000004</v>
      </c>
      <c r="K258" s="299">
        <f>J258/G258*100</f>
        <v>8.2078931088857026</v>
      </c>
    </row>
    <row r="259" spans="1:13" s="751" customFormat="1" ht="21.75" customHeight="1" thickTop="1" thickBot="1" x14ac:dyDescent="0.3">
      <c r="A259" s="314" t="s">
        <v>50</v>
      </c>
      <c r="B259" s="315">
        <v>10551679.029999999</v>
      </c>
      <c r="C259" s="316" t="s">
        <v>1376</v>
      </c>
      <c r="D259" s="317">
        <v>57731603.530000001</v>
      </c>
      <c r="E259" s="317">
        <v>9913194.5</v>
      </c>
      <c r="F259" s="318">
        <v>0</v>
      </c>
      <c r="G259" s="319">
        <f>B259+D259-E259-F259</f>
        <v>58370088.060000002</v>
      </c>
      <c r="H259" s="318">
        <v>57790612.119999997</v>
      </c>
      <c r="I259" s="320">
        <f>H259/G259*100</f>
        <v>99.007238194665135</v>
      </c>
      <c r="J259" s="320">
        <f>G259-H259</f>
        <v>579475.94000000507</v>
      </c>
      <c r="K259" s="317">
        <f>J259/G259*100</f>
        <v>0.99276180533486247</v>
      </c>
    </row>
    <row r="260" spans="1:13" s="827" customFormat="1" ht="21.75" customHeight="1" thickTop="1" thickBot="1" x14ac:dyDescent="0.3">
      <c r="A260" s="296" t="s">
        <v>36</v>
      </c>
      <c r="B260" s="297">
        <f>SUM(B258:B259)</f>
        <v>20715117.300000001</v>
      </c>
      <c r="C260" s="298"/>
      <c r="D260" s="297">
        <f>SUM(D258:D259)</f>
        <v>260798619.41</v>
      </c>
      <c r="E260" s="297">
        <f>SUM(E258:E259)</f>
        <v>73350543.159999996</v>
      </c>
      <c r="F260" s="297">
        <f>SUM(F258:F259)</f>
        <v>646088.12999999989</v>
      </c>
      <c r="G260" s="297">
        <f>SUM(G258:G259)</f>
        <v>207517105.42000002</v>
      </c>
      <c r="H260" s="297">
        <f>SUM(H258:H259)</f>
        <v>194695801.72</v>
      </c>
      <c r="I260" s="297">
        <f>H260/G260*100</f>
        <v>93.821567781580896</v>
      </c>
      <c r="J260" s="297">
        <f>SUM(J258:J259)</f>
        <v>12821303.700000009</v>
      </c>
      <c r="K260" s="297">
        <f>J260/G260*100</f>
        <v>6.1784322184190996</v>
      </c>
    </row>
    <row r="261" spans="1:13" s="827" customFormat="1" ht="11.25" customHeight="1" thickTop="1" x14ac:dyDescent="0.25">
      <c r="B261" s="828"/>
      <c r="C261" s="887"/>
      <c r="D261" s="828"/>
      <c r="E261" s="828"/>
      <c r="F261" s="828"/>
      <c r="G261" s="828"/>
      <c r="H261" s="828"/>
      <c r="I261" s="828"/>
      <c r="J261" s="828"/>
      <c r="K261" s="828"/>
    </row>
    <row r="262" spans="1:13" s="242" customFormat="1" ht="21.75" customHeight="1" x14ac:dyDescent="0.25">
      <c r="A262" s="321" t="s">
        <v>154</v>
      </c>
      <c r="B262" s="242" t="s">
        <v>128</v>
      </c>
      <c r="C262" s="322">
        <f>SUM(C263:C267)</f>
        <v>9410710.5899999999</v>
      </c>
      <c r="D262" s="188" t="s">
        <v>155</v>
      </c>
      <c r="E262" s="188"/>
      <c r="F262" s="188"/>
      <c r="G262" s="188"/>
      <c r="H262" s="188"/>
      <c r="I262" s="188"/>
      <c r="J262" s="188"/>
      <c r="L262" s="881"/>
    </row>
    <row r="263" spans="1:13" s="751" customFormat="1" ht="21.75" customHeight="1" x14ac:dyDescent="0.25">
      <c r="B263" s="751" t="s">
        <v>412</v>
      </c>
      <c r="C263" s="804">
        <v>10076.07</v>
      </c>
      <c r="D263" s="804" t="s">
        <v>55</v>
      </c>
      <c r="E263" s="804" t="s">
        <v>1085</v>
      </c>
      <c r="F263" s="804"/>
      <c r="G263" s="804"/>
      <c r="H263" s="804"/>
      <c r="I263" s="804"/>
      <c r="J263" s="750"/>
    </row>
    <row r="264" spans="1:13" s="751" customFormat="1" ht="21.75" customHeight="1" x14ac:dyDescent="0.25">
      <c r="B264" s="751" t="s">
        <v>414</v>
      </c>
      <c r="C264" s="804">
        <v>60613.61</v>
      </c>
      <c r="D264" s="804" t="s">
        <v>55</v>
      </c>
      <c r="E264" s="804" t="s">
        <v>559</v>
      </c>
      <c r="F264" s="804"/>
      <c r="G264" s="804"/>
      <c r="H264" s="804"/>
      <c r="I264" s="804"/>
      <c r="J264" s="750"/>
    </row>
    <row r="265" spans="1:13" s="751" customFormat="1" ht="21.75" customHeight="1" x14ac:dyDescent="0.25">
      <c r="B265" s="751" t="s">
        <v>416</v>
      </c>
      <c r="C265" s="804">
        <v>3233.7</v>
      </c>
      <c r="D265" s="804" t="s">
        <v>55</v>
      </c>
      <c r="E265" s="188" t="s">
        <v>559</v>
      </c>
      <c r="F265" s="804"/>
      <c r="G265" s="804"/>
      <c r="H265" s="804"/>
      <c r="I265" s="804"/>
      <c r="J265" s="750"/>
    </row>
    <row r="266" spans="1:13" s="751" customFormat="1" ht="21.75" customHeight="1" x14ac:dyDescent="0.25">
      <c r="B266" s="751" t="s">
        <v>1377</v>
      </c>
      <c r="C266" s="804">
        <v>1087619.79</v>
      </c>
      <c r="D266" s="804" t="s">
        <v>786</v>
      </c>
      <c r="E266" s="188" t="s">
        <v>1378</v>
      </c>
      <c r="F266" s="804"/>
      <c r="G266" s="804"/>
      <c r="H266" s="804"/>
      <c r="I266" s="804"/>
      <c r="J266" s="750"/>
    </row>
    <row r="267" spans="1:13" s="242" customFormat="1" ht="21.75" customHeight="1" x14ac:dyDescent="0.25">
      <c r="B267" s="751" t="s">
        <v>1379</v>
      </c>
      <c r="C267" s="804">
        <v>8249167.4199999999</v>
      </c>
      <c r="D267" s="804" t="s">
        <v>786</v>
      </c>
      <c r="E267" s="188" t="s">
        <v>1380</v>
      </c>
      <c r="F267" s="804"/>
      <c r="G267" s="188"/>
      <c r="H267" s="188"/>
      <c r="I267" s="188"/>
      <c r="J267" s="275"/>
    </row>
    <row r="268" spans="1:13" s="242" customFormat="1" ht="21.75" customHeight="1" x14ac:dyDescent="0.25">
      <c r="B268" s="751"/>
      <c r="C268" s="804"/>
      <c r="D268" s="804"/>
      <c r="E268" s="188"/>
      <c r="F268" s="804"/>
      <c r="G268" s="188"/>
      <c r="H268" s="188"/>
      <c r="I268" s="188"/>
      <c r="J268" s="275"/>
    </row>
    <row r="269" spans="1:13" s="242" customFormat="1" ht="21.75" customHeight="1" x14ac:dyDescent="0.25">
      <c r="A269" s="321" t="s">
        <v>165</v>
      </c>
      <c r="B269" s="242" t="s">
        <v>128</v>
      </c>
      <c r="C269" s="322">
        <v>2831116.17</v>
      </c>
      <c r="D269" s="188" t="s">
        <v>786</v>
      </c>
      <c r="G269" s="188"/>
      <c r="H269" s="188"/>
      <c r="I269" s="188"/>
      <c r="J269" s="275"/>
    </row>
    <row r="270" spans="1:13" s="242" customFormat="1" ht="21.75" customHeight="1" x14ac:dyDescent="0.25">
      <c r="B270" s="242" t="s">
        <v>1381</v>
      </c>
      <c r="C270" s="188">
        <v>2831116.17</v>
      </c>
      <c r="D270" s="188" t="s">
        <v>786</v>
      </c>
      <c r="E270" s="188" t="s">
        <v>1382</v>
      </c>
      <c r="F270" s="188"/>
      <c r="G270" s="188"/>
      <c r="H270" s="188"/>
      <c r="I270" s="188"/>
      <c r="J270" s="275"/>
    </row>
    <row r="271" spans="1:13" s="242" customFormat="1" ht="21.75" customHeight="1" x14ac:dyDescent="0.25">
      <c r="B271" s="751"/>
      <c r="C271" s="322"/>
      <c r="D271" s="188"/>
      <c r="E271" s="188"/>
      <c r="F271" s="188"/>
      <c r="G271" s="188"/>
      <c r="H271" s="188"/>
      <c r="I271" s="188"/>
      <c r="J271" s="275"/>
    </row>
    <row r="272" spans="1:13" s="242" customFormat="1" ht="21.75" customHeight="1" x14ac:dyDescent="0.25">
      <c r="A272" s="321" t="s">
        <v>168</v>
      </c>
      <c r="B272" s="242" t="s">
        <v>128</v>
      </c>
      <c r="C272" s="188">
        <v>579475.93999999994</v>
      </c>
      <c r="D272" s="188" t="s">
        <v>785</v>
      </c>
      <c r="E272" s="188"/>
      <c r="F272" s="188"/>
      <c r="G272" s="188"/>
      <c r="H272" s="275"/>
    </row>
    <row r="273" spans="1:13" s="242" customFormat="1" ht="21.75" customHeight="1" x14ac:dyDescent="0.25">
      <c r="B273" s="242" t="s">
        <v>1383</v>
      </c>
      <c r="C273" s="188">
        <v>579475.93999999994</v>
      </c>
      <c r="D273" s="188" t="s">
        <v>786</v>
      </c>
      <c r="E273" s="188" t="s">
        <v>1384</v>
      </c>
      <c r="F273" s="188"/>
      <c r="G273" s="188"/>
      <c r="H273" s="188"/>
      <c r="I273" s="275"/>
    </row>
    <row r="274" spans="1:13" s="242" customFormat="1" ht="21.75" customHeight="1" x14ac:dyDescent="0.25">
      <c r="F274" s="188"/>
      <c r="G274" s="188"/>
      <c r="H274" s="188"/>
      <c r="I274" s="275"/>
    </row>
    <row r="275" spans="1:13" s="279" customFormat="1" ht="21.75" customHeight="1" thickBot="1" x14ac:dyDescent="0.3">
      <c r="C275" s="280"/>
      <c r="D275" s="281" t="s">
        <v>1493</v>
      </c>
      <c r="E275" s="281"/>
      <c r="F275" s="282"/>
      <c r="G275" s="282"/>
      <c r="H275" s="282"/>
      <c r="I275" s="283"/>
      <c r="J275" s="282"/>
      <c r="K275" s="284"/>
    </row>
    <row r="276" spans="1:13" s="242" customFormat="1" ht="48" thickBot="1" x14ac:dyDescent="0.3">
      <c r="A276" s="285" t="s">
        <v>1494</v>
      </c>
      <c r="B276" s="246" t="s">
        <v>40</v>
      </c>
      <c r="C276" s="286" t="s">
        <v>142</v>
      </c>
      <c r="D276" s="247" t="s">
        <v>143</v>
      </c>
      <c r="E276" s="247" t="s">
        <v>144</v>
      </c>
      <c r="F276" s="247" t="s">
        <v>145</v>
      </c>
      <c r="G276" s="246" t="s">
        <v>146</v>
      </c>
      <c r="H276" s="246" t="s">
        <v>20</v>
      </c>
      <c r="I276" s="246" t="s">
        <v>21</v>
      </c>
      <c r="J276" s="246" t="s">
        <v>22</v>
      </c>
      <c r="K276" s="247" t="s">
        <v>147</v>
      </c>
    </row>
    <row r="277" spans="1:13" s="751" customFormat="1" ht="21.75" customHeight="1" x14ac:dyDescent="0.25">
      <c r="A277" s="309" t="s">
        <v>148</v>
      </c>
      <c r="B277" s="288">
        <v>9410711.5900000036</v>
      </c>
      <c r="C277" s="310" t="s">
        <v>1375</v>
      </c>
      <c r="D277" s="290">
        <v>168906490.56</v>
      </c>
      <c r="E277" s="290">
        <v>34756030.159999996</v>
      </c>
      <c r="F277" s="291">
        <v>169531.9</v>
      </c>
      <c r="G277" s="288">
        <f>B277+D277-E277-F277</f>
        <v>143391640.09</v>
      </c>
      <c r="H277" s="291">
        <v>132235183.12</v>
      </c>
      <c r="I277" s="262">
        <f>H277/G277*100</f>
        <v>92.219590372913203</v>
      </c>
      <c r="J277" s="262">
        <f>G277-H277</f>
        <v>11156456.969999999</v>
      </c>
      <c r="K277" s="262">
        <f>J277/G277*100</f>
        <v>7.7804096270867884</v>
      </c>
    </row>
    <row r="278" spans="1:13" s="751" customFormat="1" ht="21.75" customHeight="1" thickBot="1" x14ac:dyDescent="0.3">
      <c r="A278" s="309" t="s">
        <v>150</v>
      </c>
      <c r="B278" s="292">
        <v>2831116.17</v>
      </c>
      <c r="C278" s="293" t="s">
        <v>1495</v>
      </c>
      <c r="D278" s="292">
        <v>20505628.18</v>
      </c>
      <c r="E278" s="294">
        <v>9411332.8699999992</v>
      </c>
      <c r="F278" s="294">
        <v>5555.9400000000005</v>
      </c>
      <c r="G278" s="292">
        <f>B278+D278-E278-F278</f>
        <v>13919855.540000003</v>
      </c>
      <c r="H278" s="294">
        <v>8832095.1199999992</v>
      </c>
      <c r="I278" s="262">
        <f>H278/G278*100</f>
        <v>63.449617667512072</v>
      </c>
      <c r="J278" s="262">
        <f>G278-H278</f>
        <v>5087760.4200000037</v>
      </c>
      <c r="K278" s="262">
        <f>J278/G278*100</f>
        <v>36.550382332487928</v>
      </c>
      <c r="M278" s="313"/>
    </row>
    <row r="279" spans="1:13" s="827" customFormat="1" ht="21.75" customHeight="1" thickTop="1" thickBot="1" x14ac:dyDescent="0.3">
      <c r="A279" s="296" t="s">
        <v>152</v>
      </c>
      <c r="B279" s="297">
        <f>SUM(B277:B278)</f>
        <v>12241827.760000004</v>
      </c>
      <c r="C279" s="298"/>
      <c r="D279" s="297">
        <f>SUM(D277:D278)</f>
        <v>189412118.74000001</v>
      </c>
      <c r="E279" s="297">
        <f>SUM(E277:E278)</f>
        <v>44167363.029999994</v>
      </c>
      <c r="F279" s="297">
        <f>SUM(F277:F278)</f>
        <v>175087.84</v>
      </c>
      <c r="G279" s="297">
        <f>SUM(G277:G278)</f>
        <v>157311495.63</v>
      </c>
      <c r="H279" s="297">
        <f>SUM(H277:H278)</f>
        <v>141067278.24000001</v>
      </c>
      <c r="I279" s="299">
        <f>H279/G279*100</f>
        <v>89.673852298622393</v>
      </c>
      <c r="J279" s="297">
        <f>SUM(J277:J278)</f>
        <v>16244217.390000002</v>
      </c>
      <c r="K279" s="299">
        <f>J279/G279*100</f>
        <v>10.326147701377622</v>
      </c>
    </row>
    <row r="280" spans="1:13" s="751" customFormat="1" ht="21.75" customHeight="1" thickTop="1" thickBot="1" x14ac:dyDescent="0.3">
      <c r="A280" s="314" t="s">
        <v>50</v>
      </c>
      <c r="B280" s="892">
        <v>579475.94000006467</v>
      </c>
      <c r="C280" s="316" t="s">
        <v>1375</v>
      </c>
      <c r="D280" s="317">
        <v>42509981.240000002</v>
      </c>
      <c r="E280" s="317">
        <v>2634743.56</v>
      </c>
      <c r="F280" s="318"/>
      <c r="G280" s="319">
        <f>B280+D280-E280-F280</f>
        <v>40454713.620000064</v>
      </c>
      <c r="H280" s="318">
        <v>35723116.57</v>
      </c>
      <c r="I280" s="320">
        <f>H280/G280*100</f>
        <v>88.30396602372474</v>
      </c>
      <c r="J280" s="320">
        <f>G280-H280</f>
        <v>4731597.0500000641</v>
      </c>
      <c r="K280" s="317">
        <f>J280/G280*100</f>
        <v>11.696033976275263</v>
      </c>
    </row>
    <row r="281" spans="1:13" s="827" customFormat="1" ht="21.75" customHeight="1" thickTop="1" thickBot="1" x14ac:dyDescent="0.3">
      <c r="A281" s="296" t="s">
        <v>36</v>
      </c>
      <c r="B281" s="297">
        <f>SUM(B279:B280)</f>
        <v>12821303.700000068</v>
      </c>
      <c r="C281" s="298"/>
      <c r="D281" s="297">
        <f>SUM(D279:D280)</f>
        <v>231922099.98000002</v>
      </c>
      <c r="E281" s="297">
        <f>SUM(E279:E280)</f>
        <v>46802106.589999996</v>
      </c>
      <c r="F281" s="297">
        <f>SUM(F279:F280)</f>
        <v>175087.84</v>
      </c>
      <c r="G281" s="297">
        <f>SUM(G279:G280)</f>
        <v>197766209.25000006</v>
      </c>
      <c r="H281" s="297">
        <f>SUM(H279:H280)</f>
        <v>176790394.81</v>
      </c>
      <c r="I281" s="297">
        <f>H281/G281*100</f>
        <v>89.393630732192406</v>
      </c>
      <c r="J281" s="297">
        <f>SUM(J279:J280)</f>
        <v>20975814.440000065</v>
      </c>
      <c r="K281" s="297">
        <f>J281/G281*100</f>
        <v>10.606369267807594</v>
      </c>
    </row>
    <row r="282" spans="1:13" s="827" customFormat="1" ht="11.25" customHeight="1" thickTop="1" x14ac:dyDescent="0.25">
      <c r="B282" s="828"/>
      <c r="C282" s="891"/>
      <c r="D282" s="828"/>
      <c r="E282" s="828"/>
      <c r="F282" s="828"/>
      <c r="G282" s="828"/>
      <c r="H282" s="828"/>
      <c r="I282" s="828"/>
      <c r="J282" s="828"/>
      <c r="K282" s="828"/>
    </row>
    <row r="283" spans="1:13" s="242" customFormat="1" ht="21.75" customHeight="1" x14ac:dyDescent="0.25">
      <c r="A283" s="321" t="s">
        <v>154</v>
      </c>
      <c r="B283" s="242" t="s">
        <v>128</v>
      </c>
      <c r="C283" s="322">
        <v>11156456.970000001</v>
      </c>
      <c r="D283" s="188" t="s">
        <v>155</v>
      </c>
      <c r="E283" s="188"/>
      <c r="F283" s="188"/>
      <c r="G283" s="188"/>
      <c r="H283" s="188"/>
      <c r="I283" s="188"/>
      <c r="J283" s="188"/>
      <c r="L283" s="881"/>
    </row>
    <row r="284" spans="1:13" s="751" customFormat="1" ht="21.75" customHeight="1" x14ac:dyDescent="0.25">
      <c r="B284" s="751" t="s">
        <v>412</v>
      </c>
      <c r="C284" s="804">
        <v>10076.07</v>
      </c>
      <c r="D284" s="804" t="s">
        <v>55</v>
      </c>
      <c r="E284" s="804" t="s">
        <v>1496</v>
      </c>
      <c r="F284" s="804"/>
      <c r="G284" s="804"/>
      <c r="H284" s="804"/>
      <c r="I284" s="804"/>
      <c r="J284" s="750"/>
    </row>
    <row r="285" spans="1:13" s="751" customFormat="1" ht="21.75" customHeight="1" x14ac:dyDescent="0.25">
      <c r="B285" s="751" t="s">
        <v>414</v>
      </c>
      <c r="C285" s="804">
        <v>60613.61</v>
      </c>
      <c r="D285" s="804" t="s">
        <v>55</v>
      </c>
      <c r="E285" s="804" t="s">
        <v>1497</v>
      </c>
      <c r="F285" s="804"/>
      <c r="G285" s="804"/>
      <c r="H285" s="804"/>
      <c r="I285" s="804"/>
      <c r="J285" s="750"/>
    </row>
    <row r="286" spans="1:13" s="751" customFormat="1" ht="21.75" customHeight="1" x14ac:dyDescent="0.25">
      <c r="B286" s="751" t="s">
        <v>416</v>
      </c>
      <c r="C286" s="804">
        <v>3233.7</v>
      </c>
      <c r="D286" s="804" t="s">
        <v>55</v>
      </c>
      <c r="E286" s="804" t="s">
        <v>1497</v>
      </c>
      <c r="F286" s="804"/>
      <c r="G286" s="804"/>
      <c r="H286" s="804"/>
      <c r="I286" s="804"/>
      <c r="J286" s="750"/>
    </row>
    <row r="287" spans="1:13" s="751" customFormat="1" ht="21.75" customHeight="1" x14ac:dyDescent="0.25">
      <c r="B287" s="751" t="s">
        <v>1498</v>
      </c>
      <c r="C287" s="804">
        <v>36676.86</v>
      </c>
      <c r="D287" s="804" t="s">
        <v>55</v>
      </c>
      <c r="E287" s="188"/>
      <c r="F287" s="804"/>
      <c r="G287" s="804"/>
      <c r="H287" s="804"/>
      <c r="I287" s="804"/>
      <c r="J287" s="750"/>
    </row>
    <row r="288" spans="1:13" s="242" customFormat="1" ht="21.75" customHeight="1" x14ac:dyDescent="0.25">
      <c r="B288" s="751" t="s">
        <v>1499</v>
      </c>
      <c r="C288" s="804">
        <v>11045856.73</v>
      </c>
      <c r="D288" s="804" t="s">
        <v>55</v>
      </c>
      <c r="E288" s="188"/>
      <c r="F288" s="804"/>
      <c r="G288" s="188"/>
      <c r="H288" s="188"/>
      <c r="I288" s="188"/>
      <c r="J288" s="275"/>
    </row>
    <row r="289" spans="1:13" s="242" customFormat="1" ht="21.75" customHeight="1" x14ac:dyDescent="0.25">
      <c r="B289" s="751"/>
      <c r="C289" s="804"/>
      <c r="D289" s="804"/>
      <c r="E289" s="188"/>
      <c r="F289" s="804"/>
      <c r="G289" s="188"/>
      <c r="H289" s="188"/>
      <c r="I289" s="188"/>
      <c r="J289" s="275"/>
    </row>
    <row r="290" spans="1:13" s="242" customFormat="1" ht="21.75" customHeight="1" x14ac:dyDescent="0.25">
      <c r="A290" s="321" t="s">
        <v>165</v>
      </c>
      <c r="B290" s="242" t="s">
        <v>128</v>
      </c>
      <c r="C290" s="322">
        <v>5087760.42</v>
      </c>
      <c r="D290" s="188" t="s">
        <v>55</v>
      </c>
      <c r="G290" s="188"/>
      <c r="H290" s="188"/>
      <c r="I290" s="188"/>
      <c r="J290" s="275"/>
    </row>
    <row r="291" spans="1:13" s="242" customFormat="1" ht="21.75" customHeight="1" x14ac:dyDescent="0.25">
      <c r="B291" s="242" t="s">
        <v>1500</v>
      </c>
      <c r="C291" s="188">
        <v>5087760.42</v>
      </c>
      <c r="D291" s="188" t="s">
        <v>55</v>
      </c>
      <c r="E291" s="188" t="s">
        <v>1501</v>
      </c>
      <c r="F291" s="188"/>
      <c r="G291" s="188"/>
      <c r="H291" s="188"/>
      <c r="I291" s="188"/>
      <c r="J291" s="275"/>
    </row>
    <row r="292" spans="1:13" s="242" customFormat="1" ht="21.75" customHeight="1" x14ac:dyDescent="0.25">
      <c r="B292" s="751"/>
      <c r="C292" s="322"/>
      <c r="D292" s="188"/>
      <c r="E292" s="188"/>
      <c r="F292" s="188"/>
      <c r="G292" s="188"/>
      <c r="H292" s="188"/>
      <c r="I292" s="188"/>
      <c r="J292" s="275"/>
    </row>
    <row r="293" spans="1:13" s="242" customFormat="1" ht="21.75" customHeight="1" x14ac:dyDescent="0.25">
      <c r="A293" s="321" t="s">
        <v>168</v>
      </c>
      <c r="B293" s="242" t="s">
        <v>128</v>
      </c>
      <c r="C293" s="188">
        <v>4731597.05</v>
      </c>
      <c r="D293" s="188" t="s">
        <v>155</v>
      </c>
      <c r="E293" s="188"/>
      <c r="F293" s="188"/>
      <c r="G293" s="188"/>
      <c r="H293" s="275"/>
    </row>
    <row r="294" spans="1:13" s="242" customFormat="1" ht="21.75" customHeight="1" x14ac:dyDescent="0.25">
      <c r="B294" s="242" t="s">
        <v>1502</v>
      </c>
      <c r="C294" s="188">
        <v>4731597.05</v>
      </c>
      <c r="D294" s="188" t="s">
        <v>55</v>
      </c>
      <c r="E294" s="188" t="s">
        <v>1503</v>
      </c>
      <c r="F294" s="188"/>
      <c r="G294" s="188"/>
      <c r="H294" s="188"/>
      <c r="I294" s="275"/>
    </row>
    <row r="295" spans="1:13" s="18" customFormat="1" x14ac:dyDescent="0.25">
      <c r="D295" s="21"/>
      <c r="E295" s="21"/>
      <c r="F295" s="21"/>
      <c r="G295" s="21"/>
      <c r="H295" s="21"/>
      <c r="I295" s="22"/>
    </row>
    <row r="296" spans="1:13" s="18" customFormat="1" x14ac:dyDescent="0.25">
      <c r="A296" s="83"/>
      <c r="B296" s="83"/>
      <c r="C296" s="112"/>
      <c r="D296" s="84"/>
      <c r="E296" s="84"/>
      <c r="F296" s="84"/>
      <c r="G296" s="83"/>
      <c r="H296" s="83"/>
      <c r="I296" s="83"/>
      <c r="J296" s="83"/>
      <c r="K296" s="84"/>
    </row>
    <row r="297" spans="1:13" s="18" customFormat="1" ht="21.75" customHeight="1" x14ac:dyDescent="0.25">
      <c r="B297" s="19"/>
      <c r="C297" s="112"/>
      <c r="D297" s="161"/>
      <c r="E297" s="160"/>
      <c r="F297" s="57"/>
      <c r="G297" s="19"/>
      <c r="H297" s="57"/>
      <c r="I297" s="57"/>
      <c r="J297" s="68"/>
      <c r="K297" s="57"/>
    </row>
    <row r="298" spans="1:13" s="18" customFormat="1" ht="21.75" customHeight="1" x14ac:dyDescent="0.25">
      <c r="B298" s="19"/>
      <c r="C298" s="162"/>
      <c r="D298" s="21"/>
      <c r="E298" s="160"/>
      <c r="F298" s="57"/>
      <c r="G298" s="19"/>
      <c r="H298" s="57"/>
      <c r="I298" s="57"/>
      <c r="J298" s="68"/>
      <c r="K298" s="57"/>
      <c r="M298" s="157"/>
    </row>
    <row r="299" spans="1:13" s="33" customFormat="1" ht="21.75" customHeight="1" x14ac:dyDescent="0.25">
      <c r="B299" s="38"/>
      <c r="C299" s="137"/>
      <c r="D299" s="38"/>
      <c r="E299" s="38"/>
      <c r="F299" s="38"/>
      <c r="G299" s="38"/>
      <c r="H299" s="38"/>
      <c r="I299" s="68"/>
      <c r="J299" s="68"/>
      <c r="K299" s="68"/>
    </row>
    <row r="300" spans="1:13" s="18" customFormat="1" ht="21.75" customHeight="1" x14ac:dyDescent="0.25">
      <c r="A300" s="33"/>
      <c r="B300" s="38"/>
      <c r="C300" s="137"/>
      <c r="D300" s="68"/>
      <c r="E300" s="68"/>
      <c r="F300" s="68"/>
      <c r="G300" s="38"/>
      <c r="H300" s="68"/>
      <c r="I300" s="68"/>
      <c r="J300" s="68"/>
      <c r="K300" s="68"/>
    </row>
    <row r="301" spans="1:13" s="33" customFormat="1" ht="21.75" customHeight="1" x14ac:dyDescent="0.25">
      <c r="B301" s="38"/>
      <c r="C301" s="137"/>
      <c r="D301" s="38"/>
      <c r="E301" s="38"/>
      <c r="F301" s="38"/>
      <c r="G301" s="38"/>
      <c r="H301" s="38"/>
      <c r="I301" s="38"/>
      <c r="J301" s="38"/>
      <c r="K301" s="38"/>
    </row>
    <row r="302" spans="1:13" s="18" customFormat="1" x14ac:dyDescent="0.25">
      <c r="D302" s="21"/>
      <c r="E302" s="21"/>
      <c r="F302" s="21"/>
      <c r="G302" s="21"/>
      <c r="H302" s="21"/>
      <c r="I302" s="22"/>
    </row>
    <row r="303" spans="1:13" s="18" customFormat="1" ht="27.75" customHeight="1" x14ac:dyDescent="0.25">
      <c r="A303" s="103"/>
      <c r="B303" s="33"/>
      <c r="C303" s="33"/>
      <c r="D303" s="38"/>
      <c r="E303" s="38"/>
      <c r="F303" s="38"/>
      <c r="G303" s="38"/>
      <c r="H303" s="21"/>
      <c r="I303" s="21"/>
      <c r="J303" s="21"/>
    </row>
    <row r="304" spans="1:13" s="18" customFormat="1" ht="21.75" customHeight="1" x14ac:dyDescent="0.25">
      <c r="A304" s="102"/>
      <c r="B304" s="33"/>
      <c r="C304" s="33"/>
      <c r="D304" s="38"/>
      <c r="E304" s="38"/>
      <c r="F304" s="38"/>
      <c r="G304" s="38"/>
      <c r="H304" s="21"/>
      <c r="I304" s="21"/>
      <c r="J304" s="21"/>
    </row>
    <row r="305" spans="1:11" s="18" customFormat="1" ht="21.75" customHeight="1" x14ac:dyDescent="0.25">
      <c r="A305" s="103"/>
      <c r="C305" s="158"/>
      <c r="D305" s="21"/>
      <c r="E305" s="21"/>
      <c r="F305" s="21"/>
      <c r="G305" s="21"/>
      <c r="H305" s="21"/>
      <c r="I305" s="21"/>
      <c r="J305" s="22"/>
    </row>
    <row r="306" spans="1:11" s="18" customFormat="1" ht="21.75" customHeight="1" x14ac:dyDescent="0.25">
      <c r="B306" s="25"/>
      <c r="C306" s="158"/>
      <c r="D306" s="21"/>
      <c r="E306" s="19"/>
      <c r="F306" s="19"/>
      <c r="G306" s="21"/>
      <c r="H306" s="21"/>
      <c r="I306" s="21"/>
      <c r="J306" s="22"/>
    </row>
    <row r="307" spans="1:11" s="18" customFormat="1" ht="21.75" customHeight="1" x14ac:dyDescent="0.25">
      <c r="C307" s="158"/>
      <c r="D307" s="21"/>
      <c r="E307" s="19"/>
      <c r="F307" s="19"/>
      <c r="G307" s="21"/>
      <c r="H307" s="21"/>
      <c r="I307" s="21"/>
      <c r="J307" s="22"/>
    </row>
    <row r="308" spans="1:11" s="18" customFormat="1" ht="21.75" customHeight="1" x14ac:dyDescent="0.25">
      <c r="C308" s="158"/>
      <c r="D308" s="21"/>
      <c r="E308" s="21"/>
      <c r="F308" s="19"/>
      <c r="G308" s="21"/>
      <c r="H308" s="21"/>
      <c r="I308" s="21"/>
      <c r="J308" s="22"/>
    </row>
    <row r="309" spans="1:11" s="18" customFormat="1" ht="21.75" customHeight="1" x14ac:dyDescent="0.25">
      <c r="C309" s="158"/>
      <c r="D309" s="21"/>
      <c r="E309" s="21"/>
      <c r="F309" s="19"/>
      <c r="G309" s="21"/>
      <c r="H309" s="21"/>
      <c r="I309" s="21"/>
      <c r="J309" s="22"/>
    </row>
    <row r="310" spans="1:11" s="18" customFormat="1" ht="21.75" customHeight="1" x14ac:dyDescent="0.25">
      <c r="C310" s="158"/>
      <c r="D310" s="21"/>
      <c r="E310" s="21"/>
      <c r="F310" s="19"/>
      <c r="G310" s="21"/>
      <c r="H310" s="21"/>
      <c r="I310" s="21"/>
      <c r="J310" s="22"/>
    </row>
    <row r="311" spans="1:11" s="18" customFormat="1" ht="21.75" customHeight="1" x14ac:dyDescent="0.25">
      <c r="C311" s="158"/>
      <c r="D311" s="21"/>
      <c r="E311" s="21"/>
      <c r="F311" s="19"/>
      <c r="G311" s="21"/>
      <c r="H311" s="21"/>
      <c r="I311" s="21"/>
      <c r="J311" s="22"/>
    </row>
    <row r="312" spans="1:11" s="18" customFormat="1" ht="21.75" customHeight="1" x14ac:dyDescent="0.25">
      <c r="A312" s="103"/>
      <c r="C312" s="158"/>
      <c r="D312" s="21"/>
      <c r="G312" s="21"/>
      <c r="H312" s="21"/>
      <c r="I312" s="21"/>
      <c r="J312" s="22"/>
    </row>
    <row r="313" spans="1:11" s="18" customFormat="1" ht="21.75" customHeight="1" x14ac:dyDescent="0.25">
      <c r="B313" s="25"/>
      <c r="C313" s="158"/>
      <c r="D313" s="21"/>
      <c r="E313" s="21"/>
      <c r="F313" s="21"/>
      <c r="G313" s="21"/>
      <c r="H313" s="21"/>
      <c r="I313" s="21"/>
      <c r="J313" s="22"/>
    </row>
    <row r="314" spans="1:11" s="18" customFormat="1" ht="21.75" customHeight="1" x14ac:dyDescent="0.25">
      <c r="B314" s="25"/>
      <c r="C314" s="158"/>
      <c r="D314" s="21"/>
      <c r="E314" s="21"/>
      <c r="F314" s="21"/>
      <c r="G314" s="21"/>
      <c r="H314" s="21"/>
      <c r="I314" s="21"/>
      <c r="J314" s="22"/>
    </row>
    <row r="315" spans="1:11" s="18" customFormat="1" ht="21.75" customHeight="1" x14ac:dyDescent="0.25">
      <c r="A315" s="103"/>
      <c r="C315" s="21"/>
      <c r="D315" s="21"/>
      <c r="E315" s="21"/>
      <c r="F315" s="21"/>
      <c r="G315" s="21"/>
      <c r="H315" s="22"/>
    </row>
    <row r="316" spans="1:11" s="18" customFormat="1" x14ac:dyDescent="0.25">
      <c r="C316" s="21"/>
      <c r="D316" s="21"/>
      <c r="E316" s="21"/>
      <c r="F316" s="21"/>
      <c r="G316" s="21"/>
      <c r="H316" s="21"/>
      <c r="I316" s="22"/>
    </row>
    <row r="317" spans="1:11" s="18" customFormat="1" x14ac:dyDescent="0.25">
      <c r="D317" s="21"/>
      <c r="E317" s="21"/>
      <c r="F317" s="21"/>
      <c r="G317" s="21"/>
      <c r="H317" s="21"/>
      <c r="I317" s="22"/>
    </row>
    <row r="318" spans="1:11" x14ac:dyDescent="0.3">
      <c r="A318" s="80"/>
      <c r="B318" s="56"/>
      <c r="C318" s="66"/>
      <c r="E318" s="81"/>
      <c r="F318" s="81"/>
      <c r="G318" s="56"/>
      <c r="H318" s="81"/>
      <c r="I318" s="81"/>
      <c r="J318" s="82"/>
      <c r="K318" s="81"/>
    </row>
    <row r="319" spans="1:11" s="101" customFormat="1" ht="21.75" customHeight="1" x14ac:dyDescent="0.25">
      <c r="C319" s="104"/>
      <c r="D319" s="38"/>
      <c r="E319" s="38"/>
      <c r="F319" s="105"/>
      <c r="G319" s="105"/>
      <c r="H319" s="105"/>
      <c r="I319" s="106"/>
      <c r="J319" s="105"/>
      <c r="K319" s="156"/>
    </row>
    <row r="320" spans="1:11" s="18" customFormat="1" x14ac:dyDescent="0.25">
      <c r="A320" s="83"/>
      <c r="B320" s="83"/>
      <c r="C320" s="112"/>
      <c r="D320" s="84"/>
      <c r="E320" s="84"/>
      <c r="F320" s="84"/>
      <c r="G320" s="83"/>
      <c r="H320" s="83"/>
      <c r="I320" s="83"/>
      <c r="J320" s="83"/>
      <c r="K320" s="84"/>
    </row>
    <row r="321" spans="1:13" s="18" customFormat="1" ht="21.75" customHeight="1" x14ac:dyDescent="0.25">
      <c r="B321" s="19"/>
      <c r="C321" s="162"/>
      <c r="D321" s="21"/>
      <c r="E321" s="160"/>
      <c r="F321" s="57"/>
      <c r="G321" s="19"/>
      <c r="H321" s="57"/>
      <c r="I321" s="57"/>
      <c r="J321" s="68"/>
      <c r="K321" s="57"/>
      <c r="M321" s="157"/>
    </row>
    <row r="322" spans="1:13" s="33" customFormat="1" ht="21.75" customHeight="1" x14ac:dyDescent="0.25">
      <c r="B322" s="38"/>
      <c r="C322" s="137"/>
      <c r="D322" s="38"/>
      <c r="E322" s="38"/>
      <c r="F322" s="38"/>
      <c r="G322" s="38"/>
      <c r="H322" s="38"/>
      <c r="I322" s="68"/>
      <c r="J322" s="68"/>
      <c r="K322" s="68"/>
    </row>
    <row r="323" spans="1:13" s="18" customFormat="1" x14ac:dyDescent="0.25">
      <c r="D323" s="21"/>
      <c r="E323" s="21"/>
      <c r="F323" s="21"/>
      <c r="G323" s="21"/>
      <c r="H323" s="21"/>
      <c r="I323" s="22"/>
    </row>
    <row r="324" spans="1:13" s="18" customFormat="1" ht="27.75" customHeight="1" x14ac:dyDescent="0.25">
      <c r="A324" s="103"/>
      <c r="B324" s="33"/>
      <c r="C324" s="33"/>
      <c r="D324" s="38"/>
      <c r="E324" s="38"/>
      <c r="F324" s="38"/>
      <c r="G324" s="38"/>
      <c r="H324" s="21"/>
      <c r="I324" s="21"/>
      <c r="J324" s="21"/>
    </row>
    <row r="325" spans="1:13" s="18" customFormat="1" ht="21.75" customHeight="1" x14ac:dyDescent="0.25">
      <c r="A325" s="102"/>
      <c r="B325" s="33"/>
      <c r="C325" s="33"/>
      <c r="D325" s="38"/>
      <c r="E325" s="38"/>
      <c r="F325" s="38"/>
      <c r="G325" s="38"/>
      <c r="H325" s="21"/>
      <c r="I325" s="21"/>
      <c r="J325" s="21"/>
    </row>
    <row r="326" spans="1:13" s="18" customFormat="1" ht="21.75" customHeight="1" x14ac:dyDescent="0.25">
      <c r="A326" s="102"/>
      <c r="B326" s="33"/>
      <c r="C326" s="33"/>
      <c r="D326" s="38"/>
      <c r="E326" s="38"/>
      <c r="F326" s="38"/>
      <c r="G326" s="38"/>
      <c r="H326" s="21"/>
      <c r="I326" s="21"/>
      <c r="J326" s="21"/>
    </row>
    <row r="327" spans="1:13" s="18" customFormat="1" ht="21.75" customHeight="1" x14ac:dyDescent="0.25">
      <c r="A327" s="103"/>
      <c r="C327" s="158"/>
      <c r="D327" s="21"/>
      <c r="E327" s="21"/>
      <c r="F327" s="21"/>
      <c r="G327" s="21"/>
      <c r="H327" s="21"/>
      <c r="I327" s="21"/>
      <c r="J327" s="22"/>
    </row>
    <row r="328" spans="1:13" s="18" customFormat="1" ht="21.75" customHeight="1" x14ac:dyDescent="0.25">
      <c r="B328" s="25"/>
      <c r="C328" s="158"/>
      <c r="D328" s="21"/>
      <c r="E328" s="19"/>
      <c r="F328" s="19"/>
      <c r="G328" s="21"/>
      <c r="H328" s="21"/>
      <c r="I328" s="21"/>
      <c r="J328" s="22"/>
    </row>
    <row r="329" spans="1:13" s="18" customFormat="1" ht="21.75" customHeight="1" x14ac:dyDescent="0.25">
      <c r="C329" s="158"/>
      <c r="D329" s="21"/>
      <c r="E329" s="19"/>
      <c r="F329" s="19"/>
      <c r="G329" s="21"/>
      <c r="H329" s="21"/>
      <c r="I329" s="21"/>
      <c r="J329" s="22"/>
    </row>
    <row r="330" spans="1:13" s="18" customFormat="1" ht="21.75" customHeight="1" x14ac:dyDescent="0.25">
      <c r="C330" s="158"/>
      <c r="D330" s="21"/>
      <c r="E330" s="21"/>
      <c r="F330" s="19"/>
      <c r="G330" s="21"/>
      <c r="H330" s="21"/>
      <c r="I330" s="21"/>
      <c r="J330" s="22"/>
    </row>
    <row r="331" spans="1:13" s="18" customFormat="1" ht="21.75" customHeight="1" x14ac:dyDescent="0.25">
      <c r="C331" s="158"/>
      <c r="D331" s="21"/>
      <c r="E331" s="21"/>
      <c r="F331" s="19"/>
      <c r="G331" s="21"/>
      <c r="H331" s="21"/>
      <c r="I331" s="21"/>
      <c r="J331" s="22"/>
    </row>
    <row r="332" spans="1:13" s="18" customFormat="1" ht="21.75" customHeight="1" x14ac:dyDescent="0.25">
      <c r="C332" s="158"/>
      <c r="D332" s="21"/>
      <c r="E332" s="21"/>
      <c r="F332" s="19"/>
      <c r="G332" s="21"/>
      <c r="H332" s="21"/>
      <c r="I332" s="21"/>
      <c r="J332" s="22"/>
    </row>
    <row r="333" spans="1:13" s="18" customFormat="1" ht="21.75" customHeight="1" x14ac:dyDescent="0.25">
      <c r="C333" s="158"/>
      <c r="D333" s="21"/>
      <c r="E333" s="21"/>
      <c r="F333" s="19"/>
      <c r="G333" s="21"/>
      <c r="H333" s="21"/>
      <c r="I333" s="21"/>
      <c r="J333" s="22"/>
    </row>
    <row r="334" spans="1:13" s="18" customFormat="1" ht="21.75" customHeight="1" x14ac:dyDescent="0.25">
      <c r="A334" s="103"/>
      <c r="C334" s="158"/>
      <c r="D334" s="21"/>
      <c r="G334" s="21"/>
      <c r="H334" s="21"/>
      <c r="I334" s="21"/>
      <c r="J334" s="22"/>
    </row>
    <row r="335" spans="1:13" s="18" customFormat="1" ht="21.75" customHeight="1" x14ac:dyDescent="0.25">
      <c r="B335" s="25"/>
      <c r="C335" s="158"/>
      <c r="D335" s="21"/>
      <c r="E335" s="21"/>
      <c r="F335" s="21"/>
      <c r="G335" s="21"/>
      <c r="H335" s="21"/>
      <c r="I335" s="21"/>
      <c r="J335" s="22"/>
    </row>
    <row r="336" spans="1:13" s="18" customFormat="1" ht="21.75" customHeight="1" x14ac:dyDescent="0.25">
      <c r="B336" s="25"/>
      <c r="C336" s="158"/>
      <c r="D336" s="21"/>
      <c r="E336" s="21"/>
      <c r="F336" s="21"/>
      <c r="G336" s="21"/>
      <c r="H336" s="21"/>
      <c r="I336" s="21"/>
      <c r="J336" s="22"/>
    </row>
    <row r="337" spans="1:13" s="18" customFormat="1" ht="21.75" customHeight="1" x14ac:dyDescent="0.25">
      <c r="A337" s="103"/>
      <c r="C337" s="21"/>
      <c r="D337" s="21"/>
      <c r="E337" s="21"/>
      <c r="F337" s="21"/>
      <c r="G337" s="21"/>
      <c r="H337" s="22"/>
    </row>
    <row r="338" spans="1:13" s="18" customFormat="1" x14ac:dyDescent="0.25">
      <c r="C338" s="21"/>
      <c r="D338" s="21"/>
      <c r="E338" s="21"/>
      <c r="F338" s="21"/>
      <c r="G338" s="21"/>
      <c r="H338" s="21"/>
      <c r="I338" s="22"/>
    </row>
    <row r="339" spans="1:13" s="18" customFormat="1" x14ac:dyDescent="0.25">
      <c r="D339" s="21"/>
      <c r="E339" s="21"/>
      <c r="F339" s="21"/>
      <c r="G339" s="21"/>
      <c r="H339" s="21"/>
      <c r="I339" s="22"/>
    </row>
    <row r="340" spans="1:13" s="18" customFormat="1" x14ac:dyDescent="0.25">
      <c r="A340" s="111"/>
      <c r="C340" s="21"/>
      <c r="D340" s="21"/>
      <c r="E340" s="21"/>
      <c r="F340" s="21"/>
      <c r="G340" s="21"/>
      <c r="H340" s="22"/>
    </row>
    <row r="341" spans="1:13" s="101" customFormat="1" ht="21.75" customHeight="1" x14ac:dyDescent="0.25">
      <c r="C341" s="104"/>
      <c r="D341" s="38"/>
      <c r="E341" s="38"/>
      <c r="F341" s="105"/>
      <c r="G341" s="105"/>
      <c r="H341" s="105"/>
      <c r="I341" s="106"/>
      <c r="J341" s="105"/>
      <c r="K341" s="156"/>
    </row>
    <row r="342" spans="1:13" s="18" customFormat="1" x14ac:dyDescent="0.25">
      <c r="A342" s="83"/>
      <c r="B342" s="83"/>
      <c r="C342" s="112"/>
      <c r="D342" s="84"/>
      <c r="E342" s="84"/>
      <c r="F342" s="84"/>
      <c r="G342" s="83"/>
      <c r="H342" s="83"/>
      <c r="I342" s="83"/>
      <c r="J342" s="83"/>
      <c r="K342" s="84"/>
    </row>
    <row r="343" spans="1:13" s="18" customFormat="1" ht="21.75" customHeight="1" x14ac:dyDescent="0.25">
      <c r="B343" s="19"/>
      <c r="C343" s="112"/>
      <c r="D343" s="161"/>
      <c r="E343" s="161"/>
      <c r="F343" s="57"/>
      <c r="G343" s="19"/>
      <c r="H343" s="57"/>
      <c r="I343" s="57"/>
      <c r="J343" s="68"/>
      <c r="K343" s="57"/>
    </row>
    <row r="344" spans="1:13" s="18" customFormat="1" ht="21.75" customHeight="1" x14ac:dyDescent="0.25">
      <c r="B344" s="19"/>
      <c r="C344" s="162"/>
      <c r="D344" s="21"/>
      <c r="E344" s="161"/>
      <c r="F344" s="57"/>
      <c r="G344" s="19"/>
      <c r="H344" s="57"/>
      <c r="I344" s="57"/>
      <c r="J344" s="68"/>
      <c r="K344" s="57"/>
      <c r="M344" s="157"/>
    </row>
    <row r="345" spans="1:13" s="33" customFormat="1" ht="21.75" customHeight="1" x14ac:dyDescent="0.25">
      <c r="B345" s="38"/>
      <c r="C345" s="137"/>
      <c r="D345" s="38"/>
      <c r="E345" s="38"/>
      <c r="F345" s="38"/>
      <c r="G345" s="38"/>
      <c r="H345" s="38"/>
      <c r="I345" s="38"/>
      <c r="J345" s="38"/>
      <c r="K345" s="68"/>
    </row>
    <row r="346" spans="1:13" s="18" customFormat="1" ht="21.75" customHeight="1" x14ac:dyDescent="0.25">
      <c r="A346" s="33"/>
      <c r="B346" s="38"/>
      <c r="C346" s="137"/>
      <c r="D346" s="68"/>
      <c r="E346" s="68"/>
      <c r="F346" s="68"/>
      <c r="G346" s="38"/>
      <c r="H346" s="68"/>
      <c r="I346" s="68"/>
      <c r="J346" s="68"/>
      <c r="K346" s="68"/>
    </row>
    <row r="347" spans="1:13" s="33" customFormat="1" ht="21.75" customHeight="1" x14ac:dyDescent="0.25">
      <c r="B347" s="38"/>
      <c r="C347" s="137"/>
      <c r="D347" s="38"/>
      <c r="E347" s="38"/>
      <c r="F347" s="38"/>
      <c r="G347" s="38"/>
      <c r="H347" s="38"/>
      <c r="I347" s="38"/>
      <c r="J347" s="38"/>
      <c r="K347" s="38"/>
    </row>
    <row r="348" spans="1:13" s="18" customFormat="1" x14ac:dyDescent="0.25">
      <c r="D348" s="21"/>
      <c r="E348" s="21"/>
      <c r="F348" s="21"/>
      <c r="G348" s="21"/>
      <c r="H348" s="21"/>
      <c r="I348" s="22"/>
      <c r="J348" s="159"/>
    </row>
    <row r="349" spans="1:13" s="18" customFormat="1" ht="21.75" customHeight="1" x14ac:dyDescent="0.25">
      <c r="A349" s="103"/>
      <c r="C349" s="158"/>
      <c r="D349" s="21"/>
      <c r="E349" s="21"/>
      <c r="F349" s="21"/>
      <c r="G349" s="21"/>
      <c r="H349" s="21"/>
      <c r="I349" s="21"/>
      <c r="J349" s="22"/>
    </row>
    <row r="350" spans="1:13" s="18" customFormat="1" ht="21.75" customHeight="1" x14ac:dyDescent="0.25">
      <c r="B350" s="25"/>
      <c r="C350" s="158"/>
      <c r="D350" s="21"/>
      <c r="E350" s="19"/>
      <c r="F350" s="19"/>
      <c r="G350" s="21"/>
      <c r="H350" s="21"/>
      <c r="I350" s="21"/>
      <c r="J350" s="22"/>
    </row>
    <row r="351" spans="1:13" s="18" customFormat="1" ht="21.75" customHeight="1" x14ac:dyDescent="0.25">
      <c r="C351" s="158"/>
      <c r="D351" s="21"/>
      <c r="E351" s="19"/>
      <c r="F351" s="19"/>
      <c r="G351" s="21"/>
      <c r="H351" s="21"/>
      <c r="I351" s="21"/>
      <c r="J351" s="22"/>
    </row>
    <row r="352" spans="1:13" s="18" customFormat="1" ht="21.75" customHeight="1" x14ac:dyDescent="0.25">
      <c r="C352" s="158"/>
      <c r="D352" s="21"/>
      <c r="E352" s="19"/>
      <c r="F352" s="19"/>
      <c r="G352" s="21"/>
      <c r="H352" s="21"/>
      <c r="I352" s="21"/>
      <c r="J352" s="22"/>
    </row>
    <row r="353" spans="1:11" s="18" customFormat="1" ht="21.75" customHeight="1" x14ac:dyDescent="0.25">
      <c r="C353" s="158"/>
      <c r="D353" s="21"/>
      <c r="E353" s="21"/>
      <c r="F353" s="21"/>
      <c r="G353" s="21"/>
      <c r="H353" s="21"/>
      <c r="I353" s="21"/>
      <c r="J353" s="22"/>
    </row>
    <row r="354" spans="1:11" s="18" customFormat="1" ht="21.75" customHeight="1" x14ac:dyDescent="0.25">
      <c r="C354" s="158"/>
      <c r="D354" s="21"/>
      <c r="E354" s="21"/>
      <c r="F354" s="19"/>
      <c r="G354" s="21"/>
      <c r="H354" s="21"/>
      <c r="I354" s="21"/>
      <c r="J354" s="22"/>
    </row>
    <row r="355" spans="1:11" s="18" customFormat="1" ht="21.75" customHeight="1" x14ac:dyDescent="0.25">
      <c r="A355" s="103"/>
      <c r="C355" s="158"/>
      <c r="D355" s="21"/>
      <c r="G355" s="21"/>
      <c r="H355" s="21"/>
      <c r="I355" s="21"/>
      <c r="J355" s="22"/>
    </row>
    <row r="356" spans="1:11" s="18" customFormat="1" ht="21.75" customHeight="1" x14ac:dyDescent="0.25">
      <c r="B356" s="25"/>
      <c r="C356" s="158"/>
      <c r="D356" s="21"/>
      <c r="E356" s="21"/>
      <c r="F356" s="21"/>
      <c r="G356" s="21"/>
      <c r="H356" s="21"/>
      <c r="I356" s="21"/>
      <c r="J356" s="22"/>
    </row>
    <row r="357" spans="1:11" s="18" customFormat="1" ht="21.75" customHeight="1" x14ac:dyDescent="0.25">
      <c r="B357" s="25"/>
      <c r="C357" s="158"/>
      <c r="D357" s="21"/>
      <c r="E357" s="21"/>
      <c r="F357" s="21"/>
      <c r="G357" s="21"/>
      <c r="H357" s="21"/>
      <c r="I357" s="21"/>
      <c r="J357" s="22"/>
    </row>
    <row r="358" spans="1:11" s="18" customFormat="1" ht="21.75" customHeight="1" x14ac:dyDescent="0.25">
      <c r="A358" s="103"/>
      <c r="C358" s="21"/>
      <c r="D358" s="21"/>
      <c r="E358" s="21"/>
      <c r="F358" s="21"/>
      <c r="G358" s="21"/>
      <c r="H358" s="22"/>
    </row>
    <row r="359" spans="1:11" s="18" customFormat="1" ht="21.95" customHeight="1" x14ac:dyDescent="0.25">
      <c r="C359" s="21"/>
      <c r="D359" s="21"/>
      <c r="E359" s="21"/>
      <c r="F359" s="21"/>
      <c r="G359" s="21"/>
      <c r="H359" s="21"/>
      <c r="I359" s="22"/>
    </row>
    <row r="360" spans="1:11" x14ac:dyDescent="0.3">
      <c r="A360" s="80"/>
      <c r="B360" s="56"/>
      <c r="C360" s="110"/>
      <c r="E360" s="81"/>
      <c r="F360" s="81"/>
      <c r="G360" s="56"/>
      <c r="H360" s="81"/>
      <c r="I360" s="81"/>
      <c r="J360" s="82"/>
      <c r="K360" s="81"/>
    </row>
    <row r="361" spans="1:11" s="18" customFormat="1" x14ac:dyDescent="0.25">
      <c r="B361" s="25"/>
      <c r="C361" s="21"/>
      <c r="D361" s="21"/>
      <c r="E361" s="21"/>
      <c r="F361" s="21"/>
      <c r="G361" s="21"/>
      <c r="H361" s="22"/>
    </row>
    <row r="362" spans="1:11" s="18" customFormat="1" x14ac:dyDescent="0.25">
      <c r="B362" s="25"/>
      <c r="C362" s="21"/>
      <c r="D362" s="21"/>
      <c r="E362" s="21"/>
      <c r="F362" s="21"/>
      <c r="G362" s="21"/>
      <c r="H362" s="22"/>
    </row>
    <row r="363" spans="1:11" s="18" customFormat="1" x14ac:dyDescent="0.25">
      <c r="B363" s="25"/>
      <c r="C363" s="21"/>
      <c r="D363" s="21"/>
      <c r="E363" s="21"/>
      <c r="F363" s="21"/>
      <c r="G363" s="21"/>
      <c r="H363" s="22"/>
    </row>
    <row r="364" spans="1:11" s="18" customFormat="1" x14ac:dyDescent="0.25">
      <c r="A364" s="111"/>
      <c r="C364" s="21"/>
      <c r="D364" s="21"/>
      <c r="E364" s="21"/>
      <c r="F364" s="21"/>
      <c r="G364" s="21"/>
      <c r="H364" s="21"/>
      <c r="I364" s="21"/>
    </row>
    <row r="365" spans="1:11" s="18" customFormat="1" x14ac:dyDescent="0.25">
      <c r="A365" s="111"/>
      <c r="C365" s="21"/>
      <c r="D365" s="21"/>
      <c r="E365" s="21"/>
      <c r="F365" s="21"/>
      <c r="G365" s="21"/>
      <c r="H365" s="22"/>
      <c r="I365" s="41"/>
    </row>
    <row r="366" spans="1:11" s="18" customFormat="1" x14ac:dyDescent="0.25">
      <c r="D366" s="21"/>
      <c r="E366" s="21"/>
      <c r="F366" s="21"/>
      <c r="G366" s="21"/>
      <c r="H366" s="21"/>
      <c r="I366" s="22"/>
    </row>
    <row r="367" spans="1:11" s="18" customFormat="1" x14ac:dyDescent="0.25">
      <c r="A367" s="111"/>
      <c r="C367" s="21"/>
      <c r="D367" s="21"/>
      <c r="E367" s="21"/>
      <c r="F367" s="21"/>
      <c r="G367" s="21"/>
      <c r="H367" s="22"/>
    </row>
    <row r="370" spans="1:12" s="101" customFormat="1" x14ac:dyDescent="0.25">
      <c r="C370" s="104"/>
      <c r="D370" s="38"/>
      <c r="E370" s="38"/>
      <c r="F370" s="105"/>
      <c r="G370" s="105"/>
      <c r="H370" s="105"/>
      <c r="I370" s="106"/>
    </row>
    <row r="371" spans="1:12" s="18" customFormat="1" x14ac:dyDescent="0.25">
      <c r="C371" s="24"/>
      <c r="D371" s="21"/>
      <c r="E371" s="21"/>
      <c r="F371" s="21"/>
      <c r="G371" s="21"/>
      <c r="H371" s="21"/>
      <c r="I371" s="22"/>
    </row>
    <row r="372" spans="1:12" s="18" customFormat="1" x14ac:dyDescent="0.25">
      <c r="A372" s="83"/>
      <c r="B372" s="83"/>
      <c r="C372" s="112"/>
      <c r="D372" s="84"/>
      <c r="E372" s="84"/>
      <c r="F372" s="84"/>
      <c r="G372" s="83"/>
      <c r="H372" s="83"/>
      <c r="I372" s="83"/>
      <c r="J372" s="83"/>
      <c r="K372" s="84"/>
    </row>
    <row r="373" spans="1:12" s="18" customFormat="1" x14ac:dyDescent="0.25">
      <c r="B373" s="19"/>
      <c r="C373" s="112"/>
      <c r="D373" s="21"/>
      <c r="E373" s="57"/>
      <c r="F373" s="57"/>
      <c r="G373" s="19"/>
      <c r="H373" s="57"/>
      <c r="I373" s="57"/>
      <c r="J373" s="68"/>
      <c r="K373" s="57"/>
    </row>
    <row r="374" spans="1:12" s="18" customFormat="1" x14ac:dyDescent="0.25">
      <c r="B374" s="19"/>
      <c r="C374" s="112"/>
      <c r="D374" s="21"/>
      <c r="E374" s="57"/>
      <c r="F374" s="57"/>
      <c r="G374" s="19"/>
      <c r="H374" s="57"/>
      <c r="I374" s="57"/>
      <c r="J374" s="68"/>
      <c r="K374" s="57"/>
    </row>
    <row r="375" spans="1:12" s="33" customFormat="1" x14ac:dyDescent="0.25">
      <c r="B375" s="38"/>
      <c r="C375" s="137"/>
      <c r="D375" s="38"/>
      <c r="E375" s="38"/>
      <c r="F375" s="38"/>
      <c r="G375" s="38"/>
      <c r="H375" s="38"/>
      <c r="I375" s="68"/>
      <c r="J375" s="68"/>
      <c r="K375" s="68"/>
    </row>
    <row r="376" spans="1:12" s="18" customFormat="1" x14ac:dyDescent="0.25">
      <c r="A376" s="83"/>
      <c r="B376" s="113"/>
      <c r="C376" s="112"/>
      <c r="D376" s="84"/>
      <c r="E376" s="84"/>
      <c r="F376" s="109"/>
      <c r="G376" s="83"/>
      <c r="H376" s="83"/>
      <c r="I376" s="83"/>
      <c r="J376" s="83"/>
      <c r="K376" s="84"/>
    </row>
    <row r="377" spans="1:12" s="18" customFormat="1" x14ac:dyDescent="0.25">
      <c r="B377" s="19"/>
      <c r="C377" s="137"/>
      <c r="D377" s="21"/>
      <c r="E377" s="57"/>
      <c r="F377" s="57"/>
      <c r="G377" s="19"/>
      <c r="H377" s="57"/>
      <c r="I377" s="57"/>
      <c r="J377" s="68"/>
      <c r="K377" s="57"/>
      <c r="L377" s="21"/>
    </row>
    <row r="378" spans="1:12" s="18" customFormat="1" x14ac:dyDescent="0.25">
      <c r="B378" s="19"/>
      <c r="C378" s="137"/>
      <c r="D378" s="21"/>
      <c r="E378" s="57"/>
      <c r="F378" s="57"/>
      <c r="G378" s="19"/>
      <c r="H378" s="57"/>
      <c r="I378" s="57"/>
      <c r="J378" s="68"/>
      <c r="K378" s="57"/>
    </row>
    <row r="379" spans="1:12" s="18" customFormat="1" x14ac:dyDescent="0.25">
      <c r="B379" s="19"/>
      <c r="C379" s="137"/>
      <c r="D379" s="21"/>
      <c r="E379" s="19"/>
      <c r="F379" s="57"/>
      <c r="G379" s="19"/>
      <c r="H379" s="57"/>
      <c r="I379" s="57"/>
      <c r="J379" s="68"/>
      <c r="K379" s="57"/>
    </row>
    <row r="380" spans="1:12" s="33" customFormat="1" x14ac:dyDescent="0.25">
      <c r="B380" s="38"/>
      <c r="C380" s="137"/>
      <c r="D380" s="38"/>
      <c r="E380" s="38"/>
      <c r="F380" s="38"/>
      <c r="G380" s="38"/>
      <c r="H380" s="38"/>
      <c r="I380" s="38"/>
      <c r="J380" s="38"/>
      <c r="K380" s="38"/>
    </row>
    <row r="381" spans="1:12" s="18" customFormat="1" x14ac:dyDescent="0.25">
      <c r="D381" s="21"/>
      <c r="E381" s="21"/>
      <c r="F381" s="21"/>
      <c r="G381" s="21"/>
      <c r="H381" s="21"/>
      <c r="I381" s="22"/>
    </row>
    <row r="382" spans="1:12" s="18" customFormat="1" x14ac:dyDescent="0.25">
      <c r="A382" s="83"/>
      <c r="B382" s="83"/>
      <c r="C382" s="112"/>
      <c r="D382" s="84"/>
      <c r="E382" s="84"/>
      <c r="F382" s="84"/>
      <c r="G382" s="83"/>
      <c r="H382" s="83"/>
      <c r="I382" s="83"/>
      <c r="J382" s="83"/>
      <c r="K382" s="84"/>
    </row>
    <row r="383" spans="1:12" s="18" customFormat="1" x14ac:dyDescent="0.25">
      <c r="B383" s="19"/>
      <c r="C383" s="112"/>
      <c r="D383" s="21"/>
      <c r="E383" s="57"/>
      <c r="F383" s="57"/>
      <c r="G383" s="19"/>
      <c r="H383" s="57"/>
      <c r="I383" s="57"/>
      <c r="J383" s="68"/>
      <c r="K383" s="57"/>
    </row>
    <row r="384" spans="1:12" s="18" customFormat="1" x14ac:dyDescent="0.25">
      <c r="B384" s="19"/>
      <c r="C384" s="112"/>
      <c r="D384" s="21"/>
      <c r="E384" s="57"/>
      <c r="F384" s="57"/>
      <c r="G384" s="19"/>
      <c r="H384" s="57"/>
      <c r="I384" s="57"/>
      <c r="J384" s="68"/>
      <c r="K384" s="57"/>
    </row>
    <row r="385" spans="1:12" s="33" customFormat="1" x14ac:dyDescent="0.25">
      <c r="B385" s="38"/>
      <c r="C385" s="137"/>
      <c r="D385" s="38"/>
      <c r="E385" s="38"/>
      <c r="F385" s="38"/>
      <c r="G385" s="38"/>
      <c r="H385" s="38"/>
      <c r="I385" s="68"/>
      <c r="J385" s="68"/>
      <c r="K385" s="68"/>
    </row>
    <row r="386" spans="1:12" s="18" customFormat="1" x14ac:dyDescent="0.25">
      <c r="A386" s="83"/>
      <c r="B386" s="113"/>
      <c r="C386" s="112"/>
      <c r="D386" s="84"/>
      <c r="E386" s="84"/>
      <c r="F386" s="109"/>
      <c r="G386" s="83"/>
      <c r="H386" s="83"/>
      <c r="I386" s="83"/>
      <c r="J386" s="83"/>
      <c r="K386" s="84"/>
    </row>
    <row r="387" spans="1:12" s="18" customFormat="1" x14ac:dyDescent="0.25">
      <c r="B387" s="19"/>
      <c r="C387" s="137"/>
      <c r="D387" s="21"/>
      <c r="E387" s="57"/>
      <c r="F387" s="57"/>
      <c r="G387" s="19"/>
      <c r="H387" s="57"/>
      <c r="I387" s="57"/>
      <c r="J387" s="68"/>
      <c r="K387" s="57"/>
      <c r="L387" s="21"/>
    </row>
    <row r="388" spans="1:12" s="18" customFormat="1" x14ac:dyDescent="0.25">
      <c r="B388" s="19"/>
      <c r="C388" s="137"/>
      <c r="D388" s="21"/>
      <c r="E388" s="57"/>
      <c r="F388" s="57"/>
      <c r="G388" s="19"/>
      <c r="H388" s="57"/>
      <c r="I388" s="57"/>
      <c r="J388" s="68"/>
      <c r="K388" s="57"/>
    </row>
    <row r="389" spans="1:12" s="18" customFormat="1" x14ac:dyDescent="0.25">
      <c r="B389" s="19"/>
      <c r="C389" s="137"/>
      <c r="D389" s="21"/>
      <c r="E389" s="19"/>
      <c r="F389" s="57"/>
      <c r="G389" s="19"/>
      <c r="H389" s="57"/>
      <c r="I389" s="57"/>
      <c r="J389" s="68"/>
      <c r="K389" s="57"/>
    </row>
    <row r="390" spans="1:12" s="33" customFormat="1" x14ac:dyDescent="0.25">
      <c r="B390" s="38"/>
      <c r="C390" s="137"/>
      <c r="D390" s="38"/>
      <c r="E390" s="38"/>
      <c r="F390" s="38"/>
      <c r="G390" s="38"/>
      <c r="H390" s="38"/>
      <c r="I390" s="38"/>
      <c r="J390" s="38"/>
      <c r="K390" s="38"/>
    </row>
    <row r="391" spans="1:12" s="18" customFormat="1" x14ac:dyDescent="0.25">
      <c r="D391" s="21"/>
      <c r="E391" s="21"/>
      <c r="F391" s="21"/>
      <c r="G391" s="21"/>
      <c r="H391" s="21"/>
      <c r="I391" s="22"/>
    </row>
    <row r="392" spans="1:12" s="18" customFormat="1" x14ac:dyDescent="0.25">
      <c r="D392" s="21"/>
      <c r="E392" s="21"/>
      <c r="F392" s="21"/>
      <c r="G392" s="21"/>
      <c r="H392" s="21"/>
      <c r="I392" s="22"/>
    </row>
    <row r="393" spans="1:12" s="18" customFormat="1" x14ac:dyDescent="0.25">
      <c r="A393" s="102"/>
      <c r="D393" s="21"/>
      <c r="E393" s="21"/>
      <c r="F393" s="21"/>
      <c r="G393" s="21"/>
      <c r="H393" s="21"/>
      <c r="I393" s="21"/>
      <c r="J393" s="21"/>
    </row>
    <row r="394" spans="1:12" s="18" customFormat="1" x14ac:dyDescent="0.25">
      <c r="A394" s="102"/>
      <c r="D394" s="21"/>
      <c r="E394" s="21"/>
      <c r="F394" s="21"/>
      <c r="G394" s="21"/>
      <c r="H394" s="21"/>
      <c r="I394" s="21"/>
      <c r="J394" s="21"/>
    </row>
    <row r="395" spans="1:12" s="18" customFormat="1" x14ac:dyDescent="0.25">
      <c r="A395" s="102"/>
      <c r="E395" s="21"/>
      <c r="F395" s="21"/>
      <c r="G395" s="21"/>
      <c r="H395" s="21"/>
      <c r="I395" s="21"/>
      <c r="J395" s="21"/>
    </row>
    <row r="396" spans="1:12" s="18" customFormat="1" x14ac:dyDescent="0.25">
      <c r="A396" s="103"/>
      <c r="C396" s="21"/>
      <c r="D396" s="21"/>
      <c r="E396" s="21"/>
      <c r="F396" s="21"/>
      <c r="G396" s="21"/>
      <c r="H396" s="21"/>
      <c r="I396" s="21"/>
      <c r="J396" s="22"/>
    </row>
    <row r="397" spans="1:12" s="18" customFormat="1" x14ac:dyDescent="0.25">
      <c r="B397" s="25"/>
      <c r="C397" s="19"/>
      <c r="D397" s="21"/>
      <c r="E397" s="19"/>
      <c r="F397" s="19"/>
      <c r="G397" s="21"/>
      <c r="H397" s="21"/>
      <c r="I397" s="21"/>
      <c r="J397" s="22"/>
    </row>
    <row r="398" spans="1:12" s="18" customFormat="1" x14ac:dyDescent="0.25">
      <c r="B398" s="25"/>
      <c r="C398" s="19"/>
      <c r="D398" s="21"/>
      <c r="E398" s="19"/>
      <c r="F398" s="19"/>
      <c r="G398" s="21"/>
      <c r="H398" s="21"/>
      <c r="I398" s="21"/>
      <c r="J398" s="22"/>
    </row>
    <row r="399" spans="1:12" s="18" customFormat="1" x14ac:dyDescent="0.25">
      <c r="B399" s="25"/>
      <c r="C399" s="19"/>
      <c r="D399" s="21"/>
      <c r="E399" s="21"/>
      <c r="F399" s="19"/>
      <c r="G399" s="21"/>
      <c r="H399" s="21"/>
      <c r="I399" s="21"/>
      <c r="J399" s="22"/>
    </row>
    <row r="400" spans="1:12" s="18" customFormat="1" x14ac:dyDescent="0.25">
      <c r="A400" s="103"/>
      <c r="C400" s="21"/>
      <c r="D400" s="21"/>
      <c r="E400" s="21"/>
      <c r="F400" s="21"/>
      <c r="G400" s="21"/>
      <c r="H400" s="21"/>
      <c r="I400" s="21"/>
      <c r="J400" s="22"/>
    </row>
    <row r="401" spans="1:10" s="18" customFormat="1" x14ac:dyDescent="0.25">
      <c r="D401" s="21"/>
      <c r="E401" s="21"/>
      <c r="F401" s="21"/>
      <c r="G401" s="21"/>
      <c r="H401" s="21"/>
      <c r="I401" s="21"/>
      <c r="J401" s="22"/>
    </row>
    <row r="402" spans="1:10" s="18" customFormat="1" x14ac:dyDescent="0.25">
      <c r="A402" s="103"/>
      <c r="C402" s="21"/>
      <c r="D402" s="21"/>
      <c r="E402" s="21"/>
      <c r="F402" s="21"/>
      <c r="G402" s="21"/>
      <c r="H402" s="22"/>
      <c r="I402" s="41"/>
    </row>
    <row r="403" spans="1:10" s="18" customFormat="1" x14ac:dyDescent="0.25">
      <c r="D403" s="21"/>
      <c r="E403" s="21"/>
      <c r="F403" s="21"/>
      <c r="G403" s="21"/>
      <c r="H403" s="21"/>
      <c r="I403" s="22"/>
    </row>
    <row r="404" spans="1:10" s="18" customFormat="1" x14ac:dyDescent="0.25">
      <c r="A404" s="103"/>
      <c r="C404" s="21"/>
      <c r="D404" s="21"/>
      <c r="E404" s="21"/>
      <c r="F404" s="21"/>
      <c r="G404" s="21"/>
      <c r="H404" s="22"/>
    </row>
    <row r="405" spans="1:10" s="18" customFormat="1" x14ac:dyDescent="0.25">
      <c r="D405" s="21"/>
      <c r="E405" s="21"/>
      <c r="F405" s="21"/>
      <c r="G405" s="21"/>
      <c r="H405" s="21"/>
      <c r="I405" s="22"/>
    </row>
  </sheetData>
  <printOptions horizontalCentered="1"/>
  <pageMargins left="0" right="0" top="0.95" bottom="0" header="0" footer="0"/>
  <pageSetup scale="52" fitToHeight="0" orientation="landscape" r:id="rId1"/>
  <headerFooter>
    <oddHeader>&amp;F</oddHeader>
    <oddFooter>&amp;A&amp;RPage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TOPS</vt:lpstr>
      <vt:lpstr>Foodland</vt:lpstr>
      <vt:lpstr>B2S </vt:lpstr>
      <vt:lpstr>Big-c</vt:lpstr>
      <vt:lpstr>CP ALL</vt:lpstr>
      <vt:lpstr>เซ็นทรัล แฟมิลี่มาร์ท</vt:lpstr>
      <vt:lpstr>Makro</vt:lpstr>
      <vt:lpstr>The Mall</vt:lpstr>
      <vt:lpstr>โลตัส</vt:lpstr>
      <vt:lpstr>ไทยC</vt:lpstr>
      <vt:lpstr>Aeon</vt:lpstr>
      <vt:lpstr>วิลล่า</vt:lpstr>
      <vt:lpstr>สหลอร์</vt:lpstr>
      <vt:lpstr>Boot</vt:lpstr>
      <vt:lpstr>CJ</vt:lpstr>
      <vt:lpstr>Watson</vt:lpstr>
      <vt:lpstr>PT</vt:lpstr>
      <vt:lpstr>Chart1</vt:lpstr>
      <vt:lpstr>Boot!Print_Area</vt:lpstr>
      <vt:lpstr>'เซ็นทรัล แฟมิลี่มาร์ท'!Print_Area</vt:lpstr>
    </vt:vector>
  </TitlesOfParts>
  <Company>Sino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Center-Imjit</dc:creator>
  <cp:lastModifiedBy>Acc-Im1-Pc</cp:lastModifiedBy>
  <cp:lastPrinted>2021-08-19T09:11:28Z</cp:lastPrinted>
  <dcterms:created xsi:type="dcterms:W3CDTF">2014-09-12T07:49:51Z</dcterms:created>
  <dcterms:modified xsi:type="dcterms:W3CDTF">2022-02-09T02:43:49Z</dcterms:modified>
</cp:coreProperties>
</file>