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ยอดเก็บ Modern Trade\ปี 65\"/>
    </mc:Choice>
  </mc:AlternateContent>
  <bookViews>
    <workbookView xWindow="0" yWindow="0" windowWidth="20490" windowHeight="7665" tabRatio="599" firstSheet="6" activeTab="16"/>
  </bookViews>
  <sheets>
    <sheet name="TOPS" sheetId="6" r:id="rId1"/>
    <sheet name="Foodland" sheetId="11" r:id="rId2"/>
    <sheet name="B2S " sheetId="20" r:id="rId3"/>
    <sheet name="Big-c+MM เมก้า" sheetId="27" r:id="rId4"/>
    <sheet name="CP ALL" sheetId="28" r:id="rId5"/>
    <sheet name="เซ็นทรัล แฟมิลี่มาร์ท" sheetId="3" r:id="rId6"/>
    <sheet name="Makro" sheetId="14" r:id="rId7"/>
    <sheet name="The Mall" sheetId="15" r:id="rId8"/>
    <sheet name="โลตัส" sheetId="2" r:id="rId9"/>
    <sheet name="ไทยC" sheetId="9" state="hidden" r:id="rId10"/>
    <sheet name="Aeon" sheetId="8" r:id="rId11"/>
    <sheet name="วิลล่า" sheetId="10" r:id="rId12"/>
    <sheet name="สหลอร์" sheetId="23" r:id="rId13"/>
    <sheet name="Chart1" sheetId="30" state="hidden" r:id="rId14"/>
    <sheet name="Boot" sheetId="25" r:id="rId15"/>
    <sheet name="CJ" sheetId="26" r:id="rId16"/>
    <sheet name="Watson" sheetId="21" r:id="rId17"/>
    <sheet name="PT" sheetId="29" r:id="rId18"/>
  </sheets>
  <definedNames>
    <definedName name="_xlnm.Print_Area" localSheetId="2">'B2S '!#REF!</definedName>
    <definedName name="_xlnm.Print_Area" localSheetId="14">Boot!#REF!</definedName>
    <definedName name="_xlnm.Print_Area" localSheetId="1">Foodland!#REF!</definedName>
    <definedName name="_xlnm.Print_Area" localSheetId="0">TOPS!#REF!</definedName>
    <definedName name="_xlnm.Print_Area" localSheetId="5">'เซ็นทรัล แฟมิลี่มาร์ท'!#REF!</definedName>
  </definedNames>
  <calcPr calcId="162913"/>
</workbook>
</file>

<file path=xl/calcChain.xml><?xml version="1.0" encoding="utf-8"?>
<calcChain xmlns="http://schemas.openxmlformats.org/spreadsheetml/2006/main">
  <c r="C36" i="29" l="1"/>
  <c r="C37" i="29" s="1"/>
  <c r="C34" i="29"/>
  <c r="D28" i="29"/>
  <c r="C28" i="29"/>
  <c r="B28" i="29"/>
  <c r="G27" i="29"/>
  <c r="G28" i="29" s="1"/>
  <c r="E27" i="29"/>
  <c r="D27" i="29"/>
  <c r="C27" i="29"/>
  <c r="B27" i="29"/>
  <c r="F26" i="29"/>
  <c r="F27" i="29" s="1"/>
  <c r="F28" i="29" s="1"/>
  <c r="G24" i="29"/>
  <c r="H24" i="29" s="1"/>
  <c r="F24" i="29"/>
  <c r="E24" i="29"/>
  <c r="E28" i="29" s="1"/>
  <c r="C24" i="29"/>
  <c r="B24" i="29"/>
  <c r="F23" i="29"/>
  <c r="H23" i="29" s="1"/>
  <c r="C32" i="11"/>
  <c r="G25" i="11"/>
  <c r="H25" i="11" s="1"/>
  <c r="F25" i="11"/>
  <c r="E25" i="11"/>
  <c r="D25" i="11"/>
  <c r="D26" i="11" s="1"/>
  <c r="C25" i="11"/>
  <c r="B25" i="11"/>
  <c r="F24" i="11"/>
  <c r="I24" i="11" s="1"/>
  <c r="G22" i="11"/>
  <c r="G26" i="11" s="1"/>
  <c r="F22" i="11"/>
  <c r="F26" i="11" s="1"/>
  <c r="E22" i="11"/>
  <c r="E26" i="11" s="1"/>
  <c r="C22" i="11"/>
  <c r="C26" i="11" s="1"/>
  <c r="B22" i="11"/>
  <c r="B26" i="11" s="1"/>
  <c r="I21" i="11"/>
  <c r="I22" i="11" s="1"/>
  <c r="F21" i="11"/>
  <c r="H21" i="11" s="1"/>
  <c r="H28" i="29" l="1"/>
  <c r="H27" i="29"/>
  <c r="H26" i="29"/>
  <c r="I23" i="29"/>
  <c r="I26" i="29"/>
  <c r="J22" i="11"/>
  <c r="H26" i="11"/>
  <c r="J24" i="11"/>
  <c r="I25" i="11"/>
  <c r="J25" i="11" s="1"/>
  <c r="J21" i="11"/>
  <c r="H22" i="11"/>
  <c r="H24" i="11"/>
  <c r="D28" i="21"/>
  <c r="F25" i="21"/>
  <c r="E25" i="21"/>
  <c r="D25" i="21"/>
  <c r="B25" i="21"/>
  <c r="H24" i="21"/>
  <c r="G24" i="21"/>
  <c r="J24" i="21" s="1"/>
  <c r="K24" i="21" s="1"/>
  <c r="G23" i="21"/>
  <c r="J23" i="21" s="1"/>
  <c r="K23" i="21" s="1"/>
  <c r="J22" i="21"/>
  <c r="K22" i="21" s="1"/>
  <c r="G22" i="21"/>
  <c r="I22" i="21" s="1"/>
  <c r="G21" i="21"/>
  <c r="J21" i="21" s="1"/>
  <c r="K21" i="21" s="1"/>
  <c r="G20" i="21"/>
  <c r="J20" i="21" s="1"/>
  <c r="K20" i="21" s="1"/>
  <c r="J19" i="21"/>
  <c r="K19" i="21" s="1"/>
  <c r="G19" i="21"/>
  <c r="I19" i="21" s="1"/>
  <c r="G18" i="21"/>
  <c r="G25" i="21" s="1"/>
  <c r="J26" i="29" l="1"/>
  <c r="I27" i="29"/>
  <c r="J23" i="29"/>
  <c r="I24" i="29"/>
  <c r="J24" i="29" s="1"/>
  <c r="I26" i="11"/>
  <c r="J26" i="11" s="1"/>
  <c r="I24" i="21"/>
  <c r="H25" i="21"/>
  <c r="I25" i="21" s="1"/>
  <c r="I18" i="21"/>
  <c r="I21" i="21"/>
  <c r="J18" i="21"/>
  <c r="K18" i="21" s="1"/>
  <c r="I20" i="21"/>
  <c r="I23" i="21"/>
  <c r="D46" i="3"/>
  <c r="D42" i="3"/>
  <c r="I42" i="3" s="1"/>
  <c r="E29" i="3"/>
  <c r="D29" i="3"/>
  <c r="C29" i="3"/>
  <c r="B29" i="3"/>
  <c r="G28" i="3"/>
  <c r="H28" i="3" s="1"/>
  <c r="F28" i="3"/>
  <c r="I28" i="3" s="1"/>
  <c r="G27" i="3"/>
  <c r="I27" i="3" s="1"/>
  <c r="F27" i="3"/>
  <c r="I28" i="29" l="1"/>
  <c r="J28" i="29" s="1"/>
  <c r="J27" i="29"/>
  <c r="F29" i="3"/>
  <c r="J25" i="21"/>
  <c r="K25" i="21" s="1"/>
  <c r="J27" i="3"/>
  <c r="I29" i="3"/>
  <c r="J29" i="3" s="1"/>
  <c r="H27" i="3"/>
  <c r="J28" i="3"/>
  <c r="G29" i="3"/>
  <c r="H29" i="3" s="1"/>
  <c r="E23" i="15"/>
  <c r="C23" i="15"/>
  <c r="B23" i="15"/>
  <c r="G22" i="15"/>
  <c r="F22" i="15"/>
  <c r="I22" i="15" s="1"/>
  <c r="G21" i="15"/>
  <c r="G23" i="15" s="1"/>
  <c r="F21" i="15"/>
  <c r="F23" i="15" s="1"/>
  <c r="H22" i="15" l="1"/>
  <c r="H21" i="15"/>
  <c r="H23" i="15"/>
  <c r="C31" i="15"/>
  <c r="J22" i="15"/>
  <c r="I21" i="15"/>
  <c r="I23" i="15" l="1"/>
  <c r="J23" i="15" s="1"/>
  <c r="C26" i="15"/>
  <c r="J21" i="15"/>
  <c r="C32" i="25" l="1"/>
  <c r="C33" i="25"/>
  <c r="C30" i="25"/>
  <c r="C16" i="8"/>
  <c r="D4" i="8"/>
  <c r="G6" i="8" l="1"/>
  <c r="D6" i="8"/>
  <c r="F6" i="8" s="1"/>
  <c r="I6" i="8" s="1"/>
  <c r="D14" i="21" l="1"/>
  <c r="F11" i="21"/>
  <c r="E11" i="21"/>
  <c r="D11" i="21"/>
  <c r="B11" i="21"/>
  <c r="H10" i="21"/>
  <c r="H11" i="21" s="1"/>
  <c r="G10" i="21"/>
  <c r="J10" i="21" s="1"/>
  <c r="K10" i="21" s="1"/>
  <c r="G9" i="21"/>
  <c r="J9" i="21" s="1"/>
  <c r="K9" i="21" s="1"/>
  <c r="G8" i="21"/>
  <c r="I8" i="21" s="1"/>
  <c r="G7" i="21"/>
  <c r="J7" i="21" s="1"/>
  <c r="K7" i="21" s="1"/>
  <c r="G6" i="21"/>
  <c r="J6" i="21" s="1"/>
  <c r="K6" i="21" s="1"/>
  <c r="G5" i="21"/>
  <c r="I5" i="21" s="1"/>
  <c r="G4" i="21"/>
  <c r="G11" i="21" l="1"/>
  <c r="I11" i="21" s="1"/>
  <c r="J5" i="21"/>
  <c r="K5" i="21" s="1"/>
  <c r="J8" i="21"/>
  <c r="K8" i="21" s="1"/>
  <c r="I4" i="21"/>
  <c r="I7" i="21"/>
  <c r="J4" i="21"/>
  <c r="K4" i="21" s="1"/>
  <c r="I10" i="21"/>
  <c r="I6" i="21"/>
  <c r="I9" i="21"/>
  <c r="C16" i="29"/>
  <c r="C14" i="29"/>
  <c r="B9" i="29"/>
  <c r="G8" i="29"/>
  <c r="G9" i="29" s="1"/>
  <c r="E8" i="29"/>
  <c r="D8" i="29"/>
  <c r="D9" i="29" s="1"/>
  <c r="C8" i="29"/>
  <c r="B8" i="29"/>
  <c r="F7" i="29"/>
  <c r="F8" i="29" s="1"/>
  <c r="G5" i="29"/>
  <c r="E5" i="29"/>
  <c r="C5" i="29"/>
  <c r="B5" i="29"/>
  <c r="F4" i="29"/>
  <c r="I4" i="29" s="1"/>
  <c r="C14" i="11"/>
  <c r="C15" i="11" s="1"/>
  <c r="G8" i="11"/>
  <c r="E8" i="11"/>
  <c r="D8" i="11"/>
  <c r="D9" i="11" s="1"/>
  <c r="C8" i="11"/>
  <c r="B8" i="11"/>
  <c r="F7" i="11"/>
  <c r="I7" i="11" s="1"/>
  <c r="G5" i="11"/>
  <c r="E5" i="11"/>
  <c r="C5" i="11"/>
  <c r="B5" i="11"/>
  <c r="F4" i="11"/>
  <c r="I4" i="11" s="1"/>
  <c r="B9" i="11" l="1"/>
  <c r="C9" i="11"/>
  <c r="J11" i="21"/>
  <c r="K11" i="21" s="1"/>
  <c r="G9" i="11"/>
  <c r="F5" i="29"/>
  <c r="H5" i="29" s="1"/>
  <c r="C17" i="29"/>
  <c r="C9" i="29"/>
  <c r="F5" i="11"/>
  <c r="H5" i="11" s="1"/>
  <c r="H7" i="29"/>
  <c r="E9" i="11"/>
  <c r="H4" i="29"/>
  <c r="F9" i="29"/>
  <c r="H9" i="29" s="1"/>
  <c r="E9" i="29"/>
  <c r="J4" i="29"/>
  <c r="I5" i="29"/>
  <c r="J5" i="29" s="1"/>
  <c r="I7" i="29"/>
  <c r="H8" i="29"/>
  <c r="I8" i="11"/>
  <c r="J7" i="11"/>
  <c r="I5" i="11"/>
  <c r="J4" i="11"/>
  <c r="F8" i="11"/>
  <c r="H4" i="11"/>
  <c r="H7" i="11"/>
  <c r="G9" i="8"/>
  <c r="E9" i="8"/>
  <c r="D9" i="8"/>
  <c r="C9" i="8"/>
  <c r="B9" i="8"/>
  <c r="F8" i="8"/>
  <c r="I8" i="8" s="1"/>
  <c r="G7" i="8"/>
  <c r="C7" i="8"/>
  <c r="B7" i="8"/>
  <c r="E7" i="8"/>
  <c r="D7" i="8"/>
  <c r="F4" i="8"/>
  <c r="C31" i="25"/>
  <c r="C35" i="25" s="1"/>
  <c r="G26" i="25"/>
  <c r="E26" i="25"/>
  <c r="D26" i="25"/>
  <c r="C26" i="25"/>
  <c r="B26" i="25"/>
  <c r="F25" i="25"/>
  <c r="F24" i="25"/>
  <c r="I24" i="25" s="1"/>
  <c r="C13" i="25"/>
  <c r="C12" i="25"/>
  <c r="C11" i="25"/>
  <c r="C10" i="25"/>
  <c r="C15" i="25" s="1"/>
  <c r="G6" i="25"/>
  <c r="E6" i="25"/>
  <c r="D6" i="25"/>
  <c r="C6" i="25"/>
  <c r="B6" i="25"/>
  <c r="F5" i="25"/>
  <c r="I5" i="25" s="1"/>
  <c r="J5" i="25" s="1"/>
  <c r="F4" i="25"/>
  <c r="I4" i="25" s="1"/>
  <c r="J8" i="11" l="1"/>
  <c r="I25" i="25"/>
  <c r="J25" i="25" s="1"/>
  <c r="F9" i="11"/>
  <c r="H9" i="11" s="1"/>
  <c r="E10" i="8"/>
  <c r="I8" i="29"/>
  <c r="J7" i="29"/>
  <c r="I9" i="11"/>
  <c r="J9" i="11" s="1"/>
  <c r="J5" i="11"/>
  <c r="H8" i="11"/>
  <c r="G10" i="8"/>
  <c r="C10" i="8"/>
  <c r="B10" i="8"/>
  <c r="J8" i="8"/>
  <c r="D10" i="8"/>
  <c r="F9" i="8"/>
  <c r="I9" i="8" s="1"/>
  <c r="H4" i="8"/>
  <c r="H8" i="8"/>
  <c r="I4" i="8"/>
  <c r="J4" i="8" s="1"/>
  <c r="I26" i="25"/>
  <c r="J24" i="25"/>
  <c r="F26" i="25"/>
  <c r="H26" i="25" s="1"/>
  <c r="H24" i="25"/>
  <c r="H25" i="25"/>
  <c r="I6" i="25"/>
  <c r="J4" i="25"/>
  <c r="F6" i="25"/>
  <c r="H6" i="25" s="1"/>
  <c r="H4" i="25"/>
  <c r="H5" i="25"/>
  <c r="J6" i="25" l="1"/>
  <c r="I9" i="29"/>
  <c r="J9" i="29" s="1"/>
  <c r="J8" i="29"/>
  <c r="H6" i="8"/>
  <c r="F7" i="8"/>
  <c r="J9" i="8"/>
  <c r="H9" i="8"/>
  <c r="J26" i="25"/>
  <c r="H7" i="8" l="1"/>
  <c r="I7" i="8"/>
  <c r="F10" i="8"/>
  <c r="J6" i="8"/>
  <c r="H10" i="8" l="1"/>
  <c r="I10" i="8"/>
  <c r="J10" i="8" s="1"/>
  <c r="J7" i="8"/>
  <c r="C14" i="2"/>
  <c r="D6" i="2"/>
  <c r="G6" i="2" s="1"/>
  <c r="H5" i="2"/>
  <c r="F5" i="2"/>
  <c r="F7" i="2" s="1"/>
  <c r="E5" i="2"/>
  <c r="E7" i="2" s="1"/>
  <c r="D5" i="2"/>
  <c r="D7" i="2" s="1"/>
  <c r="B5" i="2"/>
  <c r="B7" i="2" s="1"/>
  <c r="G4" i="2"/>
  <c r="G3" i="2"/>
  <c r="F8" i="14"/>
  <c r="E8" i="14"/>
  <c r="D8" i="14"/>
  <c r="B8" i="14"/>
  <c r="B9" i="14" s="1"/>
  <c r="H7" i="14"/>
  <c r="H8" i="14" s="1"/>
  <c r="D7" i="14"/>
  <c r="G7" i="14" s="1"/>
  <c r="B6" i="14"/>
  <c r="G5" i="14"/>
  <c r="J5" i="14" s="1"/>
  <c r="K5" i="14" s="1"/>
  <c r="H4" i="14"/>
  <c r="H6" i="14" s="1"/>
  <c r="F4" i="14"/>
  <c r="F6" i="14" s="1"/>
  <c r="E4" i="14"/>
  <c r="E6" i="14" s="1"/>
  <c r="D4" i="14"/>
  <c r="D6" i="14" s="1"/>
  <c r="F9" i="14" l="1"/>
  <c r="I4" i="2"/>
  <c r="J4" i="2"/>
  <c r="G5" i="2"/>
  <c r="G7" i="2" s="1"/>
  <c r="J6" i="2"/>
  <c r="K6" i="2" s="1"/>
  <c r="I6" i="2"/>
  <c r="I3" i="2"/>
  <c r="H7" i="2"/>
  <c r="I7" i="2" s="1"/>
  <c r="J3" i="2"/>
  <c r="G4" i="14"/>
  <c r="J4" i="14" s="1"/>
  <c r="K4" i="14" s="1"/>
  <c r="E9" i="14"/>
  <c r="G8" i="14"/>
  <c r="I8" i="14" s="1"/>
  <c r="J7" i="14"/>
  <c r="H9" i="14"/>
  <c r="G6" i="14"/>
  <c r="I6" i="14" s="1"/>
  <c r="J6" i="14"/>
  <c r="D9" i="14"/>
  <c r="I7" i="14"/>
  <c r="I5" i="14"/>
  <c r="C19" i="10"/>
  <c r="H14" i="10"/>
  <c r="F14" i="10"/>
  <c r="D14" i="10"/>
  <c r="B14" i="10"/>
  <c r="G13" i="10"/>
  <c r="I13" i="10" s="1"/>
  <c r="G12" i="10"/>
  <c r="I12" i="10" s="1"/>
  <c r="G11" i="10"/>
  <c r="I11" i="10" s="1"/>
  <c r="G10" i="10"/>
  <c r="I10" i="10" s="1"/>
  <c r="G9" i="10"/>
  <c r="I9" i="10" s="1"/>
  <c r="G8" i="10"/>
  <c r="I8" i="10" s="1"/>
  <c r="G7" i="10"/>
  <c r="I7" i="10" s="1"/>
  <c r="G6" i="10"/>
  <c r="I6" i="10" s="1"/>
  <c r="G5" i="10"/>
  <c r="I5" i="10" s="1"/>
  <c r="G4" i="10"/>
  <c r="I4" i="10" s="1"/>
  <c r="J9" i="10" l="1"/>
  <c r="K9" i="10" s="1"/>
  <c r="I4" i="14"/>
  <c r="J13" i="10"/>
  <c r="K13" i="10" s="1"/>
  <c r="J7" i="10"/>
  <c r="K7" i="10" s="1"/>
  <c r="J5" i="10"/>
  <c r="K5" i="10" s="1"/>
  <c r="J11" i="10"/>
  <c r="K11" i="10" s="1"/>
  <c r="I5" i="2"/>
  <c r="J9" i="2"/>
  <c r="K4" i="2"/>
  <c r="J5" i="2"/>
  <c r="K3" i="2"/>
  <c r="K6" i="14"/>
  <c r="J8" i="14"/>
  <c r="K7" i="14"/>
  <c r="G9" i="14"/>
  <c r="I9" i="14" s="1"/>
  <c r="J4" i="10"/>
  <c r="J6" i="10"/>
  <c r="K6" i="10" s="1"/>
  <c r="J8" i="10"/>
  <c r="K8" i="10" s="1"/>
  <c r="J10" i="10"/>
  <c r="K10" i="10" s="1"/>
  <c r="J12" i="10"/>
  <c r="K12" i="10" s="1"/>
  <c r="G14" i="10"/>
  <c r="I14" i="10" s="1"/>
  <c r="G5" i="6"/>
  <c r="E4" i="6"/>
  <c r="C20" i="6"/>
  <c r="D6" i="6"/>
  <c r="B6" i="6"/>
  <c r="C5" i="6"/>
  <c r="F5" i="6" s="1"/>
  <c r="C4" i="6"/>
  <c r="K5" i="2" l="1"/>
  <c r="J7" i="2"/>
  <c r="K7" i="2" s="1"/>
  <c r="J9" i="14"/>
  <c r="K9" i="14" s="1"/>
  <c r="K8" i="14"/>
  <c r="K4" i="10"/>
  <c r="J14" i="10"/>
  <c r="K14" i="10" s="1"/>
  <c r="I5" i="6"/>
  <c r="J5" i="6" s="1"/>
  <c r="E6" i="6"/>
  <c r="C6" i="6"/>
  <c r="G6" i="6"/>
  <c r="H5" i="6"/>
  <c r="F4" i="6"/>
  <c r="C13" i="28"/>
  <c r="G6" i="28"/>
  <c r="E6" i="28"/>
  <c r="D6" i="28"/>
  <c r="B6" i="28"/>
  <c r="C5" i="28"/>
  <c r="F5" i="28" s="1"/>
  <c r="C4" i="28"/>
  <c r="C6" i="28" l="1"/>
  <c r="F6" i="6"/>
  <c r="H6" i="6" s="1"/>
  <c r="I4" i="6"/>
  <c r="J4" i="6" s="1"/>
  <c r="H4" i="6"/>
  <c r="I5" i="28"/>
  <c r="H5" i="28"/>
  <c r="F4" i="28"/>
  <c r="I6" i="6" l="1"/>
  <c r="J6" i="6" s="1"/>
  <c r="J5" i="28"/>
  <c r="I4" i="28"/>
  <c r="H4" i="28"/>
  <c r="F6" i="28"/>
  <c r="H6" i="28" s="1"/>
  <c r="I6" i="28" l="1"/>
  <c r="J6" i="28" s="1"/>
  <c r="J4" i="28"/>
  <c r="C22" i="27" l="1"/>
  <c r="C17" i="27"/>
  <c r="B9" i="27"/>
  <c r="C8" i="27"/>
  <c r="F8" i="27" s="1"/>
  <c r="F7" i="27"/>
  <c r="I7" i="27" s="1"/>
  <c r="C5" i="27"/>
  <c r="F5" i="27" s="1"/>
  <c r="G4" i="27"/>
  <c r="G9" i="27" s="1"/>
  <c r="E4" i="27"/>
  <c r="E9" i="27" s="1"/>
  <c r="D4" i="27"/>
  <c r="D9" i="27" s="1"/>
  <c r="C4" i="27"/>
  <c r="C9" i="27" l="1"/>
  <c r="H5" i="27"/>
  <c r="I5" i="27"/>
  <c r="J7" i="27"/>
  <c r="H8" i="27"/>
  <c r="I8" i="27"/>
  <c r="H7" i="27"/>
  <c r="F4" i="27"/>
  <c r="J8" i="27" l="1"/>
  <c r="F9" i="27"/>
  <c r="H9" i="27" s="1"/>
  <c r="I4" i="27"/>
  <c r="J5" i="27"/>
  <c r="H4" i="27"/>
  <c r="J4" i="27" l="1"/>
  <c r="I9" i="27"/>
  <c r="J9" i="27" s="1"/>
  <c r="C17" i="20" l="1"/>
  <c r="C18" i="20" s="1"/>
  <c r="G5" i="20"/>
  <c r="D5" i="20"/>
  <c r="B5" i="20"/>
  <c r="E4" i="20"/>
  <c r="E5" i="20" s="1"/>
  <c r="C4" i="20"/>
  <c r="F4" i="20" l="1"/>
  <c r="F5" i="20" s="1"/>
  <c r="H5" i="20" s="1"/>
  <c r="H4" i="20"/>
  <c r="C5" i="20"/>
  <c r="I4" i="20" l="1"/>
  <c r="I5" i="20" s="1"/>
  <c r="J5" i="20" s="1"/>
  <c r="J4" i="20" l="1"/>
  <c r="C15" i="26"/>
  <c r="D6" i="26"/>
  <c r="B6" i="26"/>
  <c r="G5" i="26"/>
  <c r="F5" i="26"/>
  <c r="I5" i="26" s="1"/>
  <c r="J5" i="26" s="1"/>
  <c r="E4" i="26"/>
  <c r="E6" i="26" s="1"/>
  <c r="C4" i="26"/>
  <c r="C6" i="26" s="1"/>
  <c r="G4" i="26" l="1"/>
  <c r="G6" i="26" s="1"/>
  <c r="H5" i="26"/>
  <c r="F4" i="26"/>
  <c r="H4" i="26" s="1"/>
  <c r="D21" i="3"/>
  <c r="D17" i="3"/>
  <c r="E6" i="3"/>
  <c r="D6" i="3"/>
  <c r="C6" i="3"/>
  <c r="B6" i="3"/>
  <c r="G5" i="3"/>
  <c r="F5" i="3"/>
  <c r="G4" i="3"/>
  <c r="F4" i="3"/>
  <c r="I5" i="3" l="1"/>
  <c r="I4" i="3"/>
  <c r="H5" i="3"/>
  <c r="G6" i="3"/>
  <c r="I4" i="26"/>
  <c r="F6" i="26"/>
  <c r="H6" i="26" s="1"/>
  <c r="J4" i="3"/>
  <c r="I6" i="3"/>
  <c r="J5" i="3"/>
  <c r="F6" i="3"/>
  <c r="H4" i="3"/>
  <c r="H6" i="3" l="1"/>
  <c r="I6" i="26"/>
  <c r="J6" i="26" s="1"/>
  <c r="J4" i="26"/>
  <c r="J6" i="3"/>
  <c r="E6" i="15" l="1"/>
  <c r="C6" i="15"/>
  <c r="B6" i="15"/>
  <c r="G5" i="15"/>
  <c r="F5" i="15"/>
  <c r="G4" i="15"/>
  <c r="F4" i="15"/>
  <c r="I4" i="15" l="1"/>
  <c r="F6" i="15"/>
  <c r="I5" i="15"/>
  <c r="C13" i="15" s="1"/>
  <c r="H5" i="15"/>
  <c r="H4" i="15"/>
  <c r="C9" i="15"/>
  <c r="J4" i="15"/>
  <c r="I6" i="15"/>
  <c r="J6" i="15" s="1"/>
  <c r="J5" i="15"/>
  <c r="G6" i="15"/>
  <c r="H6" i="15" s="1"/>
  <c r="C11" i="23" l="1"/>
  <c r="E6" i="23"/>
  <c r="C6" i="23"/>
  <c r="B6" i="23"/>
  <c r="G5" i="23"/>
  <c r="F5" i="23"/>
  <c r="I5" i="23" s="1"/>
  <c r="G4" i="23"/>
  <c r="F4" i="23"/>
  <c r="I4" i="23" l="1"/>
  <c r="J4" i="23" s="1"/>
  <c r="H4" i="23"/>
  <c r="G6" i="23"/>
  <c r="J5" i="23"/>
  <c r="H5" i="23"/>
  <c r="F6" i="23"/>
  <c r="H6" i="23" l="1"/>
  <c r="I6" i="23"/>
  <c r="J6" i="23"/>
  <c r="F3" i="9" l="1"/>
  <c r="H3" i="9" s="1"/>
  <c r="F6" i="9"/>
  <c r="H6" i="9" s="1"/>
  <c r="F9" i="9"/>
  <c r="H9" i="9" s="1"/>
</calcChain>
</file>

<file path=xl/comments1.xml><?xml version="1.0" encoding="utf-8"?>
<comments xmlns="http://schemas.openxmlformats.org/spreadsheetml/2006/main">
  <authors>
    <author>AccIm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 xml:space="preserve">บวกยอดที่ลูกค้าจ่ายมา เนื่องจากเป็นบิลเปิดขายหลังร้านบิลสินค้าไฮนซ์เดือน  12/64= 527,908.89 เดือน01/65= 87,776.49
 (Vendor 8008770)
</t>
        </r>
      </text>
    </comment>
  </commentList>
</comments>
</file>

<file path=xl/sharedStrings.xml><?xml version="1.0" encoding="utf-8"?>
<sst xmlns="http://schemas.openxmlformats.org/spreadsheetml/2006/main" count="832" uniqueCount="322">
  <si>
    <t>ยอดขาย</t>
  </si>
  <si>
    <t>ไทยซี</t>
  </si>
  <si>
    <t>ค่าใช้จ่าย</t>
  </si>
  <si>
    <t>CN</t>
  </si>
  <si>
    <t>ยอดที่ต้องชำระ</t>
  </si>
  <si>
    <t>-</t>
  </si>
  <si>
    <t>เก็บได้</t>
  </si>
  <si>
    <t>ยกมา</t>
  </si>
  <si>
    <t>ยอดจ่ายจริง</t>
  </si>
  <si>
    <t>มกราคม</t>
  </si>
  <si>
    <t>กุมภาพันธ์</t>
  </si>
  <si>
    <t>มีนาคม</t>
  </si>
  <si>
    <r>
      <t xml:space="preserve">ยอดยกมา
</t>
    </r>
    <r>
      <rPr>
        <b/>
        <sz val="11"/>
        <color indexed="8"/>
        <rFont val="Arial Narrow"/>
        <family val="2"/>
      </rPr>
      <t>(1)</t>
    </r>
  </si>
  <si>
    <r>
      <t xml:space="preserve">ค่าใช้จ่าย
</t>
    </r>
    <r>
      <rPr>
        <b/>
        <sz val="11"/>
        <color indexed="8"/>
        <rFont val="Arial Narrow"/>
        <family val="2"/>
      </rPr>
      <t>(3)</t>
    </r>
  </si>
  <si>
    <r>
      <t xml:space="preserve">CN
</t>
    </r>
    <r>
      <rPr>
        <b/>
        <sz val="11"/>
        <color indexed="8"/>
        <rFont val="Arial Narrow"/>
        <family val="2"/>
      </rPr>
      <t>(4)</t>
    </r>
  </si>
  <si>
    <r>
      <t xml:space="preserve">ยอดที่ต้องชำระ(5)
</t>
    </r>
    <r>
      <rPr>
        <b/>
        <sz val="11"/>
        <color indexed="8"/>
        <rFont val="Arial Narrow"/>
        <family val="2"/>
      </rPr>
      <t xml:space="preserve">[(1)+(2)-(3)-(4)]
</t>
    </r>
  </si>
  <si>
    <t>ยอดที่ลูกค้าจ่าย
(6)</t>
  </si>
  <si>
    <t xml:space="preserve">% ที่เก็บได้
 [(6/5)*100]
</t>
  </si>
  <si>
    <t>ยอดที่ค้างชำระ(7)
(5) - (6)</t>
  </si>
  <si>
    <r>
      <t>% ยอดคงค้าง
 [(7/5)]*100]</t>
    </r>
    <r>
      <rPr>
        <b/>
        <sz val="11"/>
        <color indexed="8"/>
        <rFont val="Arial Narrow"/>
        <family val="2"/>
      </rPr>
      <t xml:space="preserve">
</t>
    </r>
  </si>
  <si>
    <t>Grand Total</t>
  </si>
  <si>
    <t>หมายเหตุ</t>
  </si>
  <si>
    <t>คอนซูเมอร์</t>
  </si>
  <si>
    <t>Cerebos(STL)</t>
  </si>
  <si>
    <t>บาท</t>
  </si>
  <si>
    <r>
      <t xml:space="preserve">ยอดที่ลูกค้าจ่าย
</t>
    </r>
    <r>
      <rPr>
        <b/>
        <sz val="11"/>
        <color indexed="8"/>
        <rFont val="Arial Narrow"/>
        <family val="2"/>
      </rPr>
      <t>(6)</t>
    </r>
  </si>
  <si>
    <r>
      <t>% ที่เก็บได้
 [(6/5)*100]</t>
    </r>
    <r>
      <rPr>
        <b/>
        <sz val="11"/>
        <color indexed="8"/>
        <rFont val="Arial Narrow"/>
        <family val="2"/>
      </rPr>
      <t xml:space="preserve">
</t>
    </r>
  </si>
  <si>
    <r>
      <t xml:space="preserve">ยอดที่ค้างชำระ(7)
</t>
    </r>
    <r>
      <rPr>
        <b/>
        <sz val="11"/>
        <color indexed="8"/>
        <rFont val="Arial Narrow"/>
        <family val="2"/>
      </rPr>
      <t>(5) - (6)</t>
    </r>
  </si>
  <si>
    <t xml:space="preserve"> ยอดคงค้าง  คอนซูเมอร์ มีรายละเอียดดังนี้</t>
  </si>
  <si>
    <t xml:space="preserve"> </t>
  </si>
  <si>
    <t>ลูกค้าคีย์ตั้งหนี้ในระบบแล้ว</t>
  </si>
  <si>
    <t xml:space="preserve">         รวมยอดคงค้าง</t>
  </si>
  <si>
    <t xml:space="preserve"> ยอดคงค้าง  Cerebos มีรายละเอียดดังนี้</t>
  </si>
  <si>
    <t xml:space="preserve">% ยอดคงค้าง
 [(7/5)]*100]
</t>
  </si>
  <si>
    <t xml:space="preserve">หมายเหตุ </t>
  </si>
  <si>
    <t>บาท รายละเอียดตามสาขาดังนี้</t>
  </si>
  <si>
    <t>สาขา จีเอสเอ็ม บิลเดือน11-12/59</t>
  </si>
  <si>
    <t>บาท เคลียร์เมื่อยกเลิกการขาย</t>
  </si>
  <si>
    <t>ยอดคงค้าง</t>
  </si>
  <si>
    <t>คอน</t>
  </si>
  <si>
    <t>STL</t>
  </si>
  <si>
    <t xml:space="preserve">บิลติด TOP HOLD </t>
  </si>
  <si>
    <t xml:space="preserve">ขอใบแทน  </t>
  </si>
  <si>
    <t>อยู่ระหว่าง IT ลูกค้านำข้อมูลเข้าระบบ</t>
  </si>
  <si>
    <t>บิลติด CNRQ</t>
  </si>
  <si>
    <t>สาขาปิด</t>
  </si>
  <si>
    <t>รายงานยอดเก็บ  Saha Lawson เดือน มกราคม  2565</t>
  </si>
  <si>
    <t>ยอดเก็บประจำเดือน
มกราคม 2565</t>
  </si>
  <si>
    <r>
      <t xml:space="preserve">ยอดขายเดือน
พฤศจิกายน  2564
</t>
    </r>
    <r>
      <rPr>
        <b/>
        <sz val="11"/>
        <color indexed="8"/>
        <rFont val="Arial Narrow"/>
        <family val="2"/>
      </rPr>
      <t>(2)</t>
    </r>
  </si>
  <si>
    <t>บิลปลายเดือน  29/11/64   จ่าย  15/02/65</t>
  </si>
  <si>
    <t>รายงานยอดเก็บ The Mall เดือน  มกราคม 2565</t>
  </si>
  <si>
    <t>ตุลาคม  2564
(2)</t>
  </si>
  <si>
    <t xml:space="preserve">ยอดค้างชำระทั้งหมด ณ เดือน 01/65  </t>
  </si>
  <si>
    <t>บิลปลายเดือน(29-30/10/64)</t>
  </si>
  <si>
    <t xml:space="preserve"> บาท  จ่าย 15.02.65</t>
  </si>
  <si>
    <t>บืลเดือน 9/64 สาขา CDC</t>
  </si>
  <si>
    <t>รายงานยอดเก็บ Family เดือน  มกราคม 2565</t>
  </si>
  <si>
    <r>
      <t xml:space="preserve">ยอดขายเดือน
พฤศจิกายน 2564
</t>
    </r>
    <r>
      <rPr>
        <b/>
        <sz val="11"/>
        <color indexed="8"/>
        <rFont val="Arial Narrow"/>
        <family val="2"/>
      </rPr>
      <t>(2)</t>
    </r>
  </si>
  <si>
    <t>1. บิลเดือน 8-10/63,12/63  - 11/64</t>
  </si>
  <si>
    <t>2. บิลเดือน 05/64,7-11/64</t>
  </si>
  <si>
    <t xml:space="preserve">3. บิลเดือน 7/63-11/64 </t>
  </si>
  <si>
    <t>5. บิลเดือน 11/64</t>
  </si>
  <si>
    <t>6.บิลเดือน 06/64</t>
  </si>
  <si>
    <t>7.บิลเดือน 07/64-11/64</t>
  </si>
  <si>
    <t xml:space="preserve">อยู่ระหว่างแจ้งจ่ายนอกระบบ </t>
  </si>
  <si>
    <t xml:space="preserve">1.บิลเดือน 29/11/64 </t>
  </si>
  <si>
    <t>ติด TopHold รอ CN</t>
  </si>
  <si>
    <t>รายงานยอดเก็บ CJ เดือน มกราคม  2565</t>
  </si>
  <si>
    <t>ยอดเก็บประจำเดือน มกราคม 2565</t>
  </si>
  <si>
    <t>ยอดยกมา
(1)</t>
  </si>
  <si>
    <t>ยอดขายเดือน พฤศจิกายน 2564</t>
  </si>
  <si>
    <t>ค่าใช้จ่าย
(3)</t>
  </si>
  <si>
    <t>CN
(4)</t>
  </si>
  <si>
    <t>ยอดที่ต้องชำระ(5)
[(1)+(2)-(3)-(4)]</t>
  </si>
  <si>
    <t>% ยอดที่เก็บได้
 [(6/5)*100]</t>
  </si>
  <si>
    <t>% ยอดคงค้าง
 [(7/5)]*100]</t>
  </si>
  <si>
    <t>Cerebos (STL)</t>
  </si>
  <si>
    <t xml:space="preserve">ทุกสินค้าเครดิต 60 วัน </t>
  </si>
  <si>
    <t>เดือน พฤศจิกายน 2564</t>
  </si>
  <si>
    <t>รายละเอียดดังนี้</t>
  </si>
  <si>
    <t>บิลเดือน10</t>
  </si>
  <si>
    <t>รอออก CN ลูกค้าหักหน้าบัญชีกำลังติดตาม</t>
  </si>
  <si>
    <t>ลูกค้ายังไม่จ่ายเนื่องจากมีค่าใช้จ่ายมากกว่าบิลขายจ่ายวันที่ 09-02-65</t>
  </si>
  <si>
    <t>บิลปลายเดือนลูกค้าจ่ายวันที่02-02-65</t>
  </si>
  <si>
    <t>รายงานยอดเก็บ B2S เดือน มกราคม  2565</t>
  </si>
  <si>
    <t>ยอดเก็บประจำเดือน
มกราคม  2565</t>
  </si>
  <si>
    <r>
      <t xml:space="preserve">ยอดขายเดือน
ตุลาคม 2564
</t>
    </r>
    <r>
      <rPr>
        <b/>
        <sz val="11"/>
        <color indexed="8"/>
        <rFont val="Arial Narrow"/>
        <family val="2"/>
      </rPr>
      <t>(2)</t>
    </r>
  </si>
  <si>
    <r>
      <t xml:space="preserve">ยอดที่ต้องชำระ(5)
</t>
    </r>
    <r>
      <rPr>
        <b/>
        <sz val="11"/>
        <color indexed="8"/>
        <rFont val="Arial Narrow"/>
        <family val="2"/>
      </rPr>
      <t>[(1)+(2)-(3)-(4)]</t>
    </r>
  </si>
  <si>
    <t>% ที่เก็บได้
 [(6/5)*100]</t>
  </si>
  <si>
    <t xml:space="preserve">ยอดคงค้าง  </t>
  </si>
  <si>
    <t>เดือน เมษายน 2562</t>
  </si>
  <si>
    <t xml:space="preserve">บาท </t>
  </si>
  <si>
    <t>ทางร้านค้ายังไม่บันทึกรับ เนื่องจาก PO หมดอายุ และได้มีการแจ้งให้ทาง Sino มาเก็บสินค้าคืน แต่ไม่มีการประสานงานกลับไป</t>
  </si>
  <si>
    <t>เดือน สิงหาคม 2562</t>
  </si>
  <si>
    <t xml:space="preserve">เรื่องการรับสินค้าและราคาไม่ตรง PO ทำให้บันทึกรับไม่ได้ แจ้งฝ่ายขาย (อั๋น) ให้ช่วยติดตามปัญหา </t>
  </si>
  <si>
    <t>เดือน กันยายน 2562</t>
  </si>
  <si>
    <t>เดือน ธันวาคม 2562</t>
  </si>
  <si>
    <t xml:space="preserve">ทางร้านแจ้งว่าเลขที่ เอกสารซ้ำ ไม่สามารถบันทึกรับได้ ต้องให้ทางฝ่ายขาย Sino ทำเอสาร Memo แจ้งไปทางจัดซื้อ เพื่อดำเนินการต่อไป แจ้งฝ่ายขาย (อั๋น) ให้ช่วยติดตามปัญหา        </t>
  </si>
  <si>
    <t>เดือน มี.ค , พ.ย 2563</t>
  </si>
  <si>
    <t>ห้างแจ้งไม่พบข้อมูลในระบบ อยู่ระหว่างติดตาม</t>
  </si>
  <si>
    <t>เดือน ม.ค-มิ.ย 2564</t>
  </si>
  <si>
    <t>เดือน สิงหาคม 2564</t>
  </si>
  <si>
    <t>เดือน กันยายน 2564</t>
  </si>
  <si>
    <t>เดือน ตุลาคม 2564</t>
  </si>
  <si>
    <t>ห้างบันทึกล่าช้า+บิลปลายเดือน โอนแล้วเดือน 2/65</t>
  </si>
  <si>
    <r>
      <t xml:space="preserve">รายงานยอดเก็บ </t>
    </r>
    <r>
      <rPr>
        <b/>
        <u val="singleAccounting"/>
        <sz val="12"/>
        <color theme="8" tint="-0.249977111117893"/>
        <rFont val="Arial Narrow"/>
        <family val="2"/>
      </rPr>
      <t>Big C + MM เมก้า</t>
    </r>
    <r>
      <rPr>
        <b/>
        <sz val="12"/>
        <color rgb="FFFF0000"/>
        <rFont val="Arial Narrow"/>
        <family val="2"/>
      </rPr>
      <t xml:space="preserve"> เดือน มกราคม  2565</t>
    </r>
  </si>
  <si>
    <t>ยอดขายเดือน
ตุลาคม 2564
(2)</t>
  </si>
  <si>
    <t>คอนซูเมอร์ All Product</t>
  </si>
  <si>
    <t>ยอดยกมา</t>
  </si>
  <si>
    <t>ยอดที่ลูกค้าจ่าย</t>
  </si>
  <si>
    <t>% ที่เก็บได้</t>
  </si>
  <si>
    <t>ยอดที่ค้างชำระ</t>
  </si>
  <si>
    <t>% ยอดคงค้าง</t>
  </si>
  <si>
    <t>คอนซูเมอร์(KRAFTซิงเกิ้ลโพรเซสชีส)</t>
  </si>
  <si>
    <t>คอนซูเมอร์(Monde-VOIZ,SUMO,PECKISH)</t>
  </si>
  <si>
    <t>ถึง กันยายน 2564</t>
  </si>
  <si>
    <t>ห้างแจ้งติด CN กำลังติดตาม</t>
  </si>
  <si>
    <t xml:space="preserve">ห้างแจ้งติด CN ในระบบ เคลียร์ปัญหาแล้วโอน </t>
  </si>
  <si>
    <t>เป็นบิลปลายเดือน  28-30/10/64</t>
  </si>
  <si>
    <t>เป็นบิลปลายเดือน  30/10/64</t>
  </si>
  <si>
    <t>ถึง ตุลาคม 2564</t>
  </si>
  <si>
    <t>คอนซูเมอร์ (Monde-BISCUIT)</t>
  </si>
  <si>
    <t>ห้างเปิด PO ใหม่ เพื่อบันทึกรับ(21.01.65) รอโอน</t>
  </si>
  <si>
    <t>บิลปลายเดือน  30/11/64</t>
  </si>
  <si>
    <t>รายงานยอดเก็บ CP All เดือน มกราคม  2565</t>
  </si>
  <si>
    <t>ยอดขายเดือน
พฤศจิกายน 2564
(2)</t>
  </si>
  <si>
    <t>คอนซูเมอร์ (All Product)</t>
  </si>
  <si>
    <t>ติด CN ยื่นแล้ว รอโอน เดือน 2</t>
  </si>
  <si>
    <t>บิลปลายเดือน 30/11/64</t>
  </si>
  <si>
    <t>บิลปลายเดือน 29-30/11/64</t>
  </si>
  <si>
    <t>รายงานยอดเก็บ TOPS เดือน มกราคม 2565</t>
  </si>
  <si>
    <r>
      <t xml:space="preserve">ยอดยกมา
</t>
    </r>
    <r>
      <rPr>
        <b/>
        <sz val="16"/>
        <color indexed="8"/>
        <rFont val="Angsana New"/>
        <family val="1"/>
      </rPr>
      <t>(1)</t>
    </r>
  </si>
  <si>
    <r>
      <t xml:space="preserve">ยอดขายเดือน
พฤศจิกายน 2564
</t>
    </r>
    <r>
      <rPr>
        <b/>
        <sz val="16"/>
        <color indexed="8"/>
        <rFont val="Angsana New"/>
        <family val="1"/>
      </rPr>
      <t>(2)</t>
    </r>
  </si>
  <si>
    <r>
      <t xml:space="preserve">ค่าใช้จ่าย
</t>
    </r>
    <r>
      <rPr>
        <b/>
        <sz val="16"/>
        <color indexed="8"/>
        <rFont val="Angsana New"/>
        <family val="1"/>
      </rPr>
      <t>(3)</t>
    </r>
  </si>
  <si>
    <r>
      <t xml:space="preserve">CN
</t>
    </r>
    <r>
      <rPr>
        <b/>
        <sz val="16"/>
        <color indexed="8"/>
        <rFont val="Angsana New"/>
        <family val="1"/>
      </rPr>
      <t>(4)</t>
    </r>
  </si>
  <si>
    <r>
      <t xml:space="preserve">ยอดที่ต้องชำระ(5)
</t>
    </r>
    <r>
      <rPr>
        <b/>
        <sz val="16"/>
        <color indexed="8"/>
        <rFont val="Angsana New"/>
        <family val="1"/>
      </rPr>
      <t>[(1)+(2)-(3)-(4)]</t>
    </r>
  </si>
  <si>
    <r>
      <t xml:space="preserve">ยอดที่ลูกค้าจ่าย
</t>
    </r>
    <r>
      <rPr>
        <b/>
        <sz val="16"/>
        <color indexed="8"/>
        <rFont val="Angsana New"/>
        <family val="1"/>
      </rPr>
      <t>(6)</t>
    </r>
  </si>
  <si>
    <r>
      <t xml:space="preserve">ยอดที่ค้างชำระ(7)
</t>
    </r>
    <r>
      <rPr>
        <b/>
        <sz val="16"/>
        <color indexed="8"/>
        <rFont val="Angsana New"/>
        <family val="1"/>
      </rPr>
      <t>(5) - (6)</t>
    </r>
  </si>
  <si>
    <t>เดือน พฤศจิกายน  2564</t>
  </si>
  <si>
    <t xml:space="preserve"> จำนวนคงค้าง</t>
  </si>
  <si>
    <t>มีรายละเอียดดังนี้</t>
  </si>
  <si>
    <t>บิลเดือน8/64</t>
  </si>
  <si>
    <t>บิลติด CN - Tophold ได้นำส่งใบลดหนี้แล้ว จ่าย15/02/65</t>
  </si>
  <si>
    <t>บิลเดือน9/64</t>
  </si>
  <si>
    <t>บิลติด CN - Tophold ลูกค้าคืนสินค้าแบรน์ดปนมาแต่คลังเช็คแล้วไม่มีสินค้าคืนมาลูกค้าจะทำADJ.ออกให้</t>
  </si>
  <si>
    <t>บิลเดือน11/64</t>
  </si>
  <si>
    <t>บิลปลายเดือน 11 จ่าย 15/02/65</t>
  </si>
  <si>
    <t>บิลติด CN - Tophold กำลังติดตาม</t>
  </si>
  <si>
    <t>รายงานยอดเก็บ วิลล่า เดือน มกราคม 2565</t>
  </si>
  <si>
    <t>ยอดเก็บประจำเดือน
พฤศจิกายน  2564</t>
  </si>
  <si>
    <t>รอบบิลที่ลูกค้าจ่าย</t>
  </si>
  <si>
    <t>ยอดขาย
(2)</t>
  </si>
  <si>
    <t>ทไวนิ้งส์(คอน)-CR60</t>
  </si>
  <si>
    <t>21/10/64-24/11/64</t>
  </si>
  <si>
    <t>ตะไคร้</t>
  </si>
  <si>
    <t>โคอาล่า+ลอตเต้+ยินตัน+ช็อคโกแลต+Meiji(คอน)-CR75</t>
  </si>
  <si>
    <t>27/09//64-03/11/64</t>
  </si>
  <si>
    <t xml:space="preserve"> Heinz</t>
  </si>
  <si>
    <t xml:space="preserve"> Monde(BISCUIC,UDON)</t>
  </si>
  <si>
    <t>21/10//64-24/11/64</t>
  </si>
  <si>
    <t>Greenday(D2)</t>
  </si>
  <si>
    <t>30/09/64-03/11/64</t>
  </si>
  <si>
    <t>เอ็มมิลค์</t>
  </si>
  <si>
    <t xml:space="preserve">ยูซีซี </t>
  </si>
  <si>
    <t>Samyang</t>
  </si>
  <si>
    <t>แบรนด์</t>
  </si>
  <si>
    <t>20/10/64-24/11/64</t>
  </si>
  <si>
    <t xml:space="preserve">คอนซูเมอร์  </t>
  </si>
  <si>
    <r>
      <t>เป็นบิลที่ยังไม่ถึงดิว เนื่องจากลูกค้า</t>
    </r>
    <r>
      <rPr>
        <sz val="11"/>
        <color rgb="FFFF0000"/>
        <rFont val="Arial Narrow"/>
        <family val="2"/>
      </rPr>
      <t>นับจากวันที่บันทึกรับสินค้า /สิ้นค้ากลุ่ม ล้อตเต้ มี CN เกิน</t>
    </r>
  </si>
  <si>
    <r>
      <t>เป็นบิลที่ยังไม่ถึงดิว เนื่องจากลูกค้า</t>
    </r>
    <r>
      <rPr>
        <sz val="11"/>
        <color rgb="FFFF0000"/>
        <rFont val="Arial Narrow"/>
        <family val="2"/>
      </rPr>
      <t xml:space="preserve">นับจากวันที่บันทึกรับสินค้า </t>
    </r>
  </si>
  <si>
    <t>รายงานยอดเก็บ Makro เดือนมกราคม 65</t>
  </si>
  <si>
    <r>
      <t xml:space="preserve">ยอดยกมา
</t>
    </r>
    <r>
      <rPr>
        <sz val="11"/>
        <color indexed="8"/>
        <rFont val="Arial Narrow"/>
        <family val="2"/>
      </rPr>
      <t>(1)</t>
    </r>
  </si>
  <si>
    <t xml:space="preserve">ระยะเวลายอดขาย
</t>
  </si>
  <si>
    <r>
      <t xml:space="preserve">จำนวนเงินยอดขาย
</t>
    </r>
    <r>
      <rPr>
        <sz val="11"/>
        <color indexed="8"/>
        <rFont val="Arial Narrow"/>
        <family val="2"/>
      </rPr>
      <t>(2)</t>
    </r>
  </si>
  <si>
    <r>
      <t xml:space="preserve">ค่าใช้จ่าย
</t>
    </r>
    <r>
      <rPr>
        <sz val="11"/>
        <color indexed="8"/>
        <rFont val="Arial Narrow"/>
        <family val="2"/>
      </rPr>
      <t>(3)</t>
    </r>
  </si>
  <si>
    <r>
      <t xml:space="preserve">CN
</t>
    </r>
    <r>
      <rPr>
        <sz val="11"/>
        <color indexed="8"/>
        <rFont val="Arial Narrow"/>
        <family val="2"/>
      </rPr>
      <t>(4)</t>
    </r>
  </si>
  <si>
    <r>
      <t xml:space="preserve">ยอดที่ต้องชำระ(5)
</t>
    </r>
    <r>
      <rPr>
        <sz val="11"/>
        <color indexed="8"/>
        <rFont val="Arial Narrow"/>
        <family val="2"/>
      </rPr>
      <t xml:space="preserve">[(1)+(2)-(3)-(4)]
</t>
    </r>
  </si>
  <si>
    <r>
      <t xml:space="preserve">ยอดที่ลูกค้าจ่าย
</t>
    </r>
    <r>
      <rPr>
        <sz val="11"/>
        <color indexed="8"/>
        <rFont val="Arial Narrow"/>
        <family val="2"/>
      </rPr>
      <t>(6)</t>
    </r>
  </si>
  <si>
    <r>
      <t>% ที่เก็บได้
 [(6/5)*100]</t>
    </r>
    <r>
      <rPr>
        <sz val="11"/>
        <color indexed="8"/>
        <rFont val="Arial Narrow"/>
        <family val="2"/>
      </rPr>
      <t xml:space="preserve">
</t>
    </r>
  </si>
  <si>
    <r>
      <t xml:space="preserve">ยอดที่ค้างชำระ(7)
</t>
    </r>
    <r>
      <rPr>
        <sz val="11"/>
        <color indexed="8"/>
        <rFont val="Arial Narrow"/>
        <family val="2"/>
      </rPr>
      <t>(5) - (6)</t>
    </r>
  </si>
  <si>
    <r>
      <t>% ยอดคงค้าง
 [(7/5)]*100]</t>
    </r>
    <r>
      <rPr>
        <sz val="11"/>
        <color indexed="8"/>
        <rFont val="Arial Narrow"/>
        <family val="2"/>
      </rPr>
      <t xml:space="preserve">
</t>
    </r>
  </si>
  <si>
    <t>17.10.64-20.11.64</t>
  </si>
  <si>
    <t xml:space="preserve">ยา </t>
  </si>
  <si>
    <t xml:space="preserve">      Total คอนซูเมอร์ &amp; ยา</t>
  </si>
  <si>
    <t>Cerebos</t>
  </si>
  <si>
    <t>04.11.64-04.12.64</t>
  </si>
  <si>
    <t xml:space="preserve">      Total</t>
  </si>
  <si>
    <t xml:space="preserve">ยอดคอนซูเมอร์  </t>
  </si>
  <si>
    <t>ยอดคงค้างทั้งสิ้นจำนวน</t>
  </si>
  <si>
    <t>บาท แยกดังนี้</t>
  </si>
  <si>
    <t>1. บิลเดือน6.64 คงค้าง</t>
  </si>
  <si>
    <t xml:space="preserve">บาท =&gt; ลูกค้ากำลังตรวจสอบเอกสาร </t>
  </si>
  <si>
    <t xml:space="preserve">2. บิลเดือน8.64 คงค้าง </t>
  </si>
  <si>
    <t>3. บิลเดือน10.64 คงค้าง</t>
  </si>
  <si>
    <t>ยอด FF</t>
  </si>
  <si>
    <t>4. บิลเดือน11.64 (12-20.11.64)คงค้าง</t>
  </si>
  <si>
    <t>รายงานยอดเก็บ Lotus เดือนมกราคม 2565</t>
  </si>
  <si>
    <t>มกราคม 65(Lotus Pay 4-28.01.65)</t>
  </si>
  <si>
    <t xml:space="preserve"> ระยะเวลายอดขาย
 </t>
  </si>
  <si>
    <t xml:space="preserve"> จำนวนเงินยอดขาย
(2) </t>
  </si>
  <si>
    <t xml:space="preserve"> ค่าใช้จ่าย
(3) </t>
  </si>
  <si>
    <t xml:space="preserve"> CN
(4) </t>
  </si>
  <si>
    <t xml:space="preserve">ยอดที่ต้องชำระ(5)
[(1)+(2)-(3)-(4)]
</t>
  </si>
  <si>
    <t xml:space="preserve"> % ยอดคงค้าง
 [(7/5)]*100]
 </t>
  </si>
  <si>
    <t>คอนซูเมอร์ (ไม่รวม สินค้า Choc,Biscuit)</t>
  </si>
  <si>
    <t>01/10/64-31/10/64</t>
  </si>
  <si>
    <t>คอนซูเมอร์ ( สินค้า Choc,Biscuit)</t>
  </si>
  <si>
    <t>01/11/64-30/11/64</t>
  </si>
  <si>
    <t>รวมคอนซูเมอร์</t>
  </si>
  <si>
    <t xml:space="preserve">ยอดคงค้าง คอนซูเมอร์ (ไม่รวม สินค้า Choc,Biscuit) </t>
  </si>
  <si>
    <t>บาท รายละเอียดดังนี้</t>
  </si>
  <si>
    <t>1. บิลเดือน3/63</t>
  </si>
  <si>
    <t>ติดตามโลตัสแล้ว สนญ.กำลังทยอยทำจ่าย เนื่องจากเป็นช่วงที่กำลังเปลี่ยนระบบ</t>
  </si>
  <si>
    <t>2. บิลเดือน11/63</t>
  </si>
  <si>
    <t>3.บิลเดือน 8/64</t>
  </si>
  <si>
    <t>4.บิลเดือน 9/64</t>
  </si>
  <si>
    <t>5.บิลเดือน 9/64</t>
  </si>
  <si>
    <t xml:space="preserve">ยอดคงค้าง คอนซูเมอร์ ( สินค้า Choc,Biscuit) </t>
  </si>
  <si>
    <t>1.บิลวันที่ 26-31.10.64</t>
  </si>
  <si>
    <t>บิลปลายเดือน11/64 จ่าย 04.02.2022</t>
  </si>
  <si>
    <t>ยอดคงค้าง Cerebos(STL)</t>
  </si>
  <si>
    <t>1.บิลเดือน 30-31.10.64</t>
  </si>
  <si>
    <t>บิลปลายเดือน 10/64 จ่าย 04.02.2022</t>
  </si>
  <si>
    <t>ยอดเก็บประจำเดือนธันวาคม   2564</t>
  </si>
  <si>
    <r>
      <t xml:space="preserve">ยอดขายเดือนพฤศจิกายน2564
</t>
    </r>
    <r>
      <rPr>
        <b/>
        <sz val="11"/>
        <color indexed="8"/>
        <rFont val="Arial Narrow"/>
        <family val="2"/>
      </rPr>
      <t>(2)</t>
    </r>
  </si>
  <si>
    <t>คอนซูเมอร์ - สินค้าตะไคร้</t>
  </si>
  <si>
    <t xml:space="preserve"> Total</t>
  </si>
  <si>
    <t xml:space="preserve">ยอดคงค้าง คอนซูเมอร์ </t>
  </si>
  <si>
    <t>จำนวนทั้งสิ้น</t>
  </si>
  <si>
    <t>รายงานยอดเก็บ Boot เดือน ธันวาคม    2564</t>
  </si>
  <si>
    <t>ยอดเก็บประจำเดือน
ธันวาคม    2564</t>
  </si>
  <si>
    <r>
      <t xml:space="preserve">ยอดขายเดือนพฤศจิกายน 2564
</t>
    </r>
    <r>
      <rPr>
        <b/>
        <sz val="11"/>
        <color indexed="8"/>
        <rFont val="Arial Narrow"/>
        <family val="2"/>
      </rPr>
      <t>(2)</t>
    </r>
  </si>
  <si>
    <t>สินค้าประเภทขนม</t>
  </si>
  <si>
    <t>บิลค้างเดือน7-11/64</t>
  </si>
  <si>
    <t>กลุ่มสินค้าชอค(Sensitive)</t>
  </si>
  <si>
    <t>สินค้ายาหม่องน้ำเซียงเพียวอิ๊ว/ยาดมเป๊ปเปอร์มินท์</t>
  </si>
  <si>
    <t>สินค้าฟิชเชอร์แมน</t>
  </si>
  <si>
    <t>สินค้ากระเช้าปีใหม่</t>
  </si>
  <si>
    <t>บิลค้างเดือน11/64</t>
  </si>
  <si>
    <t>สินค้าแบรนด์</t>
  </si>
  <si>
    <t>บิลปลายเดือน11 วาง4 /01/2565 จ่าย 28 /01/2565</t>
  </si>
  <si>
    <t xml:space="preserve">รอบจ่ายเดือน8/64  ยังคงมียอดใบลดหนี้อีกจำนวน 409,632.24 บาท ที่ขอ Boot อย่าเพิ่งนำมาหัก ขอเคลียร์ ค่าใช้จ่ายที่คงค้างมาระยะหนึ่งแล้ว </t>
  </si>
  <si>
    <t xml:space="preserve">ส่วนใบลดหนี้จำนวนนี้ให้หักในรอบจ่ายถัดไป  Boot จึงขอ Hold  บิลเดือน7-8/64 ไว้ก่อน </t>
  </si>
  <si>
    <t>รายงานยอดเก็บ อิออน AEON มกราคม  2565</t>
  </si>
  <si>
    <t>ยอดเก็บประจำเดือนมกราคม  2565</t>
  </si>
  <si>
    <t>รายงานยอดเก็บ Foodland เดือน มกราคม 2565</t>
  </si>
  <si>
    <t>ยอดขายเดือน
01/11/64-30/11/64
(2)</t>
  </si>
  <si>
    <t>รวมยอดคอนซูเมอร์</t>
  </si>
  <si>
    <t>รวมยอด STL</t>
  </si>
  <si>
    <t>ยอดคงค้าง CON</t>
  </si>
  <si>
    <t>เดือนตุลาคม  2564</t>
  </si>
  <si>
    <t>เก็บเดือน2/2565</t>
  </si>
  <si>
    <t xml:space="preserve"> บาท  </t>
  </si>
  <si>
    <t>รายงานยอดเก็บ PT เดือน มกราคม 2565</t>
  </si>
  <si>
    <t>ยอดขายเดือน
1/12/64-31/12/64
(2)</t>
  </si>
  <si>
    <t>เดือนตุลาคม</t>
  </si>
  <si>
    <t>จ่ายวันที่ 25/2/2565</t>
  </si>
  <si>
    <t>ยอดคงค้าง STL</t>
  </si>
  <si>
    <t>รายงานยอดเก็บ Watsons เดือน มกราคม  2565</t>
  </si>
  <si>
    <t>ฟิชเชอร์แมน(คอนฯ)-CR30</t>
  </si>
  <si>
    <t>02/12/64-28/12/64</t>
  </si>
  <si>
    <t>ช็อคโกแลต+มันฝรั่ง(คอนฯ)-CR45</t>
  </si>
  <si>
    <t>03/11/64-04/12/64</t>
  </si>
  <si>
    <t>สเปรย์น้ำแร่เอเวียง(คอนฯ)-CR60</t>
  </si>
  <si>
    <t>21/10/64-20/11/64</t>
  </si>
  <si>
    <t>ที่เหลือ All Product (คอนฯ)-CR75</t>
  </si>
  <si>
    <t>06/10/64-04/11/64</t>
  </si>
  <si>
    <t>เซียงเพียว(คอนฯ)-CR90</t>
  </si>
  <si>
    <t>18/09/64-21/10/64</t>
  </si>
  <si>
    <t>แบรนด์ชนิดน้ำ (STL) CR45</t>
  </si>
  <si>
    <t>03/11/64-03/12/64</t>
  </si>
  <si>
    <t>แบรนด์ชนิดเม็ด (STL) CR90</t>
  </si>
  <si>
    <t>18/09/64-22/10/64</t>
  </si>
  <si>
    <t>ลูกค้าบันทึกรับล่าช้า รอโอนเดือน 02/65 ค่ะ</t>
  </si>
  <si>
    <t>4.บิลปลายเดือน 11/64</t>
  </si>
  <si>
    <t>1.บิลที่ติดปัญหา 26/11 รอแก้ไข</t>
  </si>
  <si>
    <t>บิลติดปัยหาเดือน 10</t>
  </si>
  <si>
    <t>รายงานยอดเก็บ Boot เดือน มกราคม 2565</t>
  </si>
  <si>
    <t>ยอดเก็บประจำเดือน
มกราคม    2565</t>
  </si>
  <si>
    <r>
      <t xml:space="preserve">ยอดขายเดือนธันวาคม 2564
</t>
    </r>
    <r>
      <rPr>
        <b/>
        <sz val="11"/>
        <color indexed="8"/>
        <rFont val="Arial Narrow"/>
        <family val="2"/>
      </rPr>
      <t>(2)</t>
    </r>
  </si>
  <si>
    <t>บิลปลายเดือน12 วาง2 /02/2565 จ่าย 28 /02/2565</t>
  </si>
  <si>
    <t>บิลค้างเดือน7-12/64</t>
  </si>
  <si>
    <t>ส่วนใบลดหนี้จำนวนนี้ให้หักในรอบจ่ายถัดไป  Boot จึงขอ Hold  บิลเดือน7-8/64 ไว้ก่อน  ลูกค้าแจ้งทยอดตัดเดือน กพ.65 บางส่วน</t>
  </si>
  <si>
    <t>รายงานยอดเก็บ The Mall เดือน  กุมภาพันธ์ 2565</t>
  </si>
  <si>
    <t>ยอดเก็บประจำเดือน
กุมภาพันธ์ 2565</t>
  </si>
  <si>
    <t>พฤศจิกายน  2564
(2)</t>
  </si>
  <si>
    <t xml:space="preserve">ยอดค้างชำระทั้งหมด ณ เดือน 02/65  </t>
  </si>
  <si>
    <t xml:space="preserve">บิล 11/64 สาขาดอนเมือง </t>
  </si>
  <si>
    <t>บาท  มียอด CN มากกว่าบิล  จ่าย 15.03.65</t>
  </si>
  <si>
    <t>บิลปลายเดือน(29-30/11/64)</t>
  </si>
  <si>
    <t xml:space="preserve"> บาท  จ่าย 15.03.65</t>
  </si>
  <si>
    <t>บิลปลายเดือน(30/11/64)</t>
  </si>
  <si>
    <t>บาท ขาดใบเสร็จ จ่าย 15.02.65</t>
  </si>
  <si>
    <t>รายงานยอดเก็บ Family เดือน  กุมภาพันธ์ 2565</t>
  </si>
  <si>
    <r>
      <t xml:space="preserve">ยอดขายเดือน
ธันวาคม 2564
</t>
    </r>
    <r>
      <rPr>
        <b/>
        <sz val="11"/>
        <color indexed="8"/>
        <rFont val="Arial Narrow"/>
        <family val="2"/>
      </rPr>
      <t>(2)</t>
    </r>
  </si>
  <si>
    <t>4. บิลเดือน 07/64 -09/64,11/64</t>
  </si>
  <si>
    <t>8.บิลเดือน 12/64</t>
  </si>
  <si>
    <t>บิลปลายเดือน</t>
  </si>
  <si>
    <t>9.บิลเดือน 12/64</t>
  </si>
  <si>
    <t>ลูกค้ากำลังตรวจสอบข้อมูลและจะแจ้งปัญหากลับ</t>
  </si>
  <si>
    <t>บาท =&gt;  จ่ายเดือน2.65</t>
  </si>
  <si>
    <t>1. บิลเดือน10.64 (16 -18.11.64)คงค้าง</t>
  </si>
  <si>
    <t>บาท =&gt; จ่ายเดือน 2.65</t>
  </si>
  <si>
    <t>รายงานยอดเก็บ Watsons เดือน กุมภาพันธ์  2565</t>
  </si>
  <si>
    <t>08/01/65-29/01/65</t>
  </si>
  <si>
    <t>07/12/64-25/12/64</t>
  </si>
  <si>
    <t>24/11/64-18/12/64</t>
  </si>
  <si>
    <t>10/11/64-04/12/64</t>
  </si>
  <si>
    <t>23/10/64-18/11/64</t>
  </si>
  <si>
    <t>08/12/64-29/12/64</t>
  </si>
  <si>
    <t>23/10/64-19/11/64</t>
  </si>
  <si>
    <t>ลูกค้าบันทึกรับล่าช้า รอโอนเดือน 03/65 ค่ะ</t>
  </si>
  <si>
    <t>รายงานยอดเก็บ Foodland เดือน กุมภาพันธ์ 2565</t>
  </si>
  <si>
    <t>ยอดขายเดือน
01/12/64-31/12/64
(2)</t>
  </si>
  <si>
    <t>เดือนพฤศจิกายน  2564</t>
  </si>
  <si>
    <t>เก็บเดือน3/2565</t>
  </si>
  <si>
    <t>เดือนธันวาคม 2564</t>
  </si>
  <si>
    <t>รายงานยอดเก็บ PT เดือน กุมภาพันธ์ 2565</t>
  </si>
  <si>
    <t>ยอดขายเดือน
1/1/65-31/1/65
(2)</t>
  </si>
  <si>
    <t>เดือนธันวาคม</t>
  </si>
  <si>
    <t>จ่ายวันที่ 25/3/2565</t>
  </si>
  <si>
    <t>เดือนมกราคม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</si>
</sst>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#,##0.000000000_ ;[Red]\-#,##0.000000000\ "/>
    <numFmt numFmtId="166" formatCode="#,##0.0_ ;[Red]\-#,##0.0\ "/>
    <numFmt numFmtId="167" formatCode="#,##0.000000000000_ ;[Red]\-#,##0.000000000000\ "/>
    <numFmt numFmtId="168" formatCode="#,##0.0000000000_ ;[Red]\-#,##0.0000000000\ "/>
  </numFmts>
  <fonts count="9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color theme="9" tint="-0.249977111117893"/>
      <name val="Arial Narrow"/>
      <family val="2"/>
    </font>
    <font>
      <sz val="11"/>
      <color rgb="FFFF0000"/>
      <name val="Arial Narrow"/>
      <family val="2"/>
    </font>
    <font>
      <b/>
      <i/>
      <sz val="11"/>
      <color theme="1"/>
      <name val="Arial Narrow"/>
      <family val="2"/>
    </font>
    <font>
      <b/>
      <i/>
      <sz val="11"/>
      <name val="Arial Narrow"/>
      <family val="2"/>
    </font>
    <font>
      <b/>
      <i/>
      <sz val="11"/>
      <color rgb="FFFF0000"/>
      <name val="Arial Narrow"/>
      <family val="2"/>
    </font>
    <font>
      <b/>
      <i/>
      <u val="double"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8" tint="-0.249977111117893"/>
      <name val="Arial Narrow"/>
      <family val="2"/>
    </font>
    <font>
      <b/>
      <sz val="11"/>
      <color theme="2" tint="-0.749992370372631"/>
      <name val="Arial Narrow"/>
      <family val="2"/>
    </font>
    <font>
      <b/>
      <u/>
      <sz val="11"/>
      <color rgb="FFFF0000"/>
      <name val="Arial Narrow"/>
      <family val="2"/>
    </font>
    <font>
      <b/>
      <u/>
      <sz val="11"/>
      <color theme="1"/>
      <name val="Arial Narrow"/>
      <family val="2"/>
    </font>
    <font>
      <sz val="11"/>
      <color rgb="FF00B0F0"/>
      <name val="Arial Narrow"/>
      <family val="2"/>
    </font>
    <font>
      <u val="double"/>
      <sz val="11"/>
      <name val="Arial Narrow"/>
      <family val="2"/>
    </font>
    <font>
      <u val="double"/>
      <sz val="11"/>
      <color rgb="FFFF0000"/>
      <name val="Arial Narrow"/>
      <family val="2"/>
    </font>
    <font>
      <i/>
      <u val="double"/>
      <sz val="11"/>
      <color rgb="FFFF0000"/>
      <name val="Arial Narrow"/>
      <family val="2"/>
    </font>
    <font>
      <b/>
      <i/>
      <u val="doubleAccounting"/>
      <sz val="11"/>
      <color theme="1"/>
      <name val="Arial Narrow"/>
      <family val="2"/>
    </font>
    <font>
      <sz val="11"/>
      <color theme="3" tint="-0.249977111117893"/>
      <name val="Arial Narrow"/>
      <family val="2"/>
    </font>
    <font>
      <sz val="12"/>
      <color rgb="FFFF0000"/>
      <name val="Arial Narrow"/>
      <family val="2"/>
    </font>
    <font>
      <sz val="12"/>
      <name val="Arial Narrow"/>
      <family val="2"/>
    </font>
    <font>
      <b/>
      <sz val="11"/>
      <color indexed="8"/>
      <name val="Arial Narrow"/>
      <family val="2"/>
    </font>
    <font>
      <sz val="12"/>
      <color theme="1"/>
      <name val="Arial Narrow"/>
      <family val="2"/>
    </font>
    <font>
      <sz val="11"/>
      <color theme="4" tint="-0.249977111117893"/>
      <name val="Arial Narrow"/>
      <family val="2"/>
    </font>
    <font>
      <b/>
      <sz val="12"/>
      <color rgb="FFFF0000"/>
      <name val="Arial Narrow"/>
      <family val="2"/>
    </font>
    <font>
      <b/>
      <sz val="12"/>
      <color theme="1"/>
      <name val="Arial Narrow"/>
      <family val="2"/>
    </font>
    <font>
      <sz val="12"/>
      <color theme="2" tint="-0.749992370372631"/>
      <name val="Arial Narrow"/>
      <family val="2"/>
    </font>
    <font>
      <b/>
      <u val="double"/>
      <sz val="12"/>
      <name val="Arial Narrow"/>
      <family val="2"/>
    </font>
    <font>
      <b/>
      <u val="double"/>
      <sz val="12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b/>
      <i/>
      <sz val="12"/>
      <color theme="1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rgb="FFFF0000"/>
      <name val="Arial Narrow"/>
      <family val="2"/>
    </font>
    <font>
      <b/>
      <i/>
      <u val="double"/>
      <sz val="12"/>
      <name val="Arial Narrow"/>
      <family val="2"/>
    </font>
    <font>
      <b/>
      <i/>
      <u val="double"/>
      <sz val="12"/>
      <color rgb="FFFF0000"/>
      <name val="Arial Narrow"/>
      <family val="2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u val="singleAccounting"/>
      <sz val="12"/>
      <color theme="8" tint="-0.249977111117893"/>
      <name val="Arial Narrow"/>
      <family val="2"/>
    </font>
    <font>
      <b/>
      <sz val="11"/>
      <color rgb="FF0070C0"/>
      <name val="Arial Narrow"/>
      <family val="2"/>
    </font>
    <font>
      <b/>
      <sz val="9"/>
      <name val="Arial Narrow"/>
      <family val="2"/>
    </font>
    <font>
      <b/>
      <i/>
      <sz val="11"/>
      <color theme="9" tint="-0.249977111117893"/>
      <name val="Arial Narrow"/>
      <family val="2"/>
    </font>
    <font>
      <sz val="10"/>
      <name val="Arial Narrow"/>
      <family val="2"/>
    </font>
    <font>
      <sz val="11"/>
      <color rgb="FF0070C0"/>
      <name val="Arial Narrow"/>
      <family val="2"/>
    </font>
    <font>
      <sz val="10"/>
      <color theme="1"/>
      <name val="Arial Narrow"/>
      <family val="2"/>
    </font>
    <font>
      <sz val="9"/>
      <color indexed="81"/>
      <name val="Tahoma"/>
      <family val="2"/>
    </font>
    <font>
      <b/>
      <sz val="18"/>
      <name val="Angsana New"/>
      <family val="1"/>
    </font>
    <font>
      <b/>
      <sz val="16"/>
      <color theme="1"/>
      <name val="Angsana New"/>
      <family val="1"/>
    </font>
    <font>
      <b/>
      <sz val="16"/>
      <color indexed="8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b/>
      <i/>
      <sz val="16"/>
      <color rgb="FFFF0000"/>
      <name val="Angsana New"/>
      <family val="1"/>
    </font>
    <font>
      <b/>
      <i/>
      <sz val="16"/>
      <name val="Angsana New"/>
      <family val="1"/>
    </font>
    <font>
      <b/>
      <i/>
      <sz val="16"/>
      <color theme="1"/>
      <name val="Angsana New"/>
      <family val="1"/>
    </font>
    <font>
      <b/>
      <sz val="16"/>
      <color rgb="FFFF0000"/>
      <name val="Angsana New"/>
      <family val="1"/>
    </font>
    <font>
      <u/>
      <sz val="11"/>
      <color rgb="FFFF0000"/>
      <name val="Arial Narrow"/>
      <family val="2"/>
    </font>
    <font>
      <b/>
      <sz val="10"/>
      <color theme="1"/>
      <name val="Arial Narrow"/>
      <family val="2"/>
    </font>
    <font>
      <sz val="11"/>
      <color indexed="8"/>
      <name val="Arial Narrow"/>
      <family val="2"/>
    </font>
    <font>
      <sz val="11"/>
      <color theme="2" tint="-0.749992370372631"/>
      <name val="Arial Narrow"/>
      <family val="2"/>
    </font>
    <font>
      <b/>
      <u val="double"/>
      <sz val="11"/>
      <name val="Arial Narrow"/>
      <family val="2"/>
    </font>
    <font>
      <b/>
      <u val="double"/>
      <sz val="11"/>
      <color rgb="FFFF0000"/>
      <name val="Arial Narrow"/>
      <family val="2"/>
    </font>
    <font>
      <sz val="14"/>
      <color rgb="FF00B0F0"/>
      <name val="Arial Narrow"/>
      <family val="2"/>
    </font>
    <font>
      <sz val="14"/>
      <color rgb="FFFF0000"/>
      <name val="Arial Narrow"/>
      <family val="2"/>
    </font>
    <font>
      <u val="double"/>
      <sz val="12"/>
      <color rgb="FFFF0000"/>
      <name val="Arial Narrow"/>
      <family val="2"/>
    </font>
    <font>
      <sz val="12"/>
      <color theme="3" tint="-0.249977111117893"/>
      <name val="Arial Narrow"/>
      <family val="2"/>
    </font>
    <font>
      <b/>
      <sz val="11"/>
      <color theme="9" tint="-0.249977111117893"/>
      <name val="Arial Narrow"/>
      <family val="2"/>
    </font>
    <font>
      <b/>
      <i/>
      <u/>
      <sz val="11"/>
      <name val="Arial Narrow"/>
      <family val="2"/>
    </font>
    <font>
      <i/>
      <sz val="11"/>
      <name val="Arial Narrow"/>
      <family val="2"/>
    </font>
    <font>
      <b/>
      <i/>
      <u val="double"/>
      <sz val="10"/>
      <color theme="1"/>
      <name val="Arial Narrow"/>
      <family val="2"/>
    </font>
    <font>
      <b/>
      <sz val="10"/>
      <name val="Arial Narrow"/>
      <family val="2"/>
    </font>
    <font>
      <i/>
      <sz val="11"/>
      <color theme="9" tint="-0.249977111117893"/>
      <name val="Arial Narrow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5F7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8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14" borderId="3" applyNumberFormat="0" applyFont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7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50" fillId="21" borderId="21" applyNumberFormat="0" applyAlignment="0" applyProtection="0"/>
    <xf numFmtId="0" fontId="51" fillId="22" borderId="22" applyNumberFormat="0" applyAlignment="0" applyProtection="0"/>
    <xf numFmtId="0" fontId="52" fillId="22" borderId="21" applyNumberFormat="0" applyAlignment="0" applyProtection="0"/>
    <xf numFmtId="0" fontId="53" fillId="0" borderId="23" applyNumberFormat="0" applyFill="0" applyAlignment="0" applyProtection="0"/>
    <xf numFmtId="0" fontId="54" fillId="23" borderId="24" applyNumberFormat="0" applyAlignment="0" applyProtection="0"/>
    <xf numFmtId="0" fontId="43" fillId="0" borderId="0" applyNumberFormat="0" applyFill="0" applyBorder="0" applyAlignment="0" applyProtection="0"/>
    <xf numFmtId="0" fontId="4" fillId="14" borderId="3" applyNumberFormat="0" applyFont="0" applyAlignment="0" applyProtection="0"/>
    <xf numFmtId="0" fontId="55" fillId="0" borderId="0" applyNumberFormat="0" applyFill="0" applyBorder="0" applyAlignment="0" applyProtection="0"/>
    <xf numFmtId="0" fontId="36" fillId="0" borderId="25" applyNumberFormat="0" applyFill="0" applyAlignment="0" applyProtection="0"/>
    <xf numFmtId="0" fontId="56" fillId="24" borderId="0" applyNumberFormat="0" applyBorder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56" fillId="27" borderId="0" applyNumberFormat="0" applyBorder="0" applyAlignment="0" applyProtection="0"/>
    <xf numFmtId="0" fontId="56" fillId="28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56" fillId="33" borderId="0" applyNumberFormat="0" applyBorder="0" applyAlignment="0" applyProtection="0"/>
    <xf numFmtId="0" fontId="56" fillId="34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56" fillId="35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</cellStyleXfs>
  <cellXfs count="544">
    <xf numFmtId="0" fontId="0" fillId="0" borderId="0" xfId="0"/>
    <xf numFmtId="10" fontId="0" fillId="0" borderId="1" xfId="0" applyNumberFormat="1" applyBorder="1"/>
    <xf numFmtId="0" fontId="0" fillId="0" borderId="1" xfId="0" applyBorder="1" applyAlignment="1">
      <alignment horizontal="center"/>
    </xf>
    <xf numFmtId="43" fontId="4" fillId="0" borderId="1" xfId="13" applyFont="1" applyBorder="1"/>
    <xf numFmtId="9" fontId="4" fillId="0" borderId="1" xfId="37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4" fillId="0" borderId="1" xfId="13" applyFont="1" applyBorder="1" applyAlignment="1">
      <alignment horizontal="center" vertical="center"/>
    </xf>
    <xf numFmtId="4" fontId="4" fillId="0" borderId="1" xfId="37" applyNumberFormat="1" applyFont="1" applyBorder="1"/>
    <xf numFmtId="1" fontId="4" fillId="0" borderId="1" xfId="37" applyNumberFormat="1" applyFont="1" applyBorder="1" applyAlignment="1">
      <alignment horizontal="center"/>
    </xf>
    <xf numFmtId="43" fontId="4" fillId="0" borderId="1" xfId="13" applyNumberFormat="1" applyFont="1" applyBorder="1"/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3" fontId="4" fillId="0" borderId="1" xfId="13" applyNumberFormat="1" applyFont="1" applyBorder="1"/>
    <xf numFmtId="43" fontId="4" fillId="0" borderId="1" xfId="13" applyFont="1" applyBorder="1" applyAlignment="1">
      <alignment horizontal="center" vertical="center"/>
    </xf>
    <xf numFmtId="43" fontId="4" fillId="0" borderId="1" xfId="13" applyFont="1" applyBorder="1"/>
    <xf numFmtId="43" fontId="4" fillId="0" borderId="1" xfId="13" applyFont="1" applyBorder="1"/>
    <xf numFmtId="43" fontId="4" fillId="0" borderId="1" xfId="13" applyFont="1" applyBorder="1" applyAlignment="1">
      <alignment horizontal="center" vertical="center"/>
    </xf>
    <xf numFmtId="9" fontId="6" fillId="15" borderId="0" xfId="37" applyFont="1" applyFill="1" applyBorder="1" applyAlignment="1"/>
    <xf numFmtId="0" fontId="6" fillId="15" borderId="0" xfId="0" applyFont="1" applyFill="1" applyBorder="1" applyAlignment="1">
      <alignment vertical="center"/>
    </xf>
    <xf numFmtId="43" fontId="3" fillId="15" borderId="0" xfId="13" applyFont="1" applyFill="1" applyBorder="1" applyAlignment="1">
      <alignment vertical="center"/>
    </xf>
    <xf numFmtId="9" fontId="3" fillId="15" borderId="0" xfId="37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9" fontId="6" fillId="15" borderId="0" xfId="37" applyFont="1" applyFill="1" applyBorder="1" applyAlignment="1">
      <alignment vertical="center"/>
    </xf>
    <xf numFmtId="0" fontId="7" fillId="15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vertical="center"/>
    </xf>
    <xf numFmtId="0" fontId="11" fillId="15" borderId="0" xfId="0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3" fontId="12" fillId="15" borderId="0" xfId="13" applyFont="1" applyFill="1" applyBorder="1" applyAlignment="1">
      <alignment vertical="center"/>
    </xf>
    <xf numFmtId="43" fontId="8" fillId="15" borderId="0" xfId="13" applyFont="1" applyFill="1" applyBorder="1" applyAlignment="1">
      <alignment vertical="center"/>
    </xf>
    <xf numFmtId="43" fontId="15" fillId="15" borderId="0" xfId="13" applyFont="1" applyFill="1" applyBorder="1" applyAlignment="1">
      <alignment vertical="center"/>
    </xf>
    <xf numFmtId="43" fontId="10" fillId="15" borderId="0" xfId="13" applyFont="1" applyFill="1" applyBorder="1" applyAlignment="1">
      <alignment vertical="center"/>
    </xf>
    <xf numFmtId="4" fontId="6" fillId="15" borderId="0" xfId="0" applyNumberFormat="1" applyFont="1" applyFill="1" applyBorder="1" applyAlignment="1">
      <alignment vertical="center"/>
    </xf>
    <xf numFmtId="164" fontId="6" fillId="15" borderId="0" xfId="0" applyNumberFormat="1" applyFont="1" applyFill="1" applyBorder="1" applyAlignment="1">
      <alignment vertical="center"/>
    </xf>
    <xf numFmtId="0" fontId="7" fillId="15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43" fontId="7" fillId="15" borderId="0" xfId="13" applyFont="1" applyFill="1" applyBorder="1" applyAlignment="1">
      <alignment vertical="center"/>
    </xf>
    <xf numFmtId="43" fontId="7" fillId="15" borderId="0" xfId="0" applyNumberFormat="1" applyFont="1" applyFill="1" applyBorder="1" applyAlignment="1">
      <alignment vertical="center"/>
    </xf>
    <xf numFmtId="4" fontId="6" fillId="15" borderId="0" xfId="0" applyNumberFormat="1" applyFont="1" applyFill="1" applyBorder="1" applyAlignment="1"/>
    <xf numFmtId="164" fontId="6" fillId="15" borderId="0" xfId="0" applyNumberFormat="1" applyFont="1" applyFill="1" applyBorder="1" applyAlignment="1"/>
    <xf numFmtId="0" fontId="18" fillId="15" borderId="0" xfId="0" applyFont="1" applyFill="1" applyBorder="1" applyAlignment="1"/>
    <xf numFmtId="0" fontId="19" fillId="15" borderId="0" xfId="0" applyFont="1" applyFill="1" applyBorder="1" applyAlignment="1">
      <alignment horizontal="right"/>
    </xf>
    <xf numFmtId="43" fontId="3" fillId="15" borderId="0" xfId="13" applyFont="1" applyFill="1" applyBorder="1" applyAlignment="1"/>
    <xf numFmtId="40" fontId="3" fillId="15" borderId="0" xfId="13" applyNumberFormat="1" applyFont="1" applyFill="1" applyBorder="1" applyAlignment="1">
      <alignment vertical="center"/>
    </xf>
    <xf numFmtId="0" fontId="11" fillId="15" borderId="0" xfId="0" applyFont="1" applyFill="1" applyBorder="1" applyAlignment="1"/>
    <xf numFmtId="165" fontId="6" fillId="15" borderId="0" xfId="0" applyNumberFormat="1" applyFont="1" applyFill="1" applyBorder="1" applyAlignment="1"/>
    <xf numFmtId="43" fontId="9" fillId="15" borderId="0" xfId="13" applyFont="1" applyFill="1" applyBorder="1" applyAlignment="1"/>
    <xf numFmtId="0" fontId="9" fillId="15" borderId="0" xfId="0" applyFont="1" applyFill="1" applyBorder="1" applyAlignment="1"/>
    <xf numFmtId="40" fontId="9" fillId="15" borderId="0" xfId="0" applyNumberFormat="1" applyFont="1" applyFill="1" applyBorder="1" applyAlignment="1"/>
    <xf numFmtId="9" fontId="10" fillId="15" borderId="0" xfId="37" applyFont="1" applyFill="1" applyBorder="1" applyAlignment="1">
      <alignment vertical="center"/>
    </xf>
    <xf numFmtId="43" fontId="10" fillId="15" borderId="0" xfId="13" applyFont="1" applyFill="1" applyBorder="1" applyAlignment="1">
      <alignment horizontal="center"/>
    </xf>
    <xf numFmtId="165" fontId="10" fillId="15" borderId="0" xfId="0" applyNumberFormat="1" applyFont="1" applyFill="1" applyBorder="1" applyAlignment="1">
      <alignment vertical="center"/>
    </xf>
    <xf numFmtId="40" fontId="10" fillId="15" borderId="0" xfId="13" applyNumberFormat="1" applyFont="1" applyFill="1" applyBorder="1" applyAlignment="1">
      <alignment vertical="center"/>
    </xf>
    <xf numFmtId="0" fontId="6" fillId="15" borderId="0" xfId="0" applyFont="1" applyFill="1" applyBorder="1" applyAlignment="1">
      <alignment horizontal="right"/>
    </xf>
    <xf numFmtId="0" fontId="8" fillId="15" borderId="0" xfId="0" applyFont="1" applyFill="1" applyBorder="1" applyAlignment="1"/>
    <xf numFmtId="0" fontId="7" fillId="15" borderId="0" xfId="0" applyFont="1" applyFill="1" applyBorder="1" applyAlignment="1">
      <alignment horizontal="center" vertical="center" wrapText="1"/>
    </xf>
    <xf numFmtId="43" fontId="7" fillId="15" borderId="0" xfId="13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43" fontId="8" fillId="15" borderId="0" xfId="13" applyFont="1" applyFill="1" applyBorder="1" applyAlignment="1">
      <alignment horizontal="center" vertical="center" wrapText="1"/>
    </xf>
    <xf numFmtId="40" fontId="8" fillId="15" borderId="0" xfId="13" applyNumberFormat="1" applyFont="1" applyFill="1" applyBorder="1" applyAlignment="1">
      <alignment vertical="center"/>
    </xf>
    <xf numFmtId="0" fontId="6" fillId="15" borderId="0" xfId="0" applyFont="1" applyFill="1" applyBorder="1"/>
    <xf numFmtId="0" fontId="7" fillId="15" borderId="0" xfId="0" applyFont="1" applyFill="1" applyBorder="1" applyAlignment="1"/>
    <xf numFmtId="40" fontId="3" fillId="15" borderId="0" xfId="13" applyNumberFormat="1" applyFont="1" applyFill="1" applyBorder="1" applyAlignment="1"/>
    <xf numFmtId="40" fontId="10" fillId="15" borderId="0" xfId="13" applyNumberFormat="1" applyFont="1" applyFill="1" applyBorder="1" applyAlignment="1"/>
    <xf numFmtId="0" fontId="6" fillId="15" borderId="0" xfId="0" applyFont="1" applyFill="1" applyBorder="1" applyAlignment="1">
      <alignment horizontal="center" vertical="center" wrapText="1"/>
    </xf>
    <xf numFmtId="43" fontId="6" fillId="15" borderId="0" xfId="13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wrapText="1"/>
    </xf>
    <xf numFmtId="43" fontId="12" fillId="15" borderId="0" xfId="13" applyFont="1" applyFill="1" applyBorder="1" applyAlignment="1"/>
    <xf numFmtId="40" fontId="12" fillId="15" borderId="0" xfId="13" applyNumberFormat="1" applyFont="1" applyFill="1" applyBorder="1" applyAlignment="1"/>
    <xf numFmtId="0" fontId="13" fillId="15" borderId="0" xfId="0" applyFont="1" applyFill="1" applyBorder="1" applyAlignment="1">
      <alignment horizontal="right" vertical="center"/>
    </xf>
    <xf numFmtId="4" fontId="15" fillId="15" borderId="0" xfId="13" applyNumberFormat="1" applyFont="1" applyFill="1" applyBorder="1" applyAlignment="1">
      <alignment vertical="center"/>
    </xf>
    <xf numFmtId="4" fontId="3" fillId="15" borderId="0" xfId="13" applyNumberFormat="1" applyFont="1" applyFill="1" applyBorder="1" applyAlignment="1">
      <alignment vertical="center"/>
    </xf>
    <xf numFmtId="43" fontId="6" fillId="15" borderId="0" xfId="13" applyFont="1" applyFill="1" applyBorder="1" applyAlignment="1">
      <alignment horizontal="left" vertical="center"/>
    </xf>
    <xf numFmtId="40" fontId="6" fillId="15" borderId="0" xfId="0" applyNumberFormat="1" applyFont="1" applyFill="1" applyBorder="1" applyAlignment="1"/>
    <xf numFmtId="0" fontId="20" fillId="15" borderId="0" xfId="0" applyFont="1" applyFill="1" applyBorder="1" applyAlignment="1">
      <alignment vertical="center"/>
    </xf>
    <xf numFmtId="0" fontId="21" fillId="15" borderId="0" xfId="0" applyFont="1" applyFill="1" applyBorder="1" applyAlignment="1">
      <alignment vertical="center"/>
    </xf>
    <xf numFmtId="0" fontId="22" fillId="15" borderId="0" xfId="0" applyFont="1" applyFill="1" applyBorder="1" applyAlignment="1">
      <alignment vertical="center"/>
    </xf>
    <xf numFmtId="0" fontId="20" fillId="15" borderId="0" xfId="0" applyFont="1" applyFill="1" applyBorder="1" applyAlignment="1">
      <alignment horizontal="center" vertical="center"/>
    </xf>
    <xf numFmtId="43" fontId="20" fillId="15" borderId="0" xfId="13" applyFont="1" applyFill="1" applyBorder="1" applyAlignment="1">
      <alignment vertical="center"/>
    </xf>
    <xf numFmtId="9" fontId="20" fillId="15" borderId="0" xfId="37" applyFont="1" applyFill="1" applyBorder="1" applyAlignment="1">
      <alignment vertical="center"/>
    </xf>
    <xf numFmtId="43" fontId="3" fillId="15" borderId="0" xfId="13" applyFont="1" applyFill="1" applyBorder="1" applyAlignment="1">
      <alignment horizontal="center" vertical="center" wrapText="1"/>
    </xf>
    <xf numFmtId="43" fontId="10" fillId="15" borderId="0" xfId="13" applyFont="1" applyFill="1" applyBorder="1" applyAlignment="1">
      <alignment horizontal="center" wrapText="1"/>
    </xf>
    <xf numFmtId="0" fontId="23" fillId="15" borderId="0" xfId="0" applyFont="1" applyFill="1" applyBorder="1" applyAlignment="1">
      <alignment vertical="center"/>
    </xf>
    <xf numFmtId="43" fontId="10" fillId="15" borderId="0" xfId="13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 vertical="center" wrapText="1"/>
    </xf>
    <xf numFmtId="43" fontId="13" fillId="15" borderId="0" xfId="13" applyFont="1" applyFill="1" applyBorder="1" applyAlignment="1">
      <alignment vertical="center"/>
    </xf>
    <xf numFmtId="4" fontId="12" fillId="15" borderId="0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horizontal="center" vertical="center"/>
    </xf>
    <xf numFmtId="4" fontId="7" fillId="15" borderId="0" xfId="0" applyNumberFormat="1" applyFont="1" applyFill="1" applyBorder="1" applyAlignment="1">
      <alignment vertical="center"/>
    </xf>
    <xf numFmtId="0" fontId="6" fillId="15" borderId="0" xfId="0" applyFont="1" applyFill="1" applyBorder="1" applyAlignment="1"/>
    <xf numFmtId="43" fontId="6" fillId="15" borderId="0" xfId="13" applyFont="1" applyFill="1" applyBorder="1" applyAlignment="1"/>
    <xf numFmtId="0" fontId="14" fillId="15" borderId="0" xfId="0" applyFont="1" applyFill="1" applyBorder="1" applyAlignment="1">
      <alignment vertical="center"/>
    </xf>
    <xf numFmtId="0" fontId="8" fillId="15" borderId="0" xfId="0" applyFont="1" applyFill="1" applyBorder="1" applyAlignment="1">
      <alignment horizontal="right" vertical="center"/>
    </xf>
    <xf numFmtId="0" fontId="8" fillId="15" borderId="0" xfId="0" applyFont="1" applyFill="1" applyBorder="1" applyAlignment="1">
      <alignment vertical="center"/>
    </xf>
    <xf numFmtId="4" fontId="8" fillId="15" borderId="0" xfId="13" applyNumberFormat="1" applyFont="1" applyFill="1" applyBorder="1" applyAlignment="1">
      <alignment vertical="center"/>
    </xf>
    <xf numFmtId="43" fontId="10" fillId="15" borderId="0" xfId="13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vertical="center"/>
    </xf>
    <xf numFmtId="4" fontId="8" fillId="15" borderId="0" xfId="13" applyNumberFormat="1" applyFont="1" applyFill="1" applyBorder="1" applyAlignment="1">
      <alignment horizontal="center" vertical="center" wrapText="1"/>
    </xf>
    <xf numFmtId="40" fontId="8" fillId="15" borderId="0" xfId="13" applyNumberFormat="1" applyFont="1" applyFill="1" applyBorder="1" applyAlignment="1"/>
    <xf numFmtId="164" fontId="20" fillId="15" borderId="0" xfId="0" applyNumberFormat="1" applyFont="1" applyFill="1" applyBorder="1" applyAlignment="1">
      <alignment vertical="center"/>
    </xf>
    <xf numFmtId="167" fontId="6" fillId="15" borderId="0" xfId="0" applyNumberFormat="1" applyFont="1" applyFill="1" applyBorder="1" applyAlignment="1">
      <alignment vertical="center"/>
    </xf>
    <xf numFmtId="43" fontId="25" fillId="15" borderId="0" xfId="13" applyFont="1" applyFill="1" applyBorder="1" applyAlignment="1">
      <alignment vertical="center"/>
    </xf>
    <xf numFmtId="168" fontId="6" fillId="15" borderId="0" xfId="0" applyNumberFormat="1" applyFont="1" applyFill="1" applyBorder="1" applyAlignment="1">
      <alignment vertical="center"/>
    </xf>
    <xf numFmtId="40" fontId="3" fillId="15" borderId="0" xfId="13" applyNumberFormat="1" applyFont="1" applyFill="1" applyBorder="1" applyAlignment="1">
      <alignment horizontal="center" vertical="center"/>
    </xf>
    <xf numFmtId="40" fontId="3" fillId="15" borderId="0" xfId="13" applyNumberFormat="1" applyFont="1" applyFill="1" applyBorder="1" applyAlignment="1">
      <alignment horizontal="right" vertical="center"/>
    </xf>
    <xf numFmtId="14" fontId="10" fillId="15" borderId="0" xfId="13" applyNumberFormat="1" applyFont="1" applyFill="1" applyBorder="1" applyAlignment="1">
      <alignment horizontal="center" vertical="center" wrapText="1"/>
    </xf>
    <xf numFmtId="0" fontId="26" fillId="15" borderId="0" xfId="0" applyFont="1" applyFill="1" applyBorder="1" applyAlignment="1">
      <alignment vertical="center"/>
    </xf>
    <xf numFmtId="43" fontId="26" fillId="15" borderId="0" xfId="13" applyFont="1" applyFill="1" applyBorder="1" applyAlignment="1">
      <alignment vertical="center"/>
    </xf>
    <xf numFmtId="43" fontId="29" fillId="15" borderId="0" xfId="13" applyFont="1" applyFill="1" applyBorder="1" applyAlignment="1">
      <alignment vertical="center"/>
    </xf>
    <xf numFmtId="0" fontId="6" fillId="15" borderId="0" xfId="0" applyFont="1" applyFill="1"/>
    <xf numFmtId="165" fontId="26" fillId="15" borderId="0" xfId="0" applyNumberFormat="1" applyFont="1" applyFill="1" applyBorder="1" applyAlignment="1">
      <alignment vertical="center"/>
    </xf>
    <xf numFmtId="0" fontId="0" fillId="15" borderId="0" xfId="0" applyFill="1"/>
    <xf numFmtId="0" fontId="29" fillId="15" borderId="0" xfId="0" applyFont="1" applyFill="1" applyBorder="1" applyAlignment="1">
      <alignment vertical="center"/>
    </xf>
    <xf numFmtId="0" fontId="34" fillId="15" borderId="0" xfId="0" applyFont="1" applyFill="1" applyBorder="1" applyAlignment="1">
      <alignment vertical="center"/>
    </xf>
    <xf numFmtId="9" fontId="29" fillId="15" borderId="0" xfId="37" applyFont="1" applyFill="1" applyBorder="1" applyAlignment="1">
      <alignment vertical="center"/>
    </xf>
    <xf numFmtId="166" fontId="29" fillId="15" borderId="0" xfId="0" applyNumberFormat="1" applyFont="1" applyFill="1" applyBorder="1" applyAlignment="1">
      <alignment vertical="center"/>
    </xf>
    <xf numFmtId="0" fontId="35" fillId="15" borderId="0" xfId="0" applyFont="1" applyFill="1" applyBorder="1" applyAlignment="1">
      <alignment horizontal="right" vertical="center"/>
    </xf>
    <xf numFmtId="0" fontId="32" fillId="15" borderId="0" xfId="0" applyFont="1" applyFill="1" applyBorder="1" applyAlignment="1">
      <alignment vertical="center"/>
    </xf>
    <xf numFmtId="43" fontId="26" fillId="15" borderId="0" xfId="0" applyNumberFormat="1" applyFont="1" applyFill="1" applyBorder="1" applyAlignment="1">
      <alignment vertical="center"/>
    </xf>
    <xf numFmtId="0" fontId="6" fillId="15" borderId="0" xfId="0" applyFont="1" applyFill="1" applyBorder="1" applyAlignment="1">
      <alignment vertical="center"/>
    </xf>
    <xf numFmtId="43" fontId="3" fillId="15" borderId="0" xfId="13" applyFont="1" applyFill="1" applyBorder="1" applyAlignment="1">
      <alignment vertical="center"/>
    </xf>
    <xf numFmtId="9" fontId="3" fillId="15" borderId="0" xfId="37" applyFont="1" applyFill="1" applyBorder="1" applyAlignment="1">
      <alignment vertical="center"/>
    </xf>
    <xf numFmtId="43" fontId="6" fillId="15" borderId="0" xfId="13" applyFont="1" applyFill="1" applyBorder="1" applyAlignment="1">
      <alignment vertical="center"/>
    </xf>
    <xf numFmtId="0" fontId="7" fillId="15" borderId="0" xfId="0" applyFont="1" applyFill="1" applyBorder="1" applyAlignment="1">
      <alignment vertical="center"/>
    </xf>
    <xf numFmtId="0" fontId="11" fillId="15" borderId="0" xfId="0" applyFont="1" applyFill="1" applyBorder="1" applyAlignment="1">
      <alignment vertical="center"/>
    </xf>
    <xf numFmtId="43" fontId="11" fillId="15" borderId="0" xfId="13" applyFont="1" applyFill="1" applyBorder="1" applyAlignment="1">
      <alignment vertical="center"/>
    </xf>
    <xf numFmtId="40" fontId="13" fillId="15" borderId="0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vertical="center"/>
    </xf>
    <xf numFmtId="40" fontId="12" fillId="15" borderId="0" xfId="13" applyNumberFormat="1" applyFont="1" applyFill="1" applyBorder="1" applyAlignment="1">
      <alignment vertical="center"/>
    </xf>
    <xf numFmtId="43" fontId="10" fillId="15" borderId="0" xfId="13" applyFont="1" applyFill="1" applyBorder="1" applyAlignment="1">
      <alignment vertical="center"/>
    </xf>
    <xf numFmtId="0" fontId="6" fillId="15" borderId="0" xfId="0" applyFont="1" applyFill="1" applyBorder="1" applyAlignment="1">
      <alignment horizontal="right" vertical="center"/>
    </xf>
    <xf numFmtId="4" fontId="6" fillId="15" borderId="0" xfId="0" applyNumberFormat="1" applyFont="1" applyFill="1" applyBorder="1" applyAlignment="1">
      <alignment vertical="center"/>
    </xf>
    <xf numFmtId="43" fontId="7" fillId="15" borderId="0" xfId="13" applyFont="1" applyFill="1" applyBorder="1" applyAlignment="1">
      <alignment vertical="center"/>
    </xf>
    <xf numFmtId="40" fontId="0" fillId="15" borderId="0" xfId="0" applyNumberFormat="1" applyFill="1"/>
    <xf numFmtId="0" fontId="31" fillId="15" borderId="0" xfId="0" applyFont="1" applyFill="1" applyBorder="1" applyAlignment="1">
      <alignment vertical="center"/>
    </xf>
    <xf numFmtId="0" fontId="32" fillId="15" borderId="0" xfId="0" applyFont="1" applyFill="1" applyBorder="1" applyAlignment="1">
      <alignment horizontal="center" vertical="center" wrapText="1"/>
    </xf>
    <xf numFmtId="0" fontId="29" fillId="15" borderId="0" xfId="0" applyFont="1" applyFill="1" applyBorder="1" applyAlignment="1">
      <alignment horizontal="center" vertical="center" wrapText="1"/>
    </xf>
    <xf numFmtId="43" fontId="29" fillId="15" borderId="0" xfId="13" applyFont="1" applyFill="1" applyBorder="1" applyAlignment="1">
      <alignment horizontal="center" vertical="center" wrapText="1"/>
    </xf>
    <xf numFmtId="40" fontId="33" fillId="15" borderId="0" xfId="13" applyNumberFormat="1" applyFont="1" applyFill="1" applyBorder="1" applyAlignment="1">
      <alignment vertical="center"/>
    </xf>
    <xf numFmtId="40" fontId="26" fillId="15" borderId="0" xfId="13" applyNumberFormat="1" applyFont="1" applyFill="1" applyBorder="1" applyAlignment="1">
      <alignment vertical="center"/>
    </xf>
    <xf numFmtId="2" fontId="27" fillId="15" borderId="0" xfId="13" applyNumberFormat="1" applyFont="1" applyFill="1" applyBorder="1" applyAlignment="1">
      <alignment vertical="center"/>
    </xf>
    <xf numFmtId="40" fontId="31" fillId="15" borderId="0" xfId="13" applyNumberFormat="1" applyFont="1" applyFill="1" applyBorder="1" applyAlignment="1">
      <alignment vertical="center"/>
    </xf>
    <xf numFmtId="0" fontId="37" fillId="15" borderId="0" xfId="0" applyFont="1" applyFill="1" applyBorder="1" applyAlignment="1">
      <alignment vertical="center"/>
    </xf>
    <xf numFmtId="43" fontId="38" fillId="15" borderId="0" xfId="13" applyFont="1" applyFill="1" applyBorder="1" applyAlignment="1">
      <alignment vertical="center"/>
    </xf>
    <xf numFmtId="2" fontId="39" fillId="15" borderId="0" xfId="13" applyNumberFormat="1" applyFont="1" applyFill="1" applyBorder="1" applyAlignment="1">
      <alignment vertical="center"/>
    </xf>
    <xf numFmtId="40" fontId="40" fillId="15" borderId="0" xfId="13" applyNumberFormat="1" applyFont="1" applyFill="1" applyBorder="1" applyAlignment="1">
      <alignment vertical="center"/>
    </xf>
    <xf numFmtId="0" fontId="41" fillId="15" borderId="0" xfId="0" applyFont="1" applyFill="1" applyBorder="1" applyAlignment="1">
      <alignment vertical="center"/>
    </xf>
    <xf numFmtId="0" fontId="42" fillId="15" borderId="0" xfId="0" applyFont="1" applyFill="1" applyBorder="1" applyAlignment="1">
      <alignment horizontal="right" vertical="center"/>
    </xf>
    <xf numFmtId="9" fontId="27" fillId="15" borderId="0" xfId="37" applyFont="1" applyFill="1" applyBorder="1" applyAlignment="1">
      <alignment vertical="center"/>
    </xf>
    <xf numFmtId="0" fontId="27" fillId="15" borderId="0" xfId="0" applyFont="1" applyFill="1" applyBorder="1" applyAlignment="1">
      <alignment vertical="center"/>
    </xf>
    <xf numFmtId="0" fontId="8" fillId="15" borderId="5" xfId="0" applyFont="1" applyFill="1" applyBorder="1" applyAlignment="1">
      <alignment horizontal="center" vertical="center" wrapText="1"/>
    </xf>
    <xf numFmtId="9" fontId="3" fillId="15" borderId="0" xfId="37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11" fillId="15" borderId="8" xfId="0" applyFont="1" applyFill="1" applyBorder="1" applyAlignment="1">
      <alignment vertical="center"/>
    </xf>
    <xf numFmtId="43" fontId="11" fillId="15" borderId="9" xfId="13" applyFont="1" applyFill="1" applyBorder="1" applyAlignment="1">
      <alignment vertical="center"/>
    </xf>
    <xf numFmtId="40" fontId="13" fillId="15" borderId="9" xfId="13" applyNumberFormat="1" applyFont="1" applyFill="1" applyBorder="1" applyAlignment="1">
      <alignment vertical="center"/>
    </xf>
    <xf numFmtId="40" fontId="12" fillId="15" borderId="9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vertical="center"/>
    </xf>
    <xf numFmtId="0" fontId="6" fillId="15" borderId="0" xfId="0" applyFont="1" applyFill="1" applyBorder="1" applyAlignment="1">
      <alignment horizontal="right" vertical="center"/>
    </xf>
    <xf numFmtId="43" fontId="7" fillId="15" borderId="0" xfId="13" applyFont="1" applyFill="1" applyBorder="1" applyAlignment="1">
      <alignment vertical="center"/>
    </xf>
    <xf numFmtId="43" fontId="7" fillId="15" borderId="10" xfId="0" applyNumberFormat="1" applyFont="1" applyFill="1" applyBorder="1" applyAlignment="1">
      <alignment vertical="center"/>
    </xf>
    <xf numFmtId="40" fontId="8" fillId="15" borderId="9" xfId="13" applyNumberFormat="1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vertical="center"/>
    </xf>
    <xf numFmtId="4" fontId="6" fillId="15" borderId="0" xfId="13" applyNumberFormat="1" applyFont="1" applyFill="1" applyBorder="1" applyAlignment="1">
      <alignment horizontal="left" vertical="center"/>
    </xf>
    <xf numFmtId="4" fontId="3" fillId="15" borderId="0" xfId="13" applyNumberFormat="1" applyFont="1" applyFill="1" applyBorder="1" applyAlignment="1">
      <alignment vertical="center"/>
    </xf>
    <xf numFmtId="0" fontId="0" fillId="0" borderId="0" xfId="0"/>
    <xf numFmtId="43" fontId="6" fillId="15" borderId="0" xfId="13" applyFont="1" applyFill="1" applyBorder="1" applyAlignment="1">
      <alignment vertical="center"/>
    </xf>
    <xf numFmtId="0" fontId="6" fillId="15" borderId="0" xfId="0" applyFont="1" applyFill="1" applyBorder="1" applyAlignment="1">
      <alignment vertical="center"/>
    </xf>
    <xf numFmtId="9" fontId="6" fillId="15" borderId="0" xfId="37" applyFont="1" applyFill="1" applyBorder="1" applyAlignment="1">
      <alignment vertical="center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43" fontId="7" fillId="15" borderId="5" xfId="13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vertical="center"/>
    </xf>
    <xf numFmtId="43" fontId="6" fillId="15" borderId="2" xfId="13" applyFont="1" applyFill="1" applyBorder="1" applyAlignment="1">
      <alignment vertical="center"/>
    </xf>
    <xf numFmtId="40" fontId="10" fillId="15" borderId="2" xfId="13" applyNumberFormat="1" applyFont="1" applyFill="1" applyBorder="1" applyAlignment="1">
      <alignment vertical="center"/>
    </xf>
    <xf numFmtId="40" fontId="3" fillId="15" borderId="2" xfId="13" applyNumberFormat="1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43" fontId="6" fillId="15" borderId="11" xfId="13" applyFont="1" applyFill="1" applyBorder="1" applyAlignment="1">
      <alignment vertical="center"/>
    </xf>
    <xf numFmtId="40" fontId="3" fillId="15" borderId="11" xfId="13" applyNumberFormat="1" applyFont="1" applyFill="1" applyBorder="1" applyAlignment="1">
      <alignment vertical="center"/>
    </xf>
    <xf numFmtId="0" fontId="11" fillId="15" borderId="0" xfId="0" applyFont="1" applyFill="1" applyBorder="1" applyAlignment="1">
      <alignment vertical="center"/>
    </xf>
    <xf numFmtId="43" fontId="11" fillId="15" borderId="0" xfId="13" applyFont="1" applyFill="1" applyBorder="1" applyAlignment="1">
      <alignment vertical="center"/>
    </xf>
    <xf numFmtId="43" fontId="7" fillId="15" borderId="10" xfId="13" applyFont="1" applyFill="1" applyBorder="1" applyAlignment="1">
      <alignment vertical="center"/>
    </xf>
    <xf numFmtId="43" fontId="6" fillId="15" borderId="0" xfId="0" applyNumberFormat="1" applyFont="1" applyFill="1" applyBorder="1" applyAlignment="1">
      <alignment vertical="center"/>
    </xf>
    <xf numFmtId="43" fontId="3" fillId="15" borderId="0" xfId="13" applyFont="1" applyFill="1" applyBorder="1" applyAlignment="1">
      <alignment vertical="center"/>
    </xf>
    <xf numFmtId="0" fontId="9" fillId="15" borderId="0" xfId="0" applyFont="1" applyFill="1" applyBorder="1" applyAlignment="1">
      <alignment vertical="center"/>
    </xf>
    <xf numFmtId="40" fontId="3" fillId="16" borderId="2" xfId="13" applyNumberFormat="1" applyFont="1" applyFill="1" applyBorder="1" applyAlignment="1">
      <alignment vertical="center"/>
    </xf>
    <xf numFmtId="43" fontId="9" fillId="15" borderId="0" xfId="13" applyFont="1" applyFill="1" applyBorder="1" applyAlignment="1">
      <alignment vertical="center"/>
    </xf>
    <xf numFmtId="0" fontId="6" fillId="15" borderId="0" xfId="0" applyFont="1" applyFill="1"/>
    <xf numFmtId="43" fontId="6" fillId="15" borderId="0" xfId="13" applyFont="1" applyFill="1"/>
    <xf numFmtId="4" fontId="6" fillId="15" borderId="0" xfId="0" applyNumberFormat="1" applyFont="1" applyFill="1" applyBorder="1" applyAlignment="1">
      <alignment vertical="center"/>
    </xf>
    <xf numFmtId="43" fontId="27" fillId="15" borderId="0" xfId="13" applyFont="1" applyFill="1" applyBorder="1" applyAlignment="1">
      <alignment vertical="center"/>
    </xf>
    <xf numFmtId="40" fontId="6" fillId="15" borderId="0" xfId="13" applyNumberFormat="1" applyFont="1" applyFill="1" applyBorder="1" applyAlignment="1">
      <alignment vertical="center"/>
    </xf>
    <xf numFmtId="40" fontId="6" fillId="15" borderId="0" xfId="0" applyNumberFormat="1" applyFont="1" applyFill="1" applyBorder="1" applyAlignment="1">
      <alignment vertical="center"/>
    </xf>
    <xf numFmtId="40" fontId="6" fillId="15" borderId="0" xfId="13" applyNumberFormat="1" applyFont="1" applyFill="1" applyBorder="1" applyAlignment="1">
      <alignment horizontal="left" vertical="center"/>
    </xf>
    <xf numFmtId="40" fontId="3" fillId="15" borderId="0" xfId="13" applyNumberFormat="1" applyFont="1" applyFill="1" applyBorder="1" applyAlignment="1">
      <alignment vertical="center"/>
    </xf>
    <xf numFmtId="40" fontId="6" fillId="15" borderId="0" xfId="0" applyNumberFormat="1" applyFont="1" applyFill="1"/>
    <xf numFmtId="40" fontId="7" fillId="15" borderId="15" xfId="13" applyNumberFormat="1" applyFont="1" applyFill="1" applyBorder="1" applyAlignment="1">
      <alignment vertical="center"/>
    </xf>
    <xf numFmtId="40" fontId="10" fillId="15" borderId="11" xfId="13" applyNumberFormat="1" applyFont="1" applyFill="1" applyBorder="1" applyAlignment="1">
      <alignment vertical="center"/>
    </xf>
    <xf numFmtId="40" fontId="3" fillId="15" borderId="12" xfId="13" applyNumberFormat="1" applyFont="1" applyFill="1" applyBorder="1" applyAlignment="1">
      <alignment vertical="center"/>
    </xf>
    <xf numFmtId="0" fontId="11" fillId="15" borderId="13" xfId="0" applyFont="1" applyFill="1" applyBorder="1" applyAlignment="1">
      <alignment vertical="center"/>
    </xf>
    <xf numFmtId="40" fontId="13" fillId="15" borderId="14" xfId="13" applyNumberFormat="1" applyFont="1" applyFill="1" applyBorder="1" applyAlignment="1">
      <alignment vertical="center"/>
    </xf>
    <xf numFmtId="43" fontId="11" fillId="15" borderId="14" xfId="13" applyFont="1" applyFill="1" applyBorder="1" applyAlignment="1">
      <alignment vertical="center"/>
    </xf>
    <xf numFmtId="40" fontId="12" fillId="15" borderId="14" xfId="13" applyNumberFormat="1" applyFont="1" applyFill="1" applyBorder="1" applyAlignment="1">
      <alignment vertical="center"/>
    </xf>
    <xf numFmtId="0" fontId="14" fillId="15" borderId="0" xfId="0" applyFont="1" applyFill="1" applyBorder="1" applyAlignment="1">
      <alignment horizontal="center" vertical="center"/>
    </xf>
    <xf numFmtId="0" fontId="14" fillId="17" borderId="0" xfId="0" applyFont="1" applyFill="1" applyBorder="1" applyAlignment="1">
      <alignment vertical="center"/>
    </xf>
    <xf numFmtId="43" fontId="6" fillId="17" borderId="0" xfId="13" applyFont="1" applyFill="1" applyBorder="1" applyAlignment="1">
      <alignment vertical="center"/>
    </xf>
    <xf numFmtId="43" fontId="24" fillId="15" borderId="0" xfId="13" applyFont="1" applyFill="1" applyBorder="1" applyAlignment="1">
      <alignment vertical="center"/>
    </xf>
    <xf numFmtId="40" fontId="11" fillId="15" borderId="0" xfId="13" applyNumberFormat="1" applyFont="1" applyFill="1" applyBorder="1" applyAlignment="1">
      <alignment vertical="center"/>
    </xf>
    <xf numFmtId="40" fontId="11" fillId="15" borderId="0" xfId="0" applyNumberFormat="1" applyFont="1" applyFill="1" applyBorder="1" applyAlignment="1">
      <alignment vertical="center"/>
    </xf>
    <xf numFmtId="0" fontId="6" fillId="17" borderId="0" xfId="0" applyFont="1" applyFill="1" applyBorder="1" applyAlignment="1">
      <alignment vertical="center"/>
    </xf>
    <xf numFmtId="43" fontId="13" fillId="15" borderId="14" xfId="13" applyFont="1" applyFill="1" applyBorder="1" applyAlignment="1">
      <alignment vertical="center"/>
    </xf>
    <xf numFmtId="0" fontId="6" fillId="15" borderId="0" xfId="0" applyFont="1" applyFill="1" applyBorder="1" applyAlignment="1"/>
    <xf numFmtId="43" fontId="6" fillId="15" borderId="0" xfId="13" applyFont="1" applyFill="1" applyBorder="1" applyAlignment="1"/>
    <xf numFmtId="0" fontId="26" fillId="15" borderId="0" xfId="0" applyFont="1" applyFill="1" applyBorder="1" applyAlignment="1">
      <alignment vertical="center"/>
    </xf>
    <xf numFmtId="43" fontId="26" fillId="15" borderId="0" xfId="13" applyFont="1" applyFill="1" applyBorder="1" applyAlignment="1">
      <alignment vertical="center"/>
    </xf>
    <xf numFmtId="9" fontId="26" fillId="15" borderId="0" xfId="37" applyFont="1" applyFill="1" applyBorder="1" applyAlignment="1">
      <alignment vertical="center"/>
    </xf>
    <xf numFmtId="43" fontId="8" fillId="15" borderId="5" xfId="13" applyFont="1" applyFill="1" applyBorder="1" applyAlignment="1">
      <alignment horizontal="center" vertical="center" wrapText="1"/>
    </xf>
    <xf numFmtId="4" fontId="6" fillId="15" borderId="0" xfId="0" applyNumberFormat="1" applyFont="1" applyFill="1" applyBorder="1" applyAlignment="1"/>
    <xf numFmtId="0" fontId="7" fillId="15" borderId="6" xfId="0" applyFont="1" applyFill="1" applyBorder="1" applyAlignment="1"/>
    <xf numFmtId="43" fontId="3" fillId="15" borderId="2" xfId="13" applyFont="1" applyFill="1" applyBorder="1" applyAlignment="1"/>
    <xf numFmtId="43" fontId="6" fillId="15" borderId="2" xfId="13" applyFont="1" applyFill="1" applyBorder="1" applyAlignment="1"/>
    <xf numFmtId="40" fontId="10" fillId="15" borderId="2" xfId="13" applyNumberFormat="1" applyFont="1" applyFill="1" applyBorder="1" applyAlignment="1"/>
    <xf numFmtId="40" fontId="3" fillId="15" borderId="2" xfId="13" applyNumberFormat="1" applyFont="1" applyFill="1" applyBorder="1" applyAlignment="1"/>
    <xf numFmtId="40" fontId="10" fillId="15" borderId="11" xfId="13" applyNumberFormat="1" applyFont="1" applyFill="1" applyBorder="1" applyAlignment="1"/>
    <xf numFmtId="43" fontId="7" fillId="15" borderId="0" xfId="13" applyFont="1" applyFill="1" applyBorder="1" applyAlignment="1"/>
    <xf numFmtId="0" fontId="7" fillId="15" borderId="4" xfId="0" applyFont="1" applyFill="1" applyBorder="1" applyAlignment="1">
      <alignment horizontal="center" wrapText="1"/>
    </xf>
    <xf numFmtId="0" fontId="7" fillId="15" borderId="5" xfId="0" applyFont="1" applyFill="1" applyBorder="1" applyAlignment="1">
      <alignment horizontal="center" wrapText="1"/>
    </xf>
    <xf numFmtId="43" fontId="7" fillId="15" borderId="5" xfId="13" applyFont="1" applyFill="1" applyBorder="1" applyAlignment="1">
      <alignment horizontal="center" wrapText="1"/>
    </xf>
    <xf numFmtId="40" fontId="3" fillId="15" borderId="11" xfId="13" applyNumberFormat="1" applyFont="1" applyFill="1" applyBorder="1" applyAlignment="1"/>
    <xf numFmtId="164" fontId="6" fillId="15" borderId="0" xfId="0" applyNumberFormat="1" applyFont="1" applyFill="1" applyBorder="1" applyAlignment="1"/>
    <xf numFmtId="0" fontId="18" fillId="15" borderId="0" xfId="0" applyFont="1" applyFill="1" applyBorder="1" applyAlignment="1"/>
    <xf numFmtId="0" fontId="19" fillId="15" borderId="0" xfId="0" applyFont="1" applyFill="1" applyBorder="1" applyAlignment="1">
      <alignment horizontal="right"/>
    </xf>
    <xf numFmtId="43" fontId="3" fillId="15" borderId="0" xfId="13" applyFont="1" applyFill="1" applyBorder="1" applyAlignment="1"/>
    <xf numFmtId="0" fontId="8" fillId="15" borderId="7" xfId="0" applyFont="1" applyFill="1" applyBorder="1" applyAlignment="1"/>
    <xf numFmtId="43" fontId="3" fillId="15" borderId="11" xfId="13" applyFont="1" applyFill="1" applyBorder="1" applyAlignment="1"/>
    <xf numFmtId="0" fontId="11" fillId="15" borderId="13" xfId="0" applyFont="1" applyFill="1" applyBorder="1" applyAlignment="1"/>
    <xf numFmtId="43" fontId="11" fillId="15" borderId="14" xfId="13" applyFont="1" applyFill="1" applyBorder="1" applyAlignment="1"/>
    <xf numFmtId="40" fontId="13" fillId="15" borderId="14" xfId="13" applyNumberFormat="1" applyFont="1" applyFill="1" applyBorder="1" applyAlignment="1"/>
    <xf numFmtId="43" fontId="12" fillId="15" borderId="14" xfId="13" applyFont="1" applyFill="1" applyBorder="1" applyAlignment="1"/>
    <xf numFmtId="40" fontId="12" fillId="15" borderId="14" xfId="13" applyNumberFormat="1" applyFont="1" applyFill="1" applyBorder="1" applyAlignment="1"/>
    <xf numFmtId="40" fontId="3" fillId="15" borderId="1" xfId="13" applyNumberFormat="1" applyFont="1" applyFill="1" applyBorder="1" applyAlignment="1"/>
    <xf numFmtId="165" fontId="26" fillId="15" borderId="0" xfId="0" applyNumberFormat="1" applyFont="1" applyFill="1" applyBorder="1" applyAlignment="1">
      <alignment vertical="center"/>
    </xf>
    <xf numFmtId="165" fontId="6" fillId="15" borderId="0" xfId="0" applyNumberFormat="1" applyFont="1" applyFill="1" applyBorder="1" applyAlignment="1"/>
    <xf numFmtId="0" fontId="9" fillId="15" borderId="0" xfId="0" applyFont="1" applyFill="1" applyBorder="1" applyAlignment="1"/>
    <xf numFmtId="43" fontId="9" fillId="15" borderId="0" xfId="13" applyFont="1" applyFill="1" applyBorder="1" applyAlignment="1"/>
    <xf numFmtId="40" fontId="9" fillId="15" borderId="0" xfId="0" applyNumberFormat="1" applyFont="1" applyFill="1" applyBorder="1" applyAlignment="1"/>
    <xf numFmtId="43" fontId="30" fillId="15" borderId="0" xfId="13" applyFont="1" applyFill="1" applyBorder="1" applyAlignment="1"/>
    <xf numFmtId="0" fontId="7" fillId="15" borderId="16" xfId="0" applyFont="1" applyFill="1" applyBorder="1" applyAlignment="1">
      <alignment horizontal="center" wrapText="1"/>
    </xf>
    <xf numFmtId="43" fontId="10" fillId="15" borderId="0" xfId="13" applyFont="1" applyFill="1" applyBorder="1" applyAlignment="1">
      <alignment horizontal="center"/>
    </xf>
    <xf numFmtId="40" fontId="6" fillId="15" borderId="0" xfId="0" applyNumberFormat="1" applyFont="1" applyFill="1" applyBorder="1" applyAlignment="1"/>
    <xf numFmtId="43" fontId="6" fillId="15" borderId="0" xfId="13" applyFont="1" applyFill="1" applyBorder="1" applyAlignment="1">
      <alignment horizontal="left" vertical="center"/>
    </xf>
    <xf numFmtId="40" fontId="8" fillId="15" borderId="9" xfId="13" applyNumberFormat="1" applyFont="1" applyFill="1" applyBorder="1" applyAlignment="1"/>
    <xf numFmtId="40" fontId="8" fillId="15" borderId="17" xfId="13" applyNumberFormat="1" applyFont="1" applyFill="1" applyBorder="1" applyAlignment="1"/>
    <xf numFmtId="40" fontId="3" fillId="15" borderId="9" xfId="13" applyNumberFormat="1" applyFont="1" applyFill="1" applyBorder="1" applyAlignment="1"/>
    <xf numFmtId="43" fontId="3" fillId="0" borderId="26" xfId="13" applyFont="1" applyFill="1" applyBorder="1" applyAlignment="1">
      <alignment horizontal="right" vertical="top"/>
    </xf>
    <xf numFmtId="0" fontId="8" fillId="15" borderId="1" xfId="0" applyFont="1" applyFill="1" applyBorder="1" applyAlignment="1">
      <alignment horizontal="center" vertical="center" wrapText="1"/>
    </xf>
    <xf numFmtId="43" fontId="8" fillId="15" borderId="1" xfId="13" applyFont="1" applyFill="1" applyBorder="1" applyAlignment="1">
      <alignment horizontal="center" vertical="center" wrapText="1"/>
    </xf>
    <xf numFmtId="4" fontId="8" fillId="15" borderId="1" xfId="13" applyNumberFormat="1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vertical="center"/>
    </xf>
    <xf numFmtId="43" fontId="3" fillId="15" borderId="2" xfId="13" applyFont="1" applyFill="1" applyBorder="1" applyAlignment="1">
      <alignment vertical="center"/>
    </xf>
    <xf numFmtId="4" fontId="3" fillId="15" borderId="2" xfId="13" applyNumberFormat="1" applyFont="1" applyFill="1" applyBorder="1" applyAlignment="1">
      <alignment vertical="center"/>
    </xf>
    <xf numFmtId="43" fontId="10" fillId="15" borderId="2" xfId="13" applyFont="1" applyFill="1" applyBorder="1" applyAlignment="1">
      <alignment vertical="center"/>
    </xf>
    <xf numFmtId="0" fontId="8" fillId="15" borderId="7" xfId="0" applyFont="1" applyFill="1" applyBorder="1" applyAlignment="1">
      <alignment vertical="center"/>
    </xf>
    <xf numFmtId="43" fontId="3" fillId="15" borderId="1" xfId="13" applyFont="1" applyFill="1" applyBorder="1" applyAlignment="1">
      <alignment vertical="center"/>
    </xf>
    <xf numFmtId="4" fontId="10" fillId="0" borderId="10" xfId="0" applyNumberFormat="1" applyFont="1" applyBorder="1" applyAlignment="1">
      <alignment vertical="center"/>
    </xf>
    <xf numFmtId="43" fontId="10" fillId="15" borderId="12" xfId="13" applyFont="1" applyFill="1" applyBorder="1" applyAlignment="1">
      <alignment vertical="center"/>
    </xf>
    <xf numFmtId="43" fontId="3" fillId="15" borderId="12" xfId="13" applyFont="1" applyFill="1" applyBorder="1" applyAlignment="1">
      <alignment vertical="center"/>
    </xf>
    <xf numFmtId="0" fontId="13" fillId="15" borderId="8" xfId="0" applyFont="1" applyFill="1" applyBorder="1" applyAlignment="1">
      <alignment horizontal="right" vertical="center"/>
    </xf>
    <xf numFmtId="43" fontId="12" fillId="15" borderId="9" xfId="13" applyFont="1" applyFill="1" applyBorder="1" applyAlignment="1">
      <alignment vertical="center"/>
    </xf>
    <xf numFmtId="4" fontId="12" fillId="15" borderId="9" xfId="13" applyNumberFormat="1" applyFont="1" applyFill="1" applyBorder="1" applyAlignment="1">
      <alignment vertical="center"/>
    </xf>
    <xf numFmtId="43" fontId="13" fillId="15" borderId="9" xfId="13" applyFont="1" applyFill="1" applyBorder="1" applyAlignment="1">
      <alignment vertical="center"/>
    </xf>
    <xf numFmtId="4" fontId="7" fillId="15" borderId="10" xfId="0" applyNumberFormat="1" applyFont="1" applyFill="1" applyBorder="1" applyAlignment="1"/>
    <xf numFmtId="43" fontId="31" fillId="15" borderId="0" xfId="13" applyFont="1" applyFill="1" applyBorder="1" applyAlignment="1">
      <alignment vertical="center"/>
    </xf>
    <xf numFmtId="0" fontId="7" fillId="15" borderId="0" xfId="0" applyFont="1" applyFill="1" applyBorder="1" applyAlignment="1">
      <alignment horizontal="right" vertical="center"/>
    </xf>
    <xf numFmtId="43" fontId="59" fillId="15" borderId="5" xfId="13" applyFont="1" applyFill="1" applyBorder="1" applyAlignment="1">
      <alignment horizontal="center" vertical="center" wrapText="1"/>
    </xf>
    <xf numFmtId="0" fontId="7" fillId="15" borderId="28" xfId="0" applyFont="1" applyFill="1" applyBorder="1" applyAlignment="1">
      <alignment horizontal="center" vertical="center" wrapText="1"/>
    </xf>
    <xf numFmtId="0" fontId="7" fillId="15" borderId="29" xfId="0" applyFont="1" applyFill="1" applyBorder="1" applyAlignment="1">
      <alignment horizontal="center" vertical="center" wrapText="1"/>
    </xf>
    <xf numFmtId="43" fontId="3" fillId="15" borderId="2" xfId="13" applyNumberFormat="1" applyFont="1" applyFill="1" applyBorder="1" applyAlignment="1">
      <alignment horizontal="right" vertical="center"/>
    </xf>
    <xf numFmtId="43" fontId="6" fillId="15" borderId="2" xfId="13" applyNumberFormat="1" applyFont="1" applyFill="1" applyBorder="1" applyAlignment="1">
      <alignment vertical="center"/>
    </xf>
    <xf numFmtId="43" fontId="10" fillId="15" borderId="2" xfId="13" applyNumberFormat="1" applyFont="1" applyFill="1" applyBorder="1" applyAlignment="1">
      <alignment vertical="center"/>
    </xf>
    <xf numFmtId="43" fontId="3" fillId="15" borderId="2" xfId="13" applyNumberFormat="1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43" fontId="6" fillId="15" borderId="1" xfId="13" applyNumberFormat="1" applyFont="1" applyFill="1" applyBorder="1" applyAlignment="1">
      <alignment vertical="center"/>
    </xf>
    <xf numFmtId="43" fontId="10" fillId="15" borderId="1" xfId="13" applyNumberFormat="1" applyFont="1" applyFill="1" applyBorder="1" applyAlignment="1">
      <alignment vertical="center"/>
    </xf>
    <xf numFmtId="43" fontId="3" fillId="15" borderId="1" xfId="13" applyNumberFormat="1" applyFont="1" applyFill="1" applyBorder="1" applyAlignment="1">
      <alignment vertical="center"/>
    </xf>
    <xf numFmtId="0" fontId="8" fillId="15" borderId="2" xfId="0" applyFont="1" applyFill="1" applyBorder="1" applyAlignment="1">
      <alignment horizontal="center" vertical="center"/>
    </xf>
    <xf numFmtId="43" fontId="8" fillId="15" borderId="2" xfId="13" applyNumberFormat="1" applyFont="1" applyFill="1" applyBorder="1" applyAlignment="1">
      <alignment horizontal="center" vertical="center"/>
    </xf>
    <xf numFmtId="43" fontId="59" fillId="15" borderId="2" xfId="13" applyNumberFormat="1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/>
    </xf>
    <xf numFmtId="0" fontId="60" fillId="15" borderId="1" xfId="0" applyFont="1" applyFill="1" applyBorder="1" applyAlignment="1">
      <alignment vertical="center"/>
    </xf>
    <xf numFmtId="43" fontId="3" fillId="15" borderId="2" xfId="13" applyNumberFormat="1" applyFont="1" applyFill="1" applyBorder="1" applyAlignment="1">
      <alignment horizontal="center" vertical="center"/>
    </xf>
    <xf numFmtId="43" fontId="3" fillId="15" borderId="2" xfId="13" applyNumberFormat="1" applyFont="1" applyFill="1" applyBorder="1" applyAlignment="1">
      <alignment horizontal="center" vertical="center" wrapText="1"/>
    </xf>
    <xf numFmtId="43" fontId="10" fillId="15" borderId="2" xfId="13" applyNumberFormat="1" applyFont="1" applyFill="1" applyBorder="1" applyAlignment="1">
      <alignment horizontal="center" vertical="center"/>
    </xf>
    <xf numFmtId="0" fontId="61" fillId="15" borderId="14" xfId="0" applyFont="1" applyFill="1" applyBorder="1" applyAlignment="1">
      <alignment horizontal="center" vertical="center"/>
    </xf>
    <xf numFmtId="43" fontId="61" fillId="15" borderId="14" xfId="13" applyNumberFormat="1" applyFont="1" applyFill="1" applyBorder="1" applyAlignment="1">
      <alignment vertical="center"/>
    </xf>
    <xf numFmtId="0" fontId="15" fillId="15" borderId="0" xfId="0" applyFont="1" applyFill="1" applyBorder="1" applyAlignment="1">
      <alignment vertical="center"/>
    </xf>
    <xf numFmtId="43" fontId="8" fillId="15" borderId="0" xfId="13" applyFont="1" applyFill="1" applyBorder="1" applyAlignment="1">
      <alignment horizontal="right" vertical="center"/>
    </xf>
    <xf numFmtId="43" fontId="8" fillId="15" borderId="0" xfId="37" applyNumberFormat="1" applyFont="1" applyFill="1" applyBorder="1" applyAlignment="1">
      <alignment vertical="center"/>
    </xf>
    <xf numFmtId="0" fontId="3" fillId="15" borderId="0" xfId="0" applyFont="1" applyFill="1" applyBorder="1" applyAlignment="1">
      <alignment horizontal="right" vertical="center"/>
    </xf>
    <xf numFmtId="0" fontId="62" fillId="15" borderId="0" xfId="0" applyFont="1" applyFill="1" applyBorder="1" applyAlignment="1">
      <alignment vertical="center"/>
    </xf>
    <xf numFmtId="43" fontId="3" fillId="15" borderId="0" xfId="13" applyFont="1" applyFill="1" applyBorder="1" applyAlignment="1">
      <alignment horizontal="left" vertical="center"/>
    </xf>
    <xf numFmtId="43" fontId="63" fillId="15" borderId="0" xfId="13" applyFont="1" applyFill="1" applyBorder="1" applyAlignment="1">
      <alignment vertical="center"/>
    </xf>
    <xf numFmtId="0" fontId="64" fillId="15" borderId="0" xfId="0" applyFont="1" applyFill="1" applyBorder="1" applyAlignment="1">
      <alignment vertical="center"/>
    </xf>
    <xf numFmtId="43" fontId="3" fillId="0" borderId="2" xfId="13" applyFont="1" applyFill="1" applyBorder="1" applyAlignment="1">
      <alignment vertical="center"/>
    </xf>
    <xf numFmtId="40" fontId="10" fillId="0" borderId="2" xfId="13" applyNumberFormat="1" applyFont="1" applyFill="1" applyBorder="1" applyAlignment="1">
      <alignment vertical="center"/>
    </xf>
    <xf numFmtId="0" fontId="7" fillId="15" borderId="30" xfId="0" applyFont="1" applyFill="1" applyBorder="1" applyAlignment="1">
      <alignment vertical="center"/>
    </xf>
    <xf numFmtId="43" fontId="3" fillId="15" borderId="11" xfId="13" applyFont="1" applyFill="1" applyBorder="1" applyAlignment="1">
      <alignment vertical="center"/>
    </xf>
    <xf numFmtId="0" fontId="13" fillId="15" borderId="8" xfId="0" applyFont="1" applyFill="1" applyBorder="1" applyAlignment="1">
      <alignment vertical="center"/>
    </xf>
    <xf numFmtId="43" fontId="8" fillId="15" borderId="10" xfId="13" applyFont="1" applyFill="1" applyBorder="1" applyAlignment="1">
      <alignment vertical="center"/>
    </xf>
    <xf numFmtId="0" fontId="67" fillId="15" borderId="4" xfId="0" applyFont="1" applyFill="1" applyBorder="1" applyAlignment="1">
      <alignment horizontal="center" vertical="center" wrapText="1"/>
    </xf>
    <xf numFmtId="43" fontId="67" fillId="15" borderId="5" xfId="13" applyFont="1" applyFill="1" applyBorder="1" applyAlignment="1">
      <alignment horizontal="center" vertical="center" wrapText="1"/>
    </xf>
    <xf numFmtId="43" fontId="67" fillId="15" borderId="31" xfId="13" applyFont="1" applyFill="1" applyBorder="1" applyAlignment="1">
      <alignment horizontal="center" vertical="center" wrapText="1"/>
    </xf>
    <xf numFmtId="0" fontId="67" fillId="15" borderId="6" xfId="0" applyFont="1" applyFill="1" applyBorder="1" applyAlignment="1"/>
    <xf numFmtId="43" fontId="69" fillId="15" borderId="2" xfId="13" applyFont="1" applyFill="1" applyBorder="1" applyAlignment="1"/>
    <xf numFmtId="43" fontId="70" fillId="15" borderId="2" xfId="13" applyFont="1" applyFill="1" applyBorder="1" applyAlignment="1"/>
    <xf numFmtId="4" fontId="43" fillId="0" borderId="1" xfId="0" applyNumberFormat="1" applyFont="1" applyFill="1" applyBorder="1"/>
    <xf numFmtId="40" fontId="71" fillId="15" borderId="2" xfId="13" applyNumberFormat="1" applyFont="1" applyFill="1" applyBorder="1" applyAlignment="1"/>
    <xf numFmtId="40" fontId="69" fillId="15" borderId="2" xfId="13" applyNumberFormat="1" applyFont="1" applyFill="1" applyBorder="1" applyAlignment="1"/>
    <xf numFmtId="43" fontId="71" fillId="15" borderId="2" xfId="13" applyFont="1" applyFill="1" applyBorder="1" applyAlignment="1"/>
    <xf numFmtId="0" fontId="67" fillId="15" borderId="7" xfId="0" applyFont="1" applyFill="1" applyBorder="1" applyAlignment="1"/>
    <xf numFmtId="43" fontId="70" fillId="15" borderId="1" xfId="13" applyFont="1" applyFill="1" applyBorder="1" applyAlignment="1"/>
    <xf numFmtId="40" fontId="71" fillId="15" borderId="1" xfId="13" applyNumberFormat="1" applyFont="1" applyFill="1" applyBorder="1" applyAlignment="1"/>
    <xf numFmtId="0" fontId="72" fillId="15" borderId="8" xfId="0" applyFont="1" applyFill="1" applyBorder="1" applyAlignment="1"/>
    <xf numFmtId="43" fontId="73" fillId="15" borderId="9" xfId="13" applyFont="1" applyFill="1" applyBorder="1" applyAlignment="1"/>
    <xf numFmtId="40" fontId="72" fillId="15" borderId="9" xfId="13" applyNumberFormat="1" applyFont="1" applyFill="1" applyBorder="1" applyAlignment="1"/>
    <xf numFmtId="43" fontId="74" fillId="15" borderId="9" xfId="13" applyFont="1" applyFill="1" applyBorder="1" applyAlignment="1"/>
    <xf numFmtId="40" fontId="73" fillId="15" borderId="9" xfId="13" applyNumberFormat="1" applyFont="1" applyFill="1" applyBorder="1" applyAlignment="1"/>
    <xf numFmtId="43" fontId="72" fillId="15" borderId="9" xfId="13" applyFont="1" applyFill="1" applyBorder="1" applyAlignment="1"/>
    <xf numFmtId="40" fontId="75" fillId="15" borderId="9" xfId="13" applyNumberFormat="1" applyFont="1" applyFill="1" applyBorder="1" applyAlignment="1"/>
    <xf numFmtId="0" fontId="76" fillId="15" borderId="0" xfId="0" applyFont="1" applyFill="1" applyBorder="1" applyAlignment="1">
      <alignment horizontal="right" vertical="center"/>
    </xf>
    <xf numFmtId="0" fontId="10" fillId="15" borderId="0" xfId="0" applyFont="1" applyFill="1" applyBorder="1" applyAlignment="1"/>
    <xf numFmtId="43" fontId="7" fillId="15" borderId="10" xfId="13" applyFont="1" applyFill="1" applyBorder="1" applyAlignment="1"/>
    <xf numFmtId="4" fontId="3" fillId="15" borderId="0" xfId="37" applyNumberFormat="1" applyFont="1" applyFill="1" applyBorder="1" applyAlignment="1">
      <alignment vertical="center"/>
    </xf>
    <xf numFmtId="4" fontId="3" fillId="15" borderId="0" xfId="0" applyNumberFormat="1" applyFont="1" applyFill="1" applyBorder="1" applyAlignment="1">
      <alignment vertical="center"/>
    </xf>
    <xf numFmtId="4" fontId="0" fillId="15" borderId="0" xfId="0" applyNumberFormat="1" applyFill="1"/>
    <xf numFmtId="2" fontId="63" fillId="15" borderId="0" xfId="0" applyNumberFormat="1" applyFont="1" applyFill="1" applyBorder="1" applyAlignment="1">
      <alignment vertical="center"/>
    </xf>
    <xf numFmtId="0" fontId="7" fillId="15" borderId="32" xfId="0" applyFont="1" applyFill="1" applyBorder="1" applyAlignment="1">
      <alignment horizontal="center" vertical="center" wrapText="1"/>
    </xf>
    <xf numFmtId="0" fontId="7" fillId="15" borderId="16" xfId="0" applyFont="1" applyFill="1" applyBorder="1" applyAlignment="1">
      <alignment horizontal="center" vertical="center" wrapText="1"/>
    </xf>
    <xf numFmtId="43" fontId="7" fillId="15" borderId="16" xfId="13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4" fontId="8" fillId="15" borderId="16" xfId="0" applyNumberFormat="1" applyFont="1" applyFill="1" applyBorder="1" applyAlignment="1">
      <alignment horizontal="center" vertical="center" wrapText="1"/>
    </xf>
    <xf numFmtId="4" fontId="7" fillId="15" borderId="16" xfId="13" applyNumberFormat="1" applyFont="1" applyFill="1" applyBorder="1" applyAlignment="1">
      <alignment horizontal="center" vertical="center" wrapText="1"/>
    </xf>
    <xf numFmtId="14" fontId="7" fillId="15" borderId="6" xfId="0" applyNumberFormat="1" applyFont="1" applyFill="1" applyBorder="1" applyAlignment="1">
      <alignment horizontal="center" vertical="center"/>
    </xf>
    <xf numFmtId="4" fontId="10" fillId="15" borderId="2" xfId="13" applyNumberFormat="1" applyFont="1" applyFill="1" applyBorder="1" applyAlignment="1">
      <alignment vertical="center"/>
    </xf>
    <xf numFmtId="4" fontId="10" fillId="15" borderId="33" xfId="13" applyNumberFormat="1" applyFont="1" applyFill="1" applyBorder="1" applyAlignment="1">
      <alignment vertical="center"/>
    </xf>
    <xf numFmtId="14" fontId="7" fillId="15" borderId="0" xfId="0" applyNumberFormat="1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vertical="center"/>
    </xf>
    <xf numFmtId="0" fontId="7" fillId="15" borderId="34" xfId="0" applyFont="1" applyFill="1" applyBorder="1" applyAlignment="1">
      <alignment vertical="center"/>
    </xf>
    <xf numFmtId="43" fontId="3" fillId="15" borderId="2" xfId="13" applyFont="1" applyFill="1" applyBorder="1" applyAlignment="1">
      <alignment horizontal="right" vertical="center"/>
    </xf>
    <xf numFmtId="4" fontId="78" fillId="15" borderId="1" xfId="0" applyNumberFormat="1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40" fontId="10" fillId="15" borderId="1" xfId="13" applyNumberFormat="1" applyFont="1" applyFill="1" applyBorder="1" applyAlignment="1">
      <alignment vertical="center"/>
    </xf>
    <xf numFmtId="0" fontId="6" fillId="15" borderId="7" xfId="0" applyFont="1" applyFill="1" applyBorder="1" applyAlignment="1">
      <alignment vertical="center"/>
    </xf>
    <xf numFmtId="43" fontId="3" fillId="15" borderId="11" xfId="13" applyFont="1" applyFill="1" applyBorder="1" applyAlignment="1">
      <alignment horizontal="right" vertical="center"/>
    </xf>
    <xf numFmtId="14" fontId="7" fillId="15" borderId="30" xfId="0" applyNumberFormat="1" applyFont="1" applyFill="1" applyBorder="1" applyAlignment="1">
      <alignment horizontal="center" vertical="center"/>
    </xf>
    <xf numFmtId="4" fontId="78" fillId="15" borderId="12" xfId="0" applyNumberFormat="1" applyFont="1" applyFill="1" applyBorder="1" applyAlignment="1">
      <alignment vertical="center"/>
    </xf>
    <xf numFmtId="40" fontId="10" fillId="15" borderId="12" xfId="13" applyNumberFormat="1" applyFont="1" applyFill="1" applyBorder="1" applyAlignment="1">
      <alignment vertical="center"/>
    </xf>
    <xf numFmtId="0" fontId="7" fillId="15" borderId="13" xfId="0" applyFont="1" applyFill="1" applyBorder="1" applyAlignment="1">
      <alignment vertical="center"/>
    </xf>
    <xf numFmtId="43" fontId="7" fillId="15" borderId="14" xfId="13" applyFont="1" applyFill="1" applyBorder="1" applyAlignment="1">
      <alignment vertical="center"/>
    </xf>
    <xf numFmtId="0" fontId="7" fillId="15" borderId="14" xfId="0" applyFont="1" applyFill="1" applyBorder="1" applyAlignment="1">
      <alignment horizontal="center" vertical="center"/>
    </xf>
    <xf numFmtId="40" fontId="15" fillId="15" borderId="14" xfId="13" applyNumberFormat="1" applyFont="1" applyFill="1" applyBorder="1" applyAlignment="1">
      <alignment vertical="center"/>
    </xf>
    <xf numFmtId="40" fontId="8" fillId="15" borderId="14" xfId="13" applyNumberFormat="1" applyFont="1" applyFill="1" applyBorder="1" applyAlignment="1">
      <alignment vertical="center"/>
    </xf>
    <xf numFmtId="4" fontId="8" fillId="15" borderId="14" xfId="13" applyNumberFormat="1" applyFont="1" applyFill="1" applyBorder="1" applyAlignment="1">
      <alignment vertical="center"/>
    </xf>
    <xf numFmtId="4" fontId="15" fillId="15" borderId="14" xfId="13" applyNumberFormat="1" applyFont="1" applyFill="1" applyBorder="1" applyAlignment="1">
      <alignment vertical="center"/>
    </xf>
    <xf numFmtId="4" fontId="36" fillId="15" borderId="0" xfId="0" applyNumberFormat="1" applyFont="1" applyFill="1"/>
    <xf numFmtId="2" fontId="59" fillId="15" borderId="0" xfId="0" applyNumberFormat="1" applyFont="1" applyFill="1" applyBorder="1" applyAlignment="1">
      <alignment vertical="center"/>
    </xf>
    <xf numFmtId="4" fontId="13" fillId="15" borderId="0" xfId="13" applyNumberFormat="1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43" fontId="6" fillId="15" borderId="0" xfId="37" applyNumberFormat="1" applyFont="1" applyFill="1" applyBorder="1" applyAlignment="1">
      <alignment vertical="center"/>
    </xf>
    <xf numFmtId="0" fontId="6" fillId="15" borderId="5" xfId="0" applyFont="1" applyFill="1" applyBorder="1" applyAlignment="1">
      <alignment horizontal="center" vertical="center" wrapText="1"/>
    </xf>
    <xf numFmtId="43" fontId="6" fillId="15" borderId="5" xfId="13" applyFont="1" applyFill="1" applyBorder="1" applyAlignment="1">
      <alignment horizontal="center" vertical="center" wrapText="1"/>
    </xf>
    <xf numFmtId="0" fontId="6" fillId="15" borderId="35" xfId="0" applyNumberFormat="1" applyFont="1" applyFill="1" applyBorder="1" applyAlignment="1">
      <alignment vertical="center"/>
    </xf>
    <xf numFmtId="43" fontId="6" fillId="0" borderId="33" xfId="13" applyNumberFormat="1" applyFont="1" applyFill="1" applyBorder="1" applyAlignment="1">
      <alignment vertical="center"/>
    </xf>
    <xf numFmtId="0" fontId="10" fillId="0" borderId="33" xfId="13" applyNumberFormat="1" applyFont="1" applyFill="1" applyBorder="1" applyAlignment="1">
      <alignment vertical="center"/>
    </xf>
    <xf numFmtId="43" fontId="6" fillId="0" borderId="33" xfId="13" applyFont="1" applyFill="1" applyBorder="1" applyAlignment="1">
      <alignment vertical="center"/>
    </xf>
    <xf numFmtId="40" fontId="10" fillId="0" borderId="33" xfId="13" applyNumberFormat="1" applyFont="1" applyFill="1" applyBorder="1" applyAlignment="1">
      <alignment vertical="center"/>
    </xf>
    <xf numFmtId="40" fontId="3" fillId="0" borderId="33" xfId="13" applyNumberFormat="1" applyFont="1" applyFill="1" applyBorder="1" applyAlignment="1">
      <alignment vertical="center"/>
    </xf>
    <xf numFmtId="40" fontId="79" fillId="0" borderId="33" xfId="13" applyNumberFormat="1" applyFont="1" applyFill="1" applyBorder="1" applyAlignment="1">
      <alignment vertical="center"/>
    </xf>
    <xf numFmtId="43" fontId="10" fillId="0" borderId="33" xfId="0" applyNumberFormat="1" applyFont="1" applyFill="1" applyBorder="1" applyAlignment="1">
      <alignment vertical="center"/>
    </xf>
    <xf numFmtId="40" fontId="10" fillId="0" borderId="35" xfId="13" applyNumberFormat="1" applyFont="1" applyFill="1" applyBorder="1" applyAlignment="1">
      <alignment vertical="center"/>
    </xf>
    <xf numFmtId="0" fontId="6" fillId="15" borderId="30" xfId="0" applyFont="1" applyFill="1" applyBorder="1" applyAlignment="1">
      <alignment vertical="center"/>
    </xf>
    <xf numFmtId="43" fontId="6" fillId="0" borderId="11" xfId="13" applyNumberFormat="1" applyFont="1" applyFill="1" applyBorder="1" applyAlignment="1">
      <alignment vertical="center"/>
    </xf>
    <xf numFmtId="0" fontId="10" fillId="0" borderId="2" xfId="13" applyNumberFormat="1" applyFont="1" applyFill="1" applyBorder="1" applyAlignment="1">
      <alignment vertical="center"/>
    </xf>
    <xf numFmtId="43" fontId="6" fillId="0" borderId="11" xfId="13" applyFont="1" applyFill="1" applyBorder="1" applyAlignment="1">
      <alignment vertical="center"/>
    </xf>
    <xf numFmtId="40" fontId="10" fillId="0" borderId="11" xfId="13" applyNumberFormat="1" applyFont="1" applyFill="1" applyBorder="1" applyAlignment="1">
      <alignment vertical="center"/>
    </xf>
    <xf numFmtId="43" fontId="6" fillId="0" borderId="2" xfId="13" applyFont="1" applyFill="1" applyBorder="1" applyAlignment="1">
      <alignment vertical="center"/>
    </xf>
    <xf numFmtId="40" fontId="3" fillId="0" borderId="11" xfId="13" applyNumberFormat="1" applyFont="1" applyFill="1" applyBorder="1" applyAlignment="1">
      <alignment vertical="center"/>
    </xf>
    <xf numFmtId="40" fontId="79" fillId="0" borderId="11" xfId="13" applyNumberFormat="1" applyFont="1" applyFill="1" applyBorder="1" applyAlignment="1">
      <alignment vertical="center"/>
    </xf>
    <xf numFmtId="43" fontId="10" fillId="0" borderId="11" xfId="0" applyNumberFormat="1" applyFont="1" applyFill="1" applyBorder="1" applyAlignment="1">
      <alignment vertical="center"/>
    </xf>
    <xf numFmtId="0" fontId="6" fillId="36" borderId="13" xfId="0" applyFont="1" applyFill="1" applyBorder="1" applyAlignment="1">
      <alignment vertical="center"/>
    </xf>
    <xf numFmtId="43" fontId="6" fillId="36" borderId="14" xfId="13" applyFont="1" applyFill="1" applyBorder="1" applyAlignment="1">
      <alignment vertical="center"/>
    </xf>
    <xf numFmtId="2" fontId="3" fillId="36" borderId="14" xfId="13" applyNumberFormat="1" applyFont="1" applyFill="1" applyBorder="1" applyAlignment="1">
      <alignment vertical="center"/>
    </xf>
    <xf numFmtId="40" fontId="10" fillId="36" borderId="14" xfId="13" applyNumberFormat="1" applyFont="1" applyFill="1" applyBorder="1" applyAlignment="1">
      <alignment vertical="center"/>
    </xf>
    <xf numFmtId="43" fontId="10" fillId="0" borderId="33" xfId="13" applyFont="1" applyFill="1" applyBorder="1" applyAlignment="1">
      <alignment vertical="center"/>
    </xf>
    <xf numFmtId="43" fontId="10" fillId="0" borderId="11" xfId="13" applyNumberFormat="1" applyFont="1" applyFill="1" applyBorder="1" applyAlignment="1">
      <alignment horizontal="center" vertical="center"/>
    </xf>
    <xf numFmtId="43" fontId="6" fillId="0" borderId="14" xfId="13" applyFont="1" applyFill="1" applyBorder="1" applyAlignment="1">
      <alignment vertical="center"/>
    </xf>
    <xf numFmtId="0" fontId="6" fillId="37" borderId="13" xfId="0" applyFont="1" applyFill="1" applyBorder="1" applyAlignment="1">
      <alignment vertical="center"/>
    </xf>
    <xf numFmtId="43" fontId="6" fillId="37" borderId="14" xfId="13" applyFont="1" applyFill="1" applyBorder="1" applyAlignment="1">
      <alignment vertical="center"/>
    </xf>
    <xf numFmtId="2" fontId="3" fillId="37" borderId="14" xfId="13" applyNumberFormat="1" applyFont="1" applyFill="1" applyBorder="1" applyAlignment="1">
      <alignment vertical="center"/>
    </xf>
    <xf numFmtId="40" fontId="10" fillId="37" borderId="14" xfId="13" applyNumberFormat="1" applyFont="1" applyFill="1" applyBorder="1" applyAlignment="1">
      <alignment vertical="center"/>
    </xf>
    <xf numFmtId="43" fontId="6" fillId="15" borderId="36" xfId="13" applyFont="1" applyFill="1" applyBorder="1" applyAlignment="1">
      <alignment vertical="center"/>
    </xf>
    <xf numFmtId="0" fontId="80" fillId="15" borderId="0" xfId="0" applyFont="1" applyFill="1" applyBorder="1" applyAlignment="1">
      <alignment vertical="center"/>
    </xf>
    <xf numFmtId="166" fontId="6" fillId="15" borderId="0" xfId="0" applyNumberFormat="1" applyFont="1" applyFill="1" applyBorder="1" applyAlignment="1">
      <alignment vertical="center"/>
    </xf>
    <xf numFmtId="0" fontId="81" fillId="15" borderId="0" xfId="0" applyFont="1" applyFill="1" applyBorder="1" applyAlignment="1">
      <alignment horizontal="right" vertical="center"/>
    </xf>
    <xf numFmtId="0" fontId="82" fillId="15" borderId="0" xfId="0" applyFont="1" applyFill="1" applyBorder="1" applyAlignment="1">
      <alignment vertical="center"/>
    </xf>
    <xf numFmtId="0" fontId="82" fillId="15" borderId="0" xfId="0" applyFont="1" applyFill="1" applyBorder="1" applyAlignment="1">
      <alignment horizontal="center" vertical="center"/>
    </xf>
    <xf numFmtId="43" fontId="83" fillId="0" borderId="0" xfId="13" applyFont="1" applyFill="1" applyBorder="1" applyAlignment="1">
      <alignment vertical="center"/>
    </xf>
    <xf numFmtId="43" fontId="82" fillId="15" borderId="0" xfId="13" applyFont="1" applyFill="1" applyBorder="1" applyAlignment="1">
      <alignment vertical="center"/>
    </xf>
    <xf numFmtId="9" fontId="82" fillId="15" borderId="0" xfId="37" applyFont="1" applyFill="1" applyBorder="1" applyAlignment="1">
      <alignment vertical="center"/>
    </xf>
    <xf numFmtId="164" fontId="82" fillId="15" borderId="0" xfId="0" applyNumberFormat="1" applyFont="1" applyFill="1" applyBorder="1" applyAlignment="1">
      <alignment vertical="center"/>
    </xf>
    <xf numFmtId="0" fontId="29" fillId="38" borderId="4" xfId="0" applyFont="1" applyFill="1" applyBorder="1" applyAlignment="1">
      <alignment horizontal="center" vertical="center" wrapText="1"/>
    </xf>
    <xf numFmtId="0" fontId="29" fillId="15" borderId="5" xfId="0" applyFont="1" applyFill="1" applyBorder="1" applyAlignment="1">
      <alignment horizontal="center" vertical="center" wrapText="1"/>
    </xf>
    <xf numFmtId="43" fontId="26" fillId="15" borderId="5" xfId="13" applyFont="1" applyFill="1" applyBorder="1" applyAlignment="1">
      <alignment horizontal="center" vertical="center" wrapText="1"/>
    </xf>
    <xf numFmtId="43" fontId="29" fillId="15" borderId="5" xfId="13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vertical="center"/>
    </xf>
    <xf numFmtId="43" fontId="27" fillId="0" borderId="31" xfId="13" applyFont="1" applyFill="1" applyBorder="1" applyAlignment="1">
      <alignment vertical="center"/>
    </xf>
    <xf numFmtId="43" fontId="27" fillId="0" borderId="31" xfId="13" applyFont="1" applyFill="1" applyBorder="1" applyAlignment="1">
      <alignment horizontal="center" vertical="center" wrapText="1"/>
    </xf>
    <xf numFmtId="40" fontId="27" fillId="0" borderId="31" xfId="13" applyNumberFormat="1" applyFont="1" applyFill="1" applyBorder="1" applyAlignment="1">
      <alignment horizontal="right" vertical="center"/>
    </xf>
    <xf numFmtId="40" fontId="27" fillId="0" borderId="31" xfId="13" applyNumberFormat="1" applyFont="1" applyFill="1" applyBorder="1" applyAlignment="1">
      <alignment vertical="center"/>
    </xf>
    <xf numFmtId="40" fontId="27" fillId="0" borderId="11" xfId="13" applyNumberFormat="1" applyFont="1" applyFill="1" applyBorder="1" applyAlignment="1">
      <alignment vertical="center"/>
    </xf>
    <xf numFmtId="43" fontId="27" fillId="0" borderId="11" xfId="13" applyFont="1" applyFill="1" applyBorder="1" applyAlignment="1">
      <alignment vertical="center"/>
    </xf>
    <xf numFmtId="14" fontId="26" fillId="0" borderId="11" xfId="13" applyNumberFormat="1" applyFont="1" applyFill="1" applyBorder="1" applyAlignment="1">
      <alignment horizontal="center" vertical="center" wrapText="1"/>
    </xf>
    <xf numFmtId="40" fontId="27" fillId="0" borderId="11" xfId="13" applyNumberFormat="1" applyFont="1" applyFill="1" applyBorder="1" applyAlignment="1">
      <alignment horizontal="right" vertical="center"/>
    </xf>
    <xf numFmtId="167" fontId="27" fillId="15" borderId="0" xfId="0" applyNumberFormat="1" applyFont="1" applyFill="1" applyBorder="1" applyAlignment="1">
      <alignment vertical="center"/>
    </xf>
    <xf numFmtId="0" fontId="26" fillId="15" borderId="13" xfId="0" applyFont="1" applyFill="1" applyBorder="1" applyAlignment="1">
      <alignment vertical="center"/>
    </xf>
    <xf numFmtId="43" fontId="26" fillId="15" borderId="14" xfId="13" applyFont="1" applyFill="1" applyBorder="1" applyAlignment="1">
      <alignment vertical="center"/>
    </xf>
    <xf numFmtId="43" fontId="26" fillId="15" borderId="14" xfId="13" applyFont="1" applyFill="1" applyBorder="1" applyAlignment="1">
      <alignment horizontal="center" vertical="center"/>
    </xf>
    <xf numFmtId="40" fontId="26" fillId="15" borderId="14" xfId="13" applyNumberFormat="1" applyFont="1" applyFill="1" applyBorder="1" applyAlignment="1">
      <alignment vertical="center"/>
    </xf>
    <xf numFmtId="0" fontId="27" fillId="16" borderId="30" xfId="0" applyFont="1" applyFill="1" applyBorder="1" applyAlignment="1">
      <alignment vertical="center"/>
    </xf>
    <xf numFmtId="43" fontId="27" fillId="16" borderId="11" xfId="13" applyNumberFormat="1" applyFont="1" applyFill="1" applyBorder="1" applyAlignment="1">
      <alignment vertical="center"/>
    </xf>
    <xf numFmtId="14" fontId="27" fillId="16" borderId="9" xfId="13" applyNumberFormat="1" applyFont="1" applyFill="1" applyBorder="1" applyAlignment="1">
      <alignment horizontal="center" vertical="center"/>
    </xf>
    <xf numFmtId="40" fontId="27" fillId="16" borderId="1" xfId="13" applyNumberFormat="1" applyFont="1" applyFill="1" applyBorder="1" applyAlignment="1">
      <alignment vertical="center"/>
    </xf>
    <xf numFmtId="40" fontId="27" fillId="16" borderId="11" xfId="13" applyNumberFormat="1" applyFont="1" applyFill="1" applyBorder="1" applyAlignment="1">
      <alignment vertical="center"/>
    </xf>
    <xf numFmtId="43" fontId="27" fillId="16" borderId="1" xfId="13" applyFont="1" applyFill="1" applyBorder="1" applyAlignment="1">
      <alignment vertical="center"/>
    </xf>
    <xf numFmtId="40" fontId="27" fillId="16" borderId="2" xfId="13" applyNumberFormat="1" applyFont="1" applyFill="1" applyBorder="1" applyAlignment="1">
      <alignment vertical="center"/>
    </xf>
    <xf numFmtId="43" fontId="26" fillId="15" borderId="0" xfId="13" applyFont="1" applyFill="1" applyBorder="1" applyAlignment="1">
      <alignment horizontal="center" vertical="center"/>
    </xf>
    <xf numFmtId="0" fontId="84" fillId="15" borderId="0" xfId="0" applyFont="1" applyFill="1" applyBorder="1" applyAlignment="1">
      <alignment vertical="center"/>
    </xf>
    <xf numFmtId="43" fontId="85" fillId="15" borderId="0" xfId="13" applyFont="1" applyFill="1" applyBorder="1" applyAlignment="1">
      <alignment vertical="center"/>
    </xf>
    <xf numFmtId="164" fontId="29" fillId="15" borderId="0" xfId="0" applyNumberFormat="1" applyFont="1" applyFill="1" applyBorder="1" applyAlignment="1">
      <alignment vertical="center"/>
    </xf>
    <xf numFmtId="0" fontId="7" fillId="39" borderId="4" xfId="0" applyFont="1" applyFill="1" applyBorder="1" applyAlignment="1">
      <alignment horizontal="center" vertical="center" wrapText="1"/>
    </xf>
    <xf numFmtId="0" fontId="7" fillId="39" borderId="5" xfId="0" applyFont="1" applyFill="1" applyBorder="1" applyAlignment="1">
      <alignment horizontal="center" vertical="center" wrapText="1"/>
    </xf>
    <xf numFmtId="43" fontId="7" fillId="39" borderId="5" xfId="13" applyFont="1" applyFill="1" applyBorder="1" applyAlignment="1">
      <alignment horizontal="center" vertical="center" wrapText="1"/>
    </xf>
    <xf numFmtId="43" fontId="8" fillId="39" borderId="5" xfId="13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vertical="center" wrapText="1"/>
    </xf>
    <xf numFmtId="40" fontId="10" fillId="15" borderId="15" xfId="13" applyNumberFormat="1" applyFont="1" applyFill="1" applyBorder="1" applyAlignment="1">
      <alignment vertical="center"/>
    </xf>
    <xf numFmtId="43" fontId="6" fillId="15" borderId="37" xfId="13" applyFont="1" applyFill="1" applyBorder="1" applyAlignment="1">
      <alignment vertical="center"/>
    </xf>
    <xf numFmtId="43" fontId="6" fillId="15" borderId="11" xfId="13" applyFont="1" applyFill="1" applyBorder="1" applyAlignment="1">
      <alignment vertical="center" wrapText="1"/>
    </xf>
    <xf numFmtId="40" fontId="6" fillId="15" borderId="11" xfId="13" applyNumberFormat="1" applyFont="1" applyFill="1" applyBorder="1" applyAlignment="1">
      <alignment vertical="center"/>
    </xf>
    <xf numFmtId="0" fontId="7" fillId="40" borderId="4" xfId="0" applyFont="1" applyFill="1" applyBorder="1" applyAlignment="1">
      <alignment horizontal="center" vertical="center" wrapText="1"/>
    </xf>
    <xf numFmtId="0" fontId="7" fillId="40" borderId="5" xfId="0" applyFont="1" applyFill="1" applyBorder="1" applyAlignment="1">
      <alignment horizontal="center" vertical="center" wrapText="1"/>
    </xf>
    <xf numFmtId="43" fontId="7" fillId="40" borderId="5" xfId="13" applyFont="1" applyFill="1" applyBorder="1" applyAlignment="1">
      <alignment horizontal="center" vertical="center" wrapText="1"/>
    </xf>
    <xf numFmtId="43" fontId="8" fillId="40" borderId="5" xfId="13" applyFont="1" applyFill="1" applyBorder="1" applyAlignment="1">
      <alignment horizontal="center" vertical="center" wrapText="1"/>
    </xf>
    <xf numFmtId="0" fontId="7" fillId="15" borderId="38" xfId="0" applyFont="1" applyFill="1" applyBorder="1" applyAlignment="1">
      <alignment vertical="center"/>
    </xf>
    <xf numFmtId="40" fontId="10" fillId="15" borderId="37" xfId="13" applyNumberFormat="1" applyFont="1" applyFill="1" applyBorder="1" applyAlignment="1">
      <alignment vertical="center"/>
    </xf>
    <xf numFmtId="43" fontId="6" fillId="15" borderId="37" xfId="13" applyFont="1" applyFill="1" applyBorder="1" applyAlignment="1">
      <alignment vertical="center" wrapText="1"/>
    </xf>
    <xf numFmtId="40" fontId="6" fillId="15" borderId="37" xfId="13" applyNumberFormat="1" applyFont="1" applyFill="1" applyBorder="1" applyAlignment="1">
      <alignment vertical="center"/>
    </xf>
    <xf numFmtId="0" fontId="11" fillId="41" borderId="13" xfId="0" applyFont="1" applyFill="1" applyBorder="1" applyAlignment="1">
      <alignment horizontal="center" vertical="center"/>
    </xf>
    <xf numFmtId="40" fontId="10" fillId="41" borderId="39" xfId="13" applyNumberFormat="1" applyFont="1" applyFill="1" applyBorder="1" applyAlignment="1">
      <alignment vertical="center"/>
    </xf>
    <xf numFmtId="43" fontId="6" fillId="41" borderId="14" xfId="13" applyFont="1" applyFill="1" applyBorder="1" applyAlignment="1">
      <alignment vertical="center"/>
    </xf>
    <xf numFmtId="40" fontId="11" fillId="41" borderId="14" xfId="13" applyNumberFormat="1" applyFont="1" applyFill="1" applyBorder="1" applyAlignment="1">
      <alignment vertical="center"/>
    </xf>
    <xf numFmtId="40" fontId="6" fillId="41" borderId="14" xfId="13" applyNumberFormat="1" applyFont="1" applyFill="1" applyBorder="1" applyAlignment="1">
      <alignment vertical="center"/>
    </xf>
    <xf numFmtId="43" fontId="11" fillId="15" borderId="0" xfId="0" applyNumberFormat="1" applyFont="1" applyFill="1"/>
    <xf numFmtId="0" fontId="11" fillId="15" borderId="0" xfId="0" applyFont="1" applyFill="1"/>
    <xf numFmtId="43" fontId="6" fillId="15" borderId="11" xfId="13" applyFont="1" applyFill="1" applyBorder="1" applyAlignment="1">
      <alignment horizontal="center" vertical="center"/>
    </xf>
    <xf numFmtId="40" fontId="11" fillId="41" borderId="39" xfId="13" applyNumberFormat="1" applyFont="1" applyFill="1" applyBorder="1" applyAlignment="1">
      <alignment vertical="center"/>
    </xf>
    <xf numFmtId="43" fontId="11" fillId="41" borderId="14" xfId="13" applyFont="1" applyFill="1" applyBorder="1" applyAlignment="1">
      <alignment vertical="center"/>
    </xf>
    <xf numFmtId="0" fontId="61" fillId="17" borderId="8" xfId="0" applyFont="1" applyFill="1" applyBorder="1" applyAlignment="1">
      <alignment horizontal="center" vertical="center"/>
    </xf>
    <xf numFmtId="40" fontId="61" fillId="17" borderId="40" xfId="13" applyNumberFormat="1" applyFont="1" applyFill="1" applyBorder="1" applyAlignment="1">
      <alignment vertical="center"/>
    </xf>
    <xf numFmtId="40" fontId="86" fillId="17" borderId="9" xfId="13" applyNumberFormat="1" applyFont="1" applyFill="1" applyBorder="1" applyAlignment="1">
      <alignment vertical="center"/>
    </xf>
    <xf numFmtId="43" fontId="61" fillId="15" borderId="0" xfId="0" applyNumberFormat="1" applyFont="1" applyFill="1"/>
    <xf numFmtId="0" fontId="61" fillId="15" borderId="0" xfId="0" applyFont="1" applyFill="1"/>
    <xf numFmtId="0" fontId="61" fillId="15" borderId="0" xfId="0" applyFont="1" applyFill="1" applyBorder="1" applyAlignment="1">
      <alignment horizontal="center" vertical="center"/>
    </xf>
    <xf numFmtId="40" fontId="61" fillId="15" borderId="0" xfId="13" applyNumberFormat="1" applyFont="1" applyFill="1" applyBorder="1" applyAlignment="1">
      <alignment vertical="center"/>
    </xf>
    <xf numFmtId="40" fontId="86" fillId="15" borderId="0" xfId="13" applyNumberFormat="1" applyFont="1" applyFill="1" applyBorder="1" applyAlignment="1">
      <alignment vertical="center"/>
    </xf>
    <xf numFmtId="40" fontId="87" fillId="15" borderId="0" xfId="13" applyNumberFormat="1" applyFont="1" applyFill="1" applyBorder="1" applyAlignment="1">
      <alignment horizontal="right" vertical="center"/>
    </xf>
    <xf numFmtId="40" fontId="88" fillId="15" borderId="0" xfId="13" applyNumberFormat="1" applyFont="1" applyFill="1" applyBorder="1" applyAlignment="1">
      <alignment vertical="center"/>
    </xf>
    <xf numFmtId="4" fontId="8" fillId="15" borderId="5" xfId="0" applyNumberFormat="1" applyFont="1" applyFill="1" applyBorder="1" applyAlignment="1">
      <alignment horizontal="center" vertical="center" wrapText="1"/>
    </xf>
    <xf numFmtId="43" fontId="6" fillId="15" borderId="2" xfId="15" applyFont="1" applyFill="1" applyBorder="1" applyAlignment="1">
      <alignment vertical="center"/>
    </xf>
    <xf numFmtId="40" fontId="6" fillId="15" borderId="2" xfId="13" applyNumberFormat="1" applyFont="1" applyFill="1" applyBorder="1" applyAlignment="1">
      <alignment vertical="center"/>
    </xf>
    <xf numFmtId="43" fontId="6" fillId="15" borderId="12" xfId="13" applyFont="1" applyFill="1" applyBorder="1" applyAlignment="1">
      <alignment vertical="center"/>
    </xf>
    <xf numFmtId="40" fontId="11" fillId="15" borderId="14" xfId="13" applyNumberFormat="1" applyFont="1" applyFill="1" applyBorder="1" applyAlignment="1">
      <alignment vertical="center"/>
    </xf>
    <xf numFmtId="43" fontId="6" fillId="15" borderId="0" xfId="0" applyNumberFormat="1" applyFont="1" applyFill="1" applyAlignment="1">
      <alignment vertical="center"/>
    </xf>
    <xf numFmtId="43" fontId="3" fillId="15" borderId="0" xfId="0" applyNumberFormat="1" applyFont="1" applyFill="1" applyBorder="1" applyAlignment="1">
      <alignment vertical="center"/>
    </xf>
    <xf numFmtId="0" fontId="7" fillId="17" borderId="0" xfId="0" applyFont="1" applyFill="1" applyBorder="1" applyAlignment="1">
      <alignment horizontal="right" vertical="center"/>
    </xf>
    <xf numFmtId="0" fontId="19" fillId="36" borderId="0" xfId="0" applyFont="1" applyFill="1" applyBorder="1" applyAlignment="1">
      <alignment horizontal="left" vertical="center"/>
    </xf>
    <xf numFmtId="43" fontId="6" fillId="15" borderId="10" xfId="13" applyFont="1" applyFill="1" applyBorder="1" applyAlignment="1">
      <alignment vertical="center"/>
    </xf>
    <xf numFmtId="0" fontId="7" fillId="36" borderId="41" xfId="0" applyFont="1" applyFill="1" applyBorder="1" applyAlignment="1">
      <alignment horizontal="left" vertical="center"/>
    </xf>
    <xf numFmtId="0" fontId="6" fillId="15" borderId="0" xfId="0" applyFont="1" applyFill="1" applyBorder="1" applyAlignment="1">
      <alignment horizontal="left" vertical="center"/>
    </xf>
    <xf numFmtId="0" fontId="18" fillId="15" borderId="0" xfId="0" applyFont="1" applyFill="1" applyBorder="1" applyAlignment="1">
      <alignment horizontal="right" vertical="center"/>
    </xf>
    <xf numFmtId="0" fontId="10" fillId="15" borderId="0" xfId="0" applyFont="1" applyFill="1" applyBorder="1" applyAlignment="1">
      <alignment horizontal="left" vertical="center"/>
    </xf>
    <xf numFmtId="0" fontId="8" fillId="15" borderId="4" xfId="0" applyFont="1" applyFill="1" applyBorder="1" applyAlignment="1">
      <alignment horizontal="center" vertical="center" wrapText="1"/>
    </xf>
    <xf numFmtId="43" fontId="3" fillId="15" borderId="33" xfId="13" applyFont="1" applyFill="1" applyBorder="1" applyAlignment="1">
      <alignment vertical="center"/>
    </xf>
    <xf numFmtId="43" fontId="10" fillId="15" borderId="33" xfId="13" applyFont="1" applyFill="1" applyBorder="1" applyAlignment="1">
      <alignment vertical="center"/>
    </xf>
    <xf numFmtId="43" fontId="12" fillId="15" borderId="2" xfId="13" applyFont="1" applyFill="1" applyBorder="1" applyAlignment="1">
      <alignment vertical="center"/>
    </xf>
    <xf numFmtId="0" fontId="12" fillId="15" borderId="6" xfId="0" applyFont="1" applyFill="1" applyBorder="1" applyAlignment="1">
      <alignment horizontal="right" vertical="center"/>
    </xf>
    <xf numFmtId="43" fontId="13" fillId="15" borderId="2" xfId="13" applyFont="1" applyFill="1" applyBorder="1" applyAlignment="1">
      <alignment vertical="center"/>
    </xf>
    <xf numFmtId="43" fontId="8" fillId="15" borderId="42" xfId="13" applyFont="1" applyFill="1" applyBorder="1" applyAlignment="1">
      <alignment horizontal="center" vertical="center" wrapText="1"/>
    </xf>
    <xf numFmtId="43" fontId="10" fillId="15" borderId="11" xfId="13" applyFont="1" applyFill="1" applyBorder="1" applyAlignment="1">
      <alignment vertical="center"/>
    </xf>
    <xf numFmtId="0" fontId="8" fillId="15" borderId="1" xfId="0" applyFont="1" applyFill="1" applyBorder="1" applyAlignment="1">
      <alignment horizontal="right" vertical="center"/>
    </xf>
    <xf numFmtId="43" fontId="12" fillId="15" borderId="1" xfId="13" applyFont="1" applyFill="1" applyBorder="1" applyAlignment="1">
      <alignment vertical="center"/>
    </xf>
    <xf numFmtId="43" fontId="13" fillId="15" borderId="1" xfId="13" applyFont="1" applyFill="1" applyBorder="1" applyAlignment="1">
      <alignment vertical="center"/>
    </xf>
    <xf numFmtId="0" fontId="61" fillId="15" borderId="8" xfId="0" applyFont="1" applyFill="1" applyBorder="1" applyAlignment="1">
      <alignment horizontal="center" vertical="center"/>
    </xf>
    <xf numFmtId="43" fontId="86" fillId="15" borderId="9" xfId="13" applyFont="1" applyFill="1" applyBorder="1" applyAlignment="1">
      <alignment vertical="center"/>
    </xf>
    <xf numFmtId="0" fontId="89" fillId="15" borderId="0" xfId="0" applyFont="1" applyFill="1" applyBorder="1" applyAlignment="1">
      <alignment vertical="center"/>
    </xf>
    <xf numFmtId="43" fontId="64" fillId="15" borderId="0" xfId="13" applyFont="1" applyFill="1" applyBorder="1" applyAlignment="1">
      <alignment vertical="center"/>
    </xf>
    <xf numFmtId="9" fontId="64" fillId="15" borderId="0" xfId="37" applyFont="1" applyFill="1" applyBorder="1" applyAlignment="1">
      <alignment vertical="center"/>
    </xf>
    <xf numFmtId="4" fontId="90" fillId="15" borderId="0" xfId="13" applyNumberFormat="1" applyFont="1" applyFill="1" applyBorder="1" applyAlignment="1">
      <alignment vertical="center"/>
    </xf>
    <xf numFmtId="43" fontId="8" fillId="15" borderId="43" xfId="13" applyFont="1" applyFill="1" applyBorder="1" applyAlignment="1">
      <alignment vertical="center"/>
    </xf>
    <xf numFmtId="0" fontId="61" fillId="39" borderId="44" xfId="0" applyFont="1" applyFill="1" applyBorder="1" applyAlignment="1">
      <alignment horizontal="center" vertical="center"/>
    </xf>
    <xf numFmtId="43" fontId="61" fillId="39" borderId="17" xfId="13" applyFont="1" applyFill="1" applyBorder="1" applyAlignment="1">
      <alignment vertical="center"/>
    </xf>
    <xf numFmtId="0" fontId="91" fillId="15" borderId="0" xfId="0" applyFont="1" applyFill="1" applyBorder="1" applyAlignment="1">
      <alignment vertical="center"/>
    </xf>
    <xf numFmtId="0" fontId="90" fillId="15" borderId="0" xfId="0" applyFont="1" applyFill="1" applyBorder="1" applyAlignment="1">
      <alignment horizontal="right" vertical="center"/>
    </xf>
    <xf numFmtId="4" fontId="3" fillId="15" borderId="0" xfId="13" applyNumberFormat="1" applyFont="1" applyFill="1" applyBorder="1" applyAlignment="1">
      <alignment horizontal="right" vertical="center"/>
    </xf>
    <xf numFmtId="43" fontId="7" fillId="15" borderId="10" xfId="13" applyFont="1" applyFill="1" applyBorder="1" applyAlignment="1">
      <alignment horizontal="right"/>
    </xf>
    <xf numFmtId="0" fontId="26" fillId="15" borderId="0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vertical="center"/>
    </xf>
    <xf numFmtId="0" fontId="7" fillId="15" borderId="6" xfId="0" applyFont="1" applyFill="1" applyBorder="1" applyAlignment="1">
      <alignment horizontal="center" vertical="center"/>
    </xf>
    <xf numFmtId="2" fontId="3" fillId="15" borderId="2" xfId="13" applyNumberFormat="1" applyFont="1" applyFill="1" applyBorder="1" applyAlignment="1">
      <alignment vertical="center"/>
    </xf>
    <xf numFmtId="0" fontId="16" fillId="15" borderId="7" xfId="0" applyFont="1" applyFill="1" applyBorder="1" applyAlignment="1">
      <alignment vertical="center"/>
    </xf>
    <xf numFmtId="43" fontId="6" fillId="15" borderId="1" xfId="13" applyFont="1" applyFill="1" applyBorder="1" applyAlignment="1">
      <alignment vertical="center"/>
    </xf>
    <xf numFmtId="0" fontId="7" fillId="15" borderId="1" xfId="0" applyFont="1" applyFill="1" applyBorder="1" applyAlignment="1">
      <alignment horizontal="center" vertical="center"/>
    </xf>
    <xf numFmtId="40" fontId="3" fillId="15" borderId="1" xfId="13" applyNumberFormat="1" applyFont="1" applyFill="1" applyBorder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2" fontId="12" fillId="15" borderId="9" xfId="13" applyNumberFormat="1" applyFont="1" applyFill="1" applyBorder="1" applyAlignment="1">
      <alignment vertical="center"/>
    </xf>
    <xf numFmtId="43" fontId="13" fillId="15" borderId="9" xfId="13" applyNumberFormat="1" applyFont="1" applyFill="1" applyBorder="1" applyAlignment="1">
      <alignment vertical="center"/>
    </xf>
    <xf numFmtId="43" fontId="6" fillId="15" borderId="41" xfId="13" applyFont="1" applyFill="1" applyBorder="1" applyAlignment="1">
      <alignment vertical="center"/>
    </xf>
    <xf numFmtId="40" fontId="10" fillId="17" borderId="17" xfId="13" applyNumberFormat="1" applyFont="1" applyFill="1" applyBorder="1" applyAlignment="1">
      <alignment vertical="center"/>
    </xf>
    <xf numFmtId="40" fontId="10" fillId="15" borderId="17" xfId="13" applyNumberFormat="1" applyFont="1" applyFill="1" applyBorder="1" applyAlignment="1">
      <alignment vertical="center"/>
    </xf>
    <xf numFmtId="40" fontId="10" fillId="15" borderId="9" xfId="13" applyNumberFormat="1" applyFont="1" applyFill="1" applyBorder="1" applyAlignment="1">
      <alignment vertical="center"/>
    </xf>
    <xf numFmtId="0" fontId="7" fillId="40" borderId="1" xfId="0" applyFont="1" applyFill="1" applyBorder="1" applyAlignment="1">
      <alignment horizontal="center" vertical="center" wrapText="1"/>
    </xf>
    <xf numFmtId="43" fontId="11" fillId="15" borderId="0" xfId="0" applyNumberFormat="1" applyFont="1" applyFill="1" applyBorder="1" applyAlignment="1">
      <alignment vertical="center"/>
    </xf>
    <xf numFmtId="43" fontId="66" fillId="15" borderId="0" xfId="13" applyFont="1" applyFill="1" applyBorder="1" applyAlignment="1">
      <alignment horizontal="center" vertical="center"/>
    </xf>
    <xf numFmtId="43" fontId="66" fillId="15" borderId="27" xfId="13" applyFont="1" applyFill="1" applyBorder="1" applyAlignment="1">
      <alignment horizontal="center" vertical="center"/>
    </xf>
    <xf numFmtId="43" fontId="8" fillId="15" borderId="0" xfId="13" applyFont="1" applyFill="1" applyBorder="1" applyAlignment="1">
      <alignment horizontal="center" vertical="center"/>
    </xf>
    <xf numFmtId="43" fontId="8" fillId="15" borderId="27" xfId="13" applyFont="1" applyFill="1" applyBorder="1" applyAlignment="1">
      <alignment horizontal="center" vertical="center"/>
    </xf>
    <xf numFmtId="43" fontId="31" fillId="15" borderId="0" xfId="13" applyFont="1" applyFill="1" applyBorder="1" applyAlignment="1">
      <alignment horizontal="center" vertical="center"/>
    </xf>
    <xf numFmtId="43" fontId="31" fillId="15" borderId="27" xfId="13" applyFont="1" applyFill="1" applyBorder="1" applyAlignment="1">
      <alignment horizontal="center" vertical="center"/>
    </xf>
    <xf numFmtId="43" fontId="10" fillId="36" borderId="0" xfId="13" applyFont="1" applyFill="1" applyBorder="1" applyAlignment="1">
      <alignment horizontal="center" vertical="center"/>
    </xf>
    <xf numFmtId="43" fontId="10" fillId="15" borderId="27" xfId="13" applyFont="1" applyFill="1" applyBorder="1" applyAlignment="1">
      <alignment horizontal="center" vertical="center"/>
    </xf>
    <xf numFmtId="43" fontId="15" fillId="15" borderId="0" xfId="13" applyFont="1" applyFill="1" applyBorder="1" applyAlignment="1">
      <alignment horizontal="center" vertical="center"/>
    </xf>
    <xf numFmtId="43" fontId="26" fillId="15" borderId="0" xfId="13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vertical="center"/>
    </xf>
    <xf numFmtId="0" fontId="12" fillId="15" borderId="2" xfId="0" applyFont="1" applyFill="1" applyBorder="1" applyAlignment="1">
      <alignment horizontal="right" vertical="center"/>
    </xf>
    <xf numFmtId="0" fontId="8" fillId="15" borderId="12" xfId="0" applyFont="1" applyFill="1" applyBorder="1" applyAlignment="1">
      <alignment vertical="center"/>
    </xf>
  </cellXfs>
  <cellStyles count="83">
    <cellStyle name="20% - Accent1" xfId="56" builtinId="30" customBuiltin="1"/>
    <cellStyle name="20% - Accent1 2" xfId="1"/>
    <cellStyle name="20% - Accent2" xfId="60" builtinId="34" customBuiltin="1"/>
    <cellStyle name="20% - Accent2 2" xfId="2"/>
    <cellStyle name="20% - Accent3" xfId="64" builtinId="38" customBuiltin="1"/>
    <cellStyle name="20% - Accent3 2" xfId="3"/>
    <cellStyle name="20% - Accent4" xfId="68" builtinId="42" customBuiltin="1"/>
    <cellStyle name="20% - Accent4 2" xfId="4"/>
    <cellStyle name="20% - Accent5" xfId="72" builtinId="46" customBuiltin="1"/>
    <cellStyle name="20% - Accent5 2" xfId="5"/>
    <cellStyle name="20% - Accent6" xfId="76" builtinId="50" customBuiltin="1"/>
    <cellStyle name="20% - Accent6 2" xfId="6"/>
    <cellStyle name="40% - Accent1" xfId="57" builtinId="31" customBuiltin="1"/>
    <cellStyle name="40% - Accent1 2" xfId="7"/>
    <cellStyle name="40% - Accent2" xfId="61" builtinId="35" customBuiltin="1"/>
    <cellStyle name="40% - Accent2 2" xfId="8"/>
    <cellStyle name="40% - Accent3" xfId="65" builtinId="39" customBuiltin="1"/>
    <cellStyle name="40% - Accent3 2" xfId="9"/>
    <cellStyle name="40% - Accent4" xfId="69" builtinId="43" customBuiltin="1"/>
    <cellStyle name="40% - Accent4 2" xfId="10"/>
    <cellStyle name="40% - Accent5" xfId="73" builtinId="47" customBuiltin="1"/>
    <cellStyle name="40% - Accent5 2" xfId="11"/>
    <cellStyle name="40% - Accent6" xfId="77" builtinId="51" customBuiltin="1"/>
    <cellStyle name="40% - Accent6 2" xfId="12"/>
    <cellStyle name="60% - Accent1" xfId="58" builtinId="32" customBuiltin="1"/>
    <cellStyle name="60% - Accent2" xfId="62" builtinId="36" customBuiltin="1"/>
    <cellStyle name="60% - Accent3" xfId="66" builtinId="40" customBuiltin="1"/>
    <cellStyle name="60% - Accent4" xfId="70" builtinId="44" customBuiltin="1"/>
    <cellStyle name="60% - Accent5" xfId="74" builtinId="48" customBuiltin="1"/>
    <cellStyle name="60% - Accent6" xfId="78" builtinId="52" customBuiltin="1"/>
    <cellStyle name="Accent1" xfId="55" builtinId="29" customBuiltin="1"/>
    <cellStyle name="Accent2" xfId="59" builtinId="33" customBuiltin="1"/>
    <cellStyle name="Accent3" xfId="63" builtinId="37" customBuiltin="1"/>
    <cellStyle name="Accent4" xfId="67" builtinId="41" customBuiltin="1"/>
    <cellStyle name="Accent5" xfId="71" builtinId="45" customBuiltin="1"/>
    <cellStyle name="Accent6" xfId="75" builtinId="49" customBuiltin="1"/>
    <cellStyle name="Bad" xfId="44" builtinId="27" customBuiltin="1"/>
    <cellStyle name="Calculation" xfId="48" builtinId="22" customBuiltin="1"/>
    <cellStyle name="Check Cell" xfId="50" builtinId="23" customBuiltin="1"/>
    <cellStyle name="Comma" xfId="13" builtinId="3"/>
    <cellStyle name="Comma 2" xfId="14"/>
    <cellStyle name="Comma 2 2" xfId="15"/>
    <cellStyle name="Comma 2 3" xfId="16"/>
    <cellStyle name="Comma 3" xfId="17"/>
    <cellStyle name="Comma 3 2" xfId="18"/>
    <cellStyle name="Comma 3 3" xfId="19"/>
    <cellStyle name="Comma 4" xfId="20"/>
    <cellStyle name="Comma 5" xfId="21"/>
    <cellStyle name="Explanatory Text" xfId="53" builtinId="53" customBuiltin="1"/>
    <cellStyle name="Good" xfId="43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6" builtinId="20" customBuiltin="1"/>
    <cellStyle name="Linked Cell" xfId="49" builtinId="24" customBuiltin="1"/>
    <cellStyle name="Neutral" xfId="45" builtinId="28" customBuiltin="1"/>
    <cellStyle name="Normal" xfId="0" builtinId="0"/>
    <cellStyle name="Normal 10" xfId="22"/>
    <cellStyle name="Normal 11" xfId="23"/>
    <cellStyle name="Normal 12" xfId="24"/>
    <cellStyle name="Normal 13" xfId="25"/>
    <cellStyle name="Normal 14" xfId="79"/>
    <cellStyle name="Normal 2" xfId="26"/>
    <cellStyle name="Normal 2 2" xfId="27"/>
    <cellStyle name="Normal 2 3" xfId="28"/>
    <cellStyle name="Normal 2 4" xfId="81"/>
    <cellStyle name="Normal 2 5" xfId="82"/>
    <cellStyle name="Normal 3" xfId="29"/>
    <cellStyle name="Normal 4" xfId="30"/>
    <cellStyle name="Normal 5" xfId="31"/>
    <cellStyle name="Normal 6" xfId="32"/>
    <cellStyle name="Normal 7" xfId="33"/>
    <cellStyle name="Normal 8" xfId="34"/>
    <cellStyle name="Normal 9" xfId="35"/>
    <cellStyle name="Note" xfId="52" builtinId="10" customBuiltin="1"/>
    <cellStyle name="Note 2" xfId="36"/>
    <cellStyle name="Output" xfId="47" builtinId="21" customBuiltin="1"/>
    <cellStyle name="Percent" xfId="37" builtinId="5"/>
    <cellStyle name="Percent 2" xfId="38"/>
    <cellStyle name="Title 2" xfId="80"/>
    <cellStyle name="Total" xfId="54" builtinId="25" customBuiltin="1"/>
    <cellStyle name="Warning Text" xfId="5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Boot!#REF!</c:f>
              <c:numCache>
                <c:formatCode>_(* #,##0.00_);_(* \(#,##0.00\);_(* "-"??_);_(@_)</c:formatCode>
                <c:ptCount val="9"/>
                <c:pt idx="0" formatCode="#,##0.00_);[Red]\(#,##0.00\)">
                  <c:v>1202172.48</c:v>
                </c:pt>
                <c:pt idx="1">
                  <c:v>125095.96</c:v>
                </c:pt>
                <c:pt idx="2">
                  <c:v>0</c:v>
                </c:pt>
                <c:pt idx="3">
                  <c:v>0</c:v>
                </c:pt>
                <c:pt idx="4" formatCode="#,##0.00_);[Red]\(#,##0.00\)">
                  <c:v>1327268.44</c:v>
                </c:pt>
                <c:pt idx="5">
                  <c:v>0</c:v>
                </c:pt>
                <c:pt idx="6">
                  <c:v>0</c:v>
                </c:pt>
                <c:pt idx="7" formatCode="#,##0.00_);[Red]\(#,##0.00\)">
                  <c:v>1327268.44</c:v>
                </c:pt>
                <c:pt idx="8" formatCode="#,##0.00_);[Red]\(#,##0.00\)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Boot!#REF!</c15:sqref>
                        </c15:formulaRef>
                      </c:ext>
                    </c:extLst>
                    <c:strCache>
                      <c:ptCount val="1"/>
                      <c:pt idx="0">
                        <c:v>คอนซูเมอร์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Boot!#REF!</c15:sqref>
                        </c15:formulaRef>
                      </c:ext>
                    </c:extLst>
                    <c:strCache>
                      <c:ptCount val="9"/>
                      <c:pt idx="0">
                        <c:v>ยอดยกมา
(1)</c:v>
                      </c:pt>
                      <c:pt idx="1">
                        <c:v>ยอดขายเดือน
กุมภาพันธ์ 2564
(2)</c:v>
                      </c:pt>
                      <c:pt idx="2">
                        <c:v>ค่าใช้จ่าย
(3)</c:v>
                      </c:pt>
                      <c:pt idx="3">
                        <c:v>CN
(4)</c:v>
                      </c:pt>
                      <c:pt idx="4">
                        <c:v>ยอดที่ต้องชำระ(5)
[(1)+(2)-(3)-(4)]
</c:v>
                      </c:pt>
                      <c:pt idx="5">
                        <c:v>ยอดที่ลูกค้าจ่าย
(6)</c:v>
                      </c:pt>
                      <c:pt idx="6">
                        <c:v>% ที่เก็บได้
 [(6/5)*100]
</c:v>
                      </c:pt>
                      <c:pt idx="7">
                        <c:v>ยอดที่ค้างชำระ(7)
(5) - (6)</c:v>
                      </c:pt>
                      <c:pt idx="8">
                        <c:v>% ยอดคงค้าง
 [(7/5)]*100]
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90-4916-9D36-3B2881673ECB}"/>
            </c:ext>
          </c:extLst>
        </c:ser>
        <c:ser>
          <c:idx val="1"/>
          <c:order val="1"/>
          <c:invertIfNegative val="0"/>
          <c:val>
            <c:numRef>
              <c:f>Boot!#REF!</c:f>
              <c:numCache>
                <c:formatCode>_(* #,##0.00_);_(* \(#,##0.00\);_(* "-"??_);_(@_)</c:formatCode>
                <c:ptCount val="9"/>
                <c:pt idx="0" formatCode="#,##0.00_);[Red]\(#,##0.00\)">
                  <c:v>20353.070000000003</c:v>
                </c:pt>
                <c:pt idx="1">
                  <c:v>21516.15</c:v>
                </c:pt>
                <c:pt idx="2">
                  <c:v>223.1</c:v>
                </c:pt>
                <c:pt idx="3">
                  <c:v>258.19</c:v>
                </c:pt>
                <c:pt idx="4">
                  <c:v>41387.93</c:v>
                </c:pt>
                <c:pt idx="5">
                  <c:v>32348.17</c:v>
                </c:pt>
                <c:pt idx="6">
                  <c:v>78.158463107480841</c:v>
                </c:pt>
                <c:pt idx="7" formatCode="#,##0.00_);[Red]\(#,##0.00\)">
                  <c:v>9039.760000000002</c:v>
                </c:pt>
                <c:pt idx="8" formatCode="#,##0.00_);[Red]\(#,##0.00\)">
                  <c:v>21.841536892519152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Boot!#REF!</c15:sqref>
                        </c15:formulaRef>
                      </c:ext>
                    </c:extLst>
                    <c:strCache>
                      <c:ptCount val="1"/>
                      <c:pt idx="0">
                        <c:v>Cerebos(STL)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Boot!#REF!</c15:sqref>
                        </c15:formulaRef>
                      </c:ext>
                    </c:extLst>
                    <c:strCache>
                      <c:ptCount val="9"/>
                      <c:pt idx="0">
                        <c:v>ยอดยกมา
(1)</c:v>
                      </c:pt>
                      <c:pt idx="1">
                        <c:v>ยอดขายเดือน
กุมภาพันธ์ 2564
(2)</c:v>
                      </c:pt>
                      <c:pt idx="2">
                        <c:v>ค่าใช้จ่าย
(3)</c:v>
                      </c:pt>
                      <c:pt idx="3">
                        <c:v>CN
(4)</c:v>
                      </c:pt>
                      <c:pt idx="4">
                        <c:v>ยอดที่ต้องชำระ(5)
[(1)+(2)-(3)-(4)]
</c:v>
                      </c:pt>
                      <c:pt idx="5">
                        <c:v>ยอดที่ลูกค้าจ่าย
(6)</c:v>
                      </c:pt>
                      <c:pt idx="6">
                        <c:v>% ที่เก็บได้
 [(6/5)*100]
</c:v>
                      </c:pt>
                      <c:pt idx="7">
                        <c:v>ยอดที่ค้างชำระ(7)
(5) - (6)</c:v>
                      </c:pt>
                      <c:pt idx="8">
                        <c:v>% ยอดคงค้าง
 [(7/5)]*100]
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190-4916-9D36-3B2881673ECB}"/>
            </c:ext>
          </c:extLst>
        </c:ser>
        <c:ser>
          <c:idx val="2"/>
          <c:order val="2"/>
          <c:invertIfNegative val="0"/>
          <c:val>
            <c:numRef>
              <c:f>Boot!#REF!</c:f>
              <c:numCache>
                <c:formatCode>_(* #,##0.00_);_(* \(#,##0.00\);_(* "-"??_);_(@_)</c:formatCode>
                <c:ptCount val="9"/>
                <c:pt idx="0">
                  <c:v>1222525.55</c:v>
                </c:pt>
                <c:pt idx="1">
                  <c:v>146612.11000000002</c:v>
                </c:pt>
                <c:pt idx="2" formatCode="#,##0.00_);[Red]\(#,##0.00\)">
                  <c:v>223.1</c:v>
                </c:pt>
                <c:pt idx="3" formatCode="#,##0.00_);[Red]\(#,##0.00\)">
                  <c:v>258.19</c:v>
                </c:pt>
                <c:pt idx="4" formatCode="#,##0.00_);[Red]\(#,##0.00\)">
                  <c:v>1368656.3699999999</c:v>
                </c:pt>
                <c:pt idx="5">
                  <c:v>32348.17</c:v>
                </c:pt>
                <c:pt idx="6" formatCode="#,##0.00_);[Red]\(#,##0.00\)">
                  <c:v>2.363498297238773</c:v>
                </c:pt>
                <c:pt idx="7" formatCode="#,##0.00_);[Red]\(#,##0.00\)">
                  <c:v>1336308.2</c:v>
                </c:pt>
                <c:pt idx="8" formatCode="#,##0.00_);[Red]\(#,##0.00\)">
                  <c:v>97.636501702761237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Boot!#REF!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Boot!#REF!</c15:sqref>
                        </c15:formulaRef>
                      </c:ext>
                    </c:extLst>
                    <c:strCache>
                      <c:ptCount val="9"/>
                      <c:pt idx="0">
                        <c:v>ยอดยกมา
(1)</c:v>
                      </c:pt>
                      <c:pt idx="1">
                        <c:v>ยอดขายเดือน
กุมภาพันธ์ 2564
(2)</c:v>
                      </c:pt>
                      <c:pt idx="2">
                        <c:v>ค่าใช้จ่าย
(3)</c:v>
                      </c:pt>
                      <c:pt idx="3">
                        <c:v>CN
(4)</c:v>
                      </c:pt>
                      <c:pt idx="4">
                        <c:v>ยอดที่ต้องชำระ(5)
[(1)+(2)-(3)-(4)]
</c:v>
                      </c:pt>
                      <c:pt idx="5">
                        <c:v>ยอดที่ลูกค้าจ่าย
(6)</c:v>
                      </c:pt>
                      <c:pt idx="6">
                        <c:v>% ที่เก็บได้
 [(6/5)*100]
</c:v>
                      </c:pt>
                      <c:pt idx="7">
                        <c:v>ยอดที่ค้างชำระ(7)
(5) - (6)</c:v>
                      </c:pt>
                      <c:pt idx="8">
                        <c:v>% ยอดคงค้าง
 [(7/5)]*100]
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190-4916-9D36-3B288167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217040"/>
        <c:axId val="1111224880"/>
      </c:barChart>
      <c:catAx>
        <c:axId val="111121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1224880"/>
        <c:crosses val="autoZero"/>
        <c:auto val="1"/>
        <c:lblAlgn val="ctr"/>
        <c:lblOffset val="100"/>
        <c:noMultiLvlLbl val="0"/>
      </c:catAx>
      <c:valAx>
        <c:axId val="1111224880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11121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79844" cy="73818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zoomScaleNormal="100" workbookViewId="0">
      <selection activeCell="G17" sqref="G17"/>
    </sheetView>
  </sheetViews>
  <sheetFormatPr defaultRowHeight="20.100000000000001" customHeight="1" x14ac:dyDescent="0.25"/>
  <cols>
    <col min="1" max="1" width="26.5703125" style="119" customWidth="1"/>
    <col min="2" max="2" width="26.140625" style="119" bestFit="1" customWidth="1"/>
    <col min="3" max="7" width="20.7109375" style="122" customWidth="1"/>
    <col min="8" max="8" width="20.7109375" style="22" customWidth="1"/>
    <col min="9" max="9" width="20.7109375" style="122" customWidth="1"/>
    <col min="10" max="10" width="20.7109375" style="119" customWidth="1"/>
    <col min="11" max="16384" width="9.140625" style="119"/>
  </cols>
  <sheetData>
    <row r="1" spans="1:13" s="211" customFormat="1" ht="21.75" customHeight="1" x14ac:dyDescent="0.3">
      <c r="A1" s="531" t="s">
        <v>130</v>
      </c>
      <c r="B1" s="531"/>
      <c r="C1" s="531"/>
      <c r="D1" s="531"/>
      <c r="E1" s="531"/>
      <c r="F1" s="531"/>
      <c r="G1" s="531"/>
      <c r="H1" s="531"/>
      <c r="I1" s="531"/>
      <c r="J1" s="531"/>
      <c r="K1" s="212"/>
      <c r="L1" s="212"/>
      <c r="M1" s="212"/>
    </row>
    <row r="2" spans="1:13" s="211" customFormat="1" ht="21.75" customHeight="1" thickBot="1" x14ac:dyDescent="0.35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212"/>
      <c r="L2" s="212"/>
      <c r="M2" s="212"/>
    </row>
    <row r="3" spans="1:13" s="211" customFormat="1" ht="70.5" thickBot="1" x14ac:dyDescent="0.35">
      <c r="A3" s="309" t="s">
        <v>47</v>
      </c>
      <c r="B3" s="310" t="s">
        <v>131</v>
      </c>
      <c r="C3" s="310" t="s">
        <v>132</v>
      </c>
      <c r="D3" s="311" t="s">
        <v>133</v>
      </c>
      <c r="E3" s="310" t="s">
        <v>134</v>
      </c>
      <c r="F3" s="310" t="s">
        <v>135</v>
      </c>
      <c r="G3" s="310" t="s">
        <v>136</v>
      </c>
      <c r="H3" s="310" t="s">
        <v>74</v>
      </c>
      <c r="I3" s="310" t="s">
        <v>137</v>
      </c>
      <c r="J3" s="310" t="s">
        <v>75</v>
      </c>
      <c r="K3" s="212"/>
      <c r="L3" s="212"/>
      <c r="M3" s="212"/>
    </row>
    <row r="4" spans="1:13" s="211" customFormat="1" ht="21.75" customHeight="1" x14ac:dyDescent="0.5">
      <c r="A4" s="312" t="s">
        <v>22</v>
      </c>
      <c r="B4" s="313">
        <v>8057598.4899999499</v>
      </c>
      <c r="C4" s="314">
        <f>209901961.81-16651.07</f>
        <v>209885310.74000001</v>
      </c>
      <c r="D4" s="315">
        <v>45278712.770000003</v>
      </c>
      <c r="E4" s="316">
        <f>4924948.6+7264.87</f>
        <v>4932213.47</v>
      </c>
      <c r="F4" s="314">
        <f>+B4+C4-D4-E4</f>
        <v>167731982.98999995</v>
      </c>
      <c r="G4" s="317">
        <v>150493780.43000001</v>
      </c>
      <c r="H4" s="316">
        <f>+G4/F4*100</f>
        <v>89.722769472636784</v>
      </c>
      <c r="I4" s="318">
        <f>F4-G4</f>
        <v>17238202.559999943</v>
      </c>
      <c r="J4" s="316">
        <f>+I4/F4*100</f>
        <v>10.27723052736321</v>
      </c>
      <c r="K4" s="212"/>
      <c r="L4" s="212"/>
      <c r="M4" s="212"/>
    </row>
    <row r="5" spans="1:13" s="211" customFormat="1" ht="21.75" customHeight="1" x14ac:dyDescent="0.5">
      <c r="A5" s="319" t="s">
        <v>23</v>
      </c>
      <c r="B5" s="320">
        <v>2332641.0600000024</v>
      </c>
      <c r="C5" s="320">
        <f>37471730.04-1527866.67</f>
        <v>35943863.369999997</v>
      </c>
      <c r="D5" s="316">
        <v>0</v>
      </c>
      <c r="E5" s="321">
        <v>0</v>
      </c>
      <c r="F5" s="314">
        <f>B5+C5-D5-E5</f>
        <v>38276504.43</v>
      </c>
      <c r="G5" s="317">
        <f>36748637.76-D5-E5</f>
        <v>36748637.759999998</v>
      </c>
      <c r="H5" s="316">
        <f>+G5/F5*100</f>
        <v>96.008343257169258</v>
      </c>
      <c r="I5" s="318">
        <f>F5-G5</f>
        <v>1527866.6700000018</v>
      </c>
      <c r="J5" s="316">
        <f>+I5/F5*100</f>
        <v>3.9916567428307395</v>
      </c>
      <c r="K5" s="212"/>
      <c r="L5" s="212"/>
      <c r="M5" s="212"/>
    </row>
    <row r="6" spans="1:13" s="211" customFormat="1" ht="21.75" customHeight="1" thickBot="1" x14ac:dyDescent="0.55000000000000004">
      <c r="A6" s="322" t="s">
        <v>20</v>
      </c>
      <c r="B6" s="323">
        <f>SUM(B4:B5)</f>
        <v>10390239.549999952</v>
      </c>
      <c r="C6" s="323">
        <f>SUM(C4:C5)</f>
        <v>245829174.11000001</v>
      </c>
      <c r="D6" s="324">
        <f>SUM(D4:D5)</f>
        <v>45278712.770000003</v>
      </c>
      <c r="E6" s="324">
        <f>SUM(E4:E5)</f>
        <v>4932213.47</v>
      </c>
      <c r="F6" s="325">
        <f>B6+C6-D6-E6</f>
        <v>206008487.41999996</v>
      </c>
      <c r="G6" s="326">
        <f>SUM(G4:G5)</f>
        <v>187242418.19</v>
      </c>
      <c r="H6" s="324">
        <f>+G6/F6*100</f>
        <v>90.89063297098987</v>
      </c>
      <c r="I6" s="327">
        <f>SUM(I4:I5)</f>
        <v>18766069.229999945</v>
      </c>
      <c r="J6" s="328">
        <f>+I6/F6*100</f>
        <v>9.109367029010123</v>
      </c>
      <c r="K6" s="212"/>
      <c r="L6" s="212"/>
      <c r="M6" s="212"/>
    </row>
    <row r="7" spans="1:13" s="211" customFormat="1" ht="21.75" customHeight="1" thickTop="1" x14ac:dyDescent="0.3">
      <c r="A7" s="157" t="s">
        <v>21</v>
      </c>
      <c r="C7" s="212"/>
      <c r="D7" s="212"/>
      <c r="E7" s="212"/>
      <c r="F7" s="212"/>
      <c r="G7" s="212"/>
      <c r="H7" s="17"/>
      <c r="I7" s="212"/>
      <c r="K7" s="212"/>
      <c r="L7" s="212"/>
      <c r="M7" s="212"/>
    </row>
    <row r="8" spans="1:13" s="211" customFormat="1" ht="21.75" customHeight="1" x14ac:dyDescent="0.3">
      <c r="C8" s="212"/>
      <c r="D8" s="212"/>
      <c r="E8" s="212"/>
      <c r="F8" s="212"/>
      <c r="G8" s="212"/>
      <c r="H8" s="17"/>
      <c r="I8" s="212"/>
      <c r="K8" s="212"/>
      <c r="L8" s="212"/>
      <c r="M8" s="212"/>
    </row>
    <row r="9" spans="1:13" s="211" customFormat="1" ht="21.75" customHeight="1" x14ac:dyDescent="0.3">
      <c r="A9" s="92" t="s">
        <v>38</v>
      </c>
      <c r="B9" s="93" t="s">
        <v>138</v>
      </c>
      <c r="C9" s="94" t="s">
        <v>79</v>
      </c>
      <c r="D9" s="212"/>
      <c r="E9" s="212"/>
      <c r="F9" s="212"/>
      <c r="G9" s="212"/>
      <c r="H9" s="17"/>
      <c r="I9" s="212"/>
      <c r="K9" s="212"/>
      <c r="L9" s="212"/>
      <c r="M9" s="212"/>
    </row>
    <row r="10" spans="1:13" s="211" customFormat="1" ht="21.75" customHeight="1" x14ac:dyDescent="0.3">
      <c r="A10" s="329" t="s">
        <v>22</v>
      </c>
      <c r="B10" s="93" t="s">
        <v>139</v>
      </c>
      <c r="C10" s="224">
        <v>17238202.559999943</v>
      </c>
      <c r="D10" s="212"/>
      <c r="E10" s="166" t="s">
        <v>140</v>
      </c>
      <c r="F10" s="212"/>
      <c r="G10" s="212"/>
      <c r="H10" s="17"/>
      <c r="I10" s="212"/>
      <c r="K10" s="212"/>
      <c r="L10" s="212"/>
      <c r="M10" s="212"/>
    </row>
    <row r="11" spans="1:13" s="211" customFormat="1" ht="21.75" customHeight="1" x14ac:dyDescent="0.3">
      <c r="B11" s="211" t="s">
        <v>141</v>
      </c>
      <c r="C11" s="212">
        <v>21571.02</v>
      </c>
      <c r="D11" s="212"/>
      <c r="E11" s="212" t="s">
        <v>142</v>
      </c>
      <c r="F11" s="212"/>
      <c r="G11" s="212"/>
      <c r="H11" s="17"/>
      <c r="I11" s="212"/>
      <c r="K11" s="212"/>
      <c r="L11" s="212"/>
      <c r="M11" s="212"/>
    </row>
    <row r="12" spans="1:13" s="211" customFormat="1" ht="21.75" customHeight="1" x14ac:dyDescent="0.3">
      <c r="B12" s="211" t="s">
        <v>143</v>
      </c>
      <c r="C12" s="212">
        <v>222749.48</v>
      </c>
      <c r="D12" s="212"/>
      <c r="E12" s="212" t="s">
        <v>144</v>
      </c>
      <c r="F12" s="212"/>
      <c r="G12" s="212"/>
      <c r="H12" s="17"/>
      <c r="I12" s="212"/>
      <c r="K12" s="212"/>
      <c r="L12" s="212"/>
      <c r="M12" s="212"/>
    </row>
    <row r="13" spans="1:13" s="211" customFormat="1" ht="21.75" customHeight="1" x14ac:dyDescent="0.3">
      <c r="B13" s="211" t="s">
        <v>145</v>
      </c>
      <c r="C13" s="212">
        <v>9941888.1199999992</v>
      </c>
      <c r="D13" s="212"/>
      <c r="E13" s="212" t="s">
        <v>146</v>
      </c>
      <c r="F13" s="212"/>
      <c r="G13" s="212"/>
      <c r="H13" s="17"/>
      <c r="I13" s="212"/>
      <c r="K13" s="212"/>
      <c r="L13" s="212"/>
      <c r="M13" s="212"/>
    </row>
    <row r="14" spans="1:13" s="211" customFormat="1" ht="21.75" customHeight="1" x14ac:dyDescent="0.3">
      <c r="B14" s="211" t="s">
        <v>145</v>
      </c>
      <c r="C14" s="212">
        <v>5731511.2000000002</v>
      </c>
      <c r="D14" s="212"/>
      <c r="E14" s="212" t="s">
        <v>142</v>
      </c>
      <c r="F14" s="212"/>
      <c r="G14" s="212"/>
      <c r="H14" s="17"/>
      <c r="I14" s="212"/>
      <c r="K14" s="212"/>
      <c r="L14" s="212"/>
      <c r="M14" s="212"/>
    </row>
    <row r="15" spans="1:13" s="211" customFormat="1" ht="21.75" customHeight="1" x14ac:dyDescent="0.3">
      <c r="B15" s="211" t="s">
        <v>145</v>
      </c>
      <c r="C15" s="212">
        <v>1320482.74</v>
      </c>
      <c r="D15" s="212"/>
      <c r="E15" s="212" t="s">
        <v>147</v>
      </c>
      <c r="F15" s="212"/>
      <c r="G15" s="212"/>
      <c r="H15" s="17"/>
      <c r="I15" s="212"/>
      <c r="K15" s="212"/>
      <c r="L15" s="212"/>
      <c r="M15" s="212"/>
    </row>
    <row r="16" spans="1:13" s="211" customFormat="1" ht="21.75" customHeight="1" x14ac:dyDescent="0.3">
      <c r="C16" s="212"/>
      <c r="D16" s="212"/>
      <c r="E16" s="212"/>
      <c r="F16" s="212"/>
      <c r="G16" s="212"/>
      <c r="H16" s="17"/>
      <c r="I16" s="212"/>
      <c r="K16" s="212"/>
      <c r="L16" s="212"/>
      <c r="M16" s="212"/>
    </row>
    <row r="17" spans="2:13" s="211" customFormat="1" ht="21.75" customHeight="1" x14ac:dyDescent="0.3">
      <c r="C17" s="212"/>
      <c r="D17" s="212"/>
      <c r="E17" s="212"/>
      <c r="F17" s="212"/>
      <c r="G17" s="212"/>
      <c r="H17" s="17"/>
      <c r="I17" s="212"/>
      <c r="K17" s="212"/>
      <c r="L17" s="212"/>
      <c r="M17" s="212"/>
    </row>
    <row r="18" spans="2:13" s="211" customFormat="1" ht="21.75" customHeight="1" x14ac:dyDescent="0.3">
      <c r="B18" s="330" t="s">
        <v>23</v>
      </c>
      <c r="C18" s="212"/>
      <c r="D18" s="212"/>
      <c r="E18" s="212"/>
      <c r="F18" s="212"/>
      <c r="G18" s="212"/>
      <c r="H18" s="17"/>
      <c r="I18" s="212"/>
      <c r="K18" s="212"/>
      <c r="L18" s="212"/>
      <c r="M18" s="212"/>
    </row>
    <row r="19" spans="2:13" s="211" customFormat="1" ht="21.75" customHeight="1" x14ac:dyDescent="0.3">
      <c r="B19" s="211" t="s">
        <v>145</v>
      </c>
      <c r="C19" s="212">
        <v>1527866.6700000018</v>
      </c>
      <c r="D19" s="212"/>
      <c r="E19" s="212" t="s">
        <v>146</v>
      </c>
      <c r="F19" s="212"/>
      <c r="G19" s="212"/>
      <c r="H19" s="17"/>
      <c r="I19" s="212"/>
      <c r="K19" s="212"/>
      <c r="L19" s="212"/>
      <c r="M19" s="212"/>
    </row>
    <row r="20" spans="2:13" s="211" customFormat="1" ht="21.75" customHeight="1" thickBot="1" x14ac:dyDescent="0.35">
      <c r="C20" s="331">
        <f>SUM(C11:C19)</f>
        <v>18766069.23</v>
      </c>
      <c r="D20" s="212"/>
      <c r="E20" s="212"/>
      <c r="F20" s="212"/>
      <c r="G20" s="212"/>
      <c r="H20" s="17"/>
      <c r="I20" s="212"/>
      <c r="K20" s="212"/>
      <c r="L20" s="212"/>
      <c r="M20" s="212"/>
    </row>
    <row r="21" spans="2:13" s="211" customFormat="1" ht="21.75" customHeight="1" thickTop="1" x14ac:dyDescent="0.3">
      <c r="C21" s="212"/>
      <c r="D21" s="212"/>
      <c r="E21" s="212"/>
      <c r="F21" s="212"/>
      <c r="G21" s="212"/>
      <c r="H21" s="17"/>
      <c r="I21" s="212"/>
      <c r="K21" s="212"/>
      <c r="L21" s="212"/>
      <c r="M21" s="212"/>
    </row>
  </sheetData>
  <mergeCells count="1">
    <mergeCell ref="A1:J2"/>
  </mergeCells>
  <printOptions horizontalCentered="1"/>
  <pageMargins left="0.3" right="0.3" top="0.7" bottom="0.7" header="0.3" footer="0.3"/>
  <pageSetup scale="66" fitToHeight="0" orientation="landscape" r:id="rId1"/>
  <headerFooter>
    <oddHeader>&amp;F</oddHeader>
    <oddFooter>&amp;A&amp;RPage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G12" sqref="G12"/>
    </sheetView>
  </sheetViews>
  <sheetFormatPr defaultRowHeight="21" customHeight="1" x14ac:dyDescent="0.25"/>
  <cols>
    <col min="1" max="1" width="13.28515625" style="5" customWidth="1"/>
    <col min="2" max="2" width="12.5703125" customWidth="1"/>
    <col min="3" max="3" width="14.85546875" customWidth="1"/>
    <col min="4" max="4" width="12.7109375" customWidth="1"/>
    <col min="5" max="5" width="13.7109375" customWidth="1"/>
    <col min="6" max="6" width="17" customWidth="1"/>
    <col min="7" max="7" width="16.5703125" customWidth="1"/>
    <col min="8" max="8" width="12.85546875" customWidth="1"/>
    <col min="9" max="9" width="4.28515625" customWidth="1"/>
    <col min="10" max="10" width="15" customWidth="1"/>
  </cols>
  <sheetData>
    <row r="2" spans="1:8" ht="21" customHeight="1" x14ac:dyDescent="0.25">
      <c r="A2" s="11" t="s">
        <v>1</v>
      </c>
      <c r="B2" s="6" t="s">
        <v>7</v>
      </c>
      <c r="C2" s="6" t="s">
        <v>0</v>
      </c>
      <c r="D2" s="4" t="s">
        <v>2</v>
      </c>
      <c r="E2" s="4" t="s">
        <v>3</v>
      </c>
      <c r="F2" s="6" t="s">
        <v>4</v>
      </c>
      <c r="G2" s="6" t="s">
        <v>8</v>
      </c>
      <c r="H2" s="2" t="s">
        <v>6</v>
      </c>
    </row>
    <row r="3" spans="1:8" ht="21" customHeight="1" x14ac:dyDescent="0.25">
      <c r="A3" s="10" t="s">
        <v>9</v>
      </c>
      <c r="B3" s="3">
        <v>473744.65</v>
      </c>
      <c r="C3" s="3">
        <v>0</v>
      </c>
      <c r="D3" s="8" t="s">
        <v>5</v>
      </c>
      <c r="E3" s="7">
        <v>1061648.49</v>
      </c>
      <c r="F3" s="9">
        <f>B3+C3-E3</f>
        <v>-587903.84</v>
      </c>
      <c r="G3" s="3">
        <v>0</v>
      </c>
      <c r="H3" s="1">
        <f>G3/F3</f>
        <v>0</v>
      </c>
    </row>
    <row r="5" spans="1:8" ht="21" customHeight="1" x14ac:dyDescent="0.25">
      <c r="A5" s="11" t="s">
        <v>1</v>
      </c>
      <c r="B5" s="13" t="s">
        <v>7</v>
      </c>
      <c r="C5" s="13" t="s">
        <v>0</v>
      </c>
      <c r="D5" s="4" t="s">
        <v>2</v>
      </c>
      <c r="E5" s="4" t="s">
        <v>3</v>
      </c>
      <c r="F5" s="13" t="s">
        <v>4</v>
      </c>
      <c r="G5" s="13" t="s">
        <v>8</v>
      </c>
      <c r="H5" s="2" t="s">
        <v>6</v>
      </c>
    </row>
    <row r="6" spans="1:8" ht="21" customHeight="1" x14ac:dyDescent="0.25">
      <c r="A6" s="10" t="s">
        <v>10</v>
      </c>
      <c r="B6" s="14">
        <v>473744.65</v>
      </c>
      <c r="C6" s="14">
        <v>0</v>
      </c>
      <c r="D6" s="8" t="s">
        <v>5</v>
      </c>
      <c r="E6" s="7">
        <v>1288522.52</v>
      </c>
      <c r="F6" s="12">
        <f>B6+C6-E6</f>
        <v>-814777.87</v>
      </c>
      <c r="G6" s="14">
        <v>0</v>
      </c>
      <c r="H6" s="1">
        <f>G6/F6</f>
        <v>0</v>
      </c>
    </row>
    <row r="8" spans="1:8" ht="21" customHeight="1" x14ac:dyDescent="0.25">
      <c r="A8" s="11" t="s">
        <v>1</v>
      </c>
      <c r="B8" s="16" t="s">
        <v>7</v>
      </c>
      <c r="C8" s="16" t="s">
        <v>0</v>
      </c>
      <c r="D8" s="4" t="s">
        <v>2</v>
      </c>
      <c r="E8" s="4" t="s">
        <v>3</v>
      </c>
      <c r="F8" s="16" t="s">
        <v>4</v>
      </c>
      <c r="G8" s="16" t="s">
        <v>8</v>
      </c>
      <c r="H8" s="2" t="s">
        <v>6</v>
      </c>
    </row>
    <row r="9" spans="1:8" ht="21" customHeight="1" x14ac:dyDescent="0.25">
      <c r="A9" s="10" t="s">
        <v>11</v>
      </c>
      <c r="B9" s="15">
        <v>473744.65</v>
      </c>
      <c r="C9" s="15">
        <v>0</v>
      </c>
      <c r="D9" s="8" t="s">
        <v>5</v>
      </c>
      <c r="E9" s="7">
        <v>1422312.05</v>
      </c>
      <c r="F9" s="12">
        <f>B9+C9-E9</f>
        <v>-948567.4</v>
      </c>
      <c r="G9" s="15">
        <v>0</v>
      </c>
      <c r="H9" s="1">
        <f>G9/F9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"/>
  <sheetViews>
    <sheetView zoomScaleNormal="100" zoomScaleSheetLayoutView="75" workbookViewId="0">
      <selection activeCell="D23" sqref="D23"/>
    </sheetView>
  </sheetViews>
  <sheetFormatPr defaultColWidth="13.85546875" defaultRowHeight="20.100000000000001" customHeight="1" x14ac:dyDescent="0.25"/>
  <cols>
    <col min="1" max="1" width="35.85546875" style="119" customWidth="1"/>
    <col min="2" max="2" width="26.42578125" style="25" bestFit="1" customWidth="1"/>
    <col min="3" max="7" width="20.7109375" style="122" customWidth="1"/>
    <col min="8" max="8" width="20.7109375" style="22" customWidth="1"/>
    <col min="9" max="10" width="20.7109375" style="119" customWidth="1"/>
    <col min="11" max="16384" width="13.85546875" style="119"/>
  </cols>
  <sheetData>
    <row r="2" spans="1:11" s="211" customFormat="1" ht="17.25" thickBot="1" x14ac:dyDescent="0.35">
      <c r="A2" s="538" t="s">
        <v>243</v>
      </c>
      <c r="B2" s="538"/>
      <c r="C2" s="538"/>
      <c r="D2" s="538"/>
      <c r="E2" s="538"/>
      <c r="F2" s="538"/>
      <c r="G2" s="538"/>
      <c r="H2" s="538"/>
      <c r="I2" s="538"/>
      <c r="J2" s="538"/>
    </row>
    <row r="3" spans="1:11" s="187" customFormat="1" ht="50.25" thickBot="1" x14ac:dyDescent="0.35">
      <c r="A3" s="439" t="s">
        <v>223</v>
      </c>
      <c r="B3" s="440" t="s">
        <v>12</v>
      </c>
      <c r="C3" s="441" t="s">
        <v>224</v>
      </c>
      <c r="D3" s="442" t="s">
        <v>71</v>
      </c>
      <c r="E3" s="442" t="s">
        <v>72</v>
      </c>
      <c r="F3" s="440" t="s">
        <v>15</v>
      </c>
      <c r="G3" s="440" t="s">
        <v>25</v>
      </c>
      <c r="H3" s="440" t="s">
        <v>26</v>
      </c>
      <c r="I3" s="440" t="s">
        <v>27</v>
      </c>
      <c r="J3" s="441" t="s">
        <v>19</v>
      </c>
      <c r="K3" s="443"/>
    </row>
    <row r="4" spans="1:11" s="187" customFormat="1" ht="33.75" customHeight="1" thickBot="1" x14ac:dyDescent="0.35">
      <c r="A4" s="305" t="s">
        <v>225</v>
      </c>
      <c r="B4" s="444">
        <v>0</v>
      </c>
      <c r="C4" s="177">
        <v>131338.73000000001</v>
      </c>
      <c r="D4" s="177">
        <f>7218.82-138.51</f>
        <v>7080.3099999999995</v>
      </c>
      <c r="E4" s="177"/>
      <c r="F4" s="445">
        <f>C4+D4</f>
        <v>138419.04</v>
      </c>
      <c r="G4" s="446">
        <v>138419.04</v>
      </c>
      <c r="H4" s="447">
        <f>F4/G4*100</f>
        <v>100</v>
      </c>
      <c r="I4" s="197">
        <f>F4-G4</f>
        <v>0</v>
      </c>
      <c r="J4" s="447">
        <f>I4/F4*100</f>
        <v>0</v>
      </c>
    </row>
    <row r="5" spans="1:11" s="187" customFormat="1" ht="50.25" thickBot="1" x14ac:dyDescent="0.35">
      <c r="A5" s="448" t="s">
        <v>244</v>
      </c>
      <c r="B5" s="449" t="s">
        <v>12</v>
      </c>
      <c r="C5" s="450" t="s">
        <v>125</v>
      </c>
      <c r="D5" s="451" t="s">
        <v>71</v>
      </c>
      <c r="E5" s="451" t="s">
        <v>72</v>
      </c>
      <c r="F5" s="449" t="s">
        <v>15</v>
      </c>
      <c r="G5" s="449" t="s">
        <v>25</v>
      </c>
      <c r="H5" s="449" t="s">
        <v>26</v>
      </c>
      <c r="I5" s="529" t="s">
        <v>27</v>
      </c>
      <c r="J5" s="450" t="s">
        <v>19</v>
      </c>
      <c r="K5" s="443"/>
    </row>
    <row r="6" spans="1:11" s="187" customFormat="1" ht="30" customHeight="1" thickBot="1" x14ac:dyDescent="0.35">
      <c r="A6" s="452" t="s">
        <v>22</v>
      </c>
      <c r="B6" s="453">
        <v>6790454.6300000064</v>
      </c>
      <c r="C6" s="445">
        <v>18789286.989999998</v>
      </c>
      <c r="D6" s="445">
        <f>95988.17+32526.24-2553.26-994.35-57.17</f>
        <v>124909.63</v>
      </c>
      <c r="E6" s="445"/>
      <c r="F6" s="445">
        <f>B6+C6-D6-E6</f>
        <v>25454831.990000006</v>
      </c>
      <c r="G6" s="454">
        <f>10114768.42+841384.3+10459845.55</f>
        <v>21415998.270000003</v>
      </c>
      <c r="H6" s="455">
        <f>G6/F6*100</f>
        <v>84.133331849973843</v>
      </c>
      <c r="I6" s="528">
        <f>F6-G6</f>
        <v>4038833.7200000025</v>
      </c>
      <c r="J6" s="455">
        <f>I6*100/F6</f>
        <v>15.866668150026165</v>
      </c>
    </row>
    <row r="7" spans="1:11" s="462" customFormat="1" ht="20.100000000000001" customHeight="1" thickTop="1" thickBot="1" x14ac:dyDescent="0.35">
      <c r="A7" s="456" t="s">
        <v>226</v>
      </c>
      <c r="B7" s="457">
        <f>SUM(B6)</f>
        <v>6790454.6300000064</v>
      </c>
      <c r="C7" s="458">
        <f>C4+C6</f>
        <v>18920625.719999999</v>
      </c>
      <c r="D7" s="458">
        <f t="shared" ref="D7:E7" si="0">D4+D6</f>
        <v>131989.94</v>
      </c>
      <c r="E7" s="458">
        <f t="shared" si="0"/>
        <v>0</v>
      </c>
      <c r="F7" s="458">
        <f>F4+F6</f>
        <v>25593251.030000005</v>
      </c>
      <c r="G7" s="458">
        <f>G4+G6</f>
        <v>21554417.310000002</v>
      </c>
      <c r="H7" s="459">
        <f>G7/F7*100</f>
        <v>84.219145448674155</v>
      </c>
      <c r="I7" s="527">
        <f>F7-G7</f>
        <v>4038833.7200000025</v>
      </c>
      <c r="J7" s="460">
        <f>I7/F7*100</f>
        <v>15.780854551325838</v>
      </c>
      <c r="K7" s="461"/>
    </row>
    <row r="8" spans="1:11" s="187" customFormat="1" ht="30" customHeight="1" thickTop="1" thickBot="1" x14ac:dyDescent="0.35">
      <c r="A8" s="305" t="s">
        <v>23</v>
      </c>
      <c r="B8" s="444"/>
      <c r="C8" s="177">
        <v>1534254.05</v>
      </c>
      <c r="D8" s="463">
        <v>0</v>
      </c>
      <c r="E8" s="463"/>
      <c r="F8" s="177">
        <f>B8+C8-D8-E8</f>
        <v>1534254.05</v>
      </c>
      <c r="G8" s="446">
        <v>1534254.05</v>
      </c>
      <c r="H8" s="447">
        <f t="shared" ref="H8" si="1">G8/F8*100</f>
        <v>100</v>
      </c>
      <c r="I8" s="527">
        <f t="shared" ref="I8:I10" si="2">F8-G8</f>
        <v>0</v>
      </c>
      <c r="J8" s="447">
        <f>I8*100/F8</f>
        <v>0</v>
      </c>
    </row>
    <row r="9" spans="1:11" s="462" customFormat="1" ht="20.100000000000001" customHeight="1" thickTop="1" thickBot="1" x14ac:dyDescent="0.35">
      <c r="A9" s="456" t="s">
        <v>226</v>
      </c>
      <c r="B9" s="464">
        <f>SUM(B8)</f>
        <v>0</v>
      </c>
      <c r="C9" s="464">
        <f>SUM(C8)</f>
        <v>1534254.05</v>
      </c>
      <c r="D9" s="464">
        <f>SUM(D8)</f>
        <v>0</v>
      </c>
      <c r="E9" s="464">
        <f>SUM(E8)</f>
        <v>0</v>
      </c>
      <c r="F9" s="465">
        <f t="shared" ref="F9:G9" si="3">SUM(F8)</f>
        <v>1534254.05</v>
      </c>
      <c r="G9" s="464">
        <f t="shared" si="3"/>
        <v>1534254.05</v>
      </c>
      <c r="H9" s="460">
        <f>G9/F9*100</f>
        <v>100</v>
      </c>
      <c r="I9" s="527">
        <f t="shared" si="2"/>
        <v>0</v>
      </c>
      <c r="J9" s="459">
        <f>I9*100/F9</f>
        <v>0</v>
      </c>
      <c r="K9" s="461"/>
    </row>
    <row r="10" spans="1:11" s="470" customFormat="1" ht="20.100000000000001" customHeight="1" thickTop="1" thickBot="1" x14ac:dyDescent="0.35">
      <c r="A10" s="466" t="s">
        <v>20</v>
      </c>
      <c r="B10" s="467">
        <f>SUM(B9,B7)</f>
        <v>6790454.6300000064</v>
      </c>
      <c r="C10" s="467">
        <f>SUM(C9,C7)</f>
        <v>20454879.77</v>
      </c>
      <c r="D10" s="467">
        <f t="shared" ref="D10:G10" si="4">SUM(D9,D7)</f>
        <v>131989.94</v>
      </c>
      <c r="E10" s="467">
        <f t="shared" si="4"/>
        <v>0</v>
      </c>
      <c r="F10" s="467">
        <f t="shared" si="4"/>
        <v>27127505.080000006</v>
      </c>
      <c r="G10" s="467">
        <f t="shared" si="4"/>
        <v>23088671.360000003</v>
      </c>
      <c r="H10" s="468">
        <f>G10/F10*100</f>
        <v>85.111665418219133</v>
      </c>
      <c r="I10" s="526">
        <f t="shared" si="2"/>
        <v>4038833.7200000025</v>
      </c>
      <c r="J10" s="468">
        <f>I10/F10*100</f>
        <v>14.888334581780867</v>
      </c>
      <c r="K10" s="469"/>
    </row>
    <row r="11" spans="1:11" s="470" customFormat="1" ht="20.100000000000001" customHeight="1" thickTop="1" x14ac:dyDescent="0.3">
      <c r="A11" s="471"/>
      <c r="B11" s="472"/>
      <c r="C11" s="472"/>
      <c r="D11" s="472"/>
      <c r="E11" s="472"/>
      <c r="F11" s="472"/>
      <c r="G11" s="472"/>
      <c r="H11" s="473"/>
      <c r="I11" s="472"/>
      <c r="J11" s="472"/>
      <c r="K11" s="469"/>
    </row>
    <row r="12" spans="1:11" s="470" customFormat="1" ht="20.100000000000001" customHeight="1" x14ac:dyDescent="0.3">
      <c r="A12" s="157" t="s">
        <v>21</v>
      </c>
      <c r="B12" s="472"/>
      <c r="C12" s="472"/>
      <c r="D12" s="472"/>
      <c r="E12" s="472"/>
      <c r="F12" s="472"/>
      <c r="G12" s="472"/>
      <c r="H12" s="473"/>
      <c r="I12" s="472"/>
      <c r="J12" s="472"/>
      <c r="K12" s="469"/>
    </row>
    <row r="13" spans="1:11" s="470" customFormat="1" ht="20.100000000000001" customHeight="1" x14ac:dyDescent="0.3">
      <c r="A13" s="474" t="s">
        <v>227</v>
      </c>
      <c r="B13" s="128" t="s">
        <v>228</v>
      </c>
      <c r="C13" s="194">
        <v>4038833.72</v>
      </c>
      <c r="D13" s="194" t="s">
        <v>210</v>
      </c>
      <c r="E13" s="473"/>
      <c r="F13" s="472"/>
      <c r="G13" s="472"/>
      <c r="H13" s="473"/>
      <c r="I13" s="472"/>
      <c r="J13" s="472"/>
      <c r="K13" s="469"/>
    </row>
    <row r="14" spans="1:11" s="470" customFormat="1" ht="20.100000000000001" customHeight="1" x14ac:dyDescent="0.3">
      <c r="A14" s="474"/>
      <c r="B14" s="194" t="s">
        <v>276</v>
      </c>
      <c r="C14" s="194">
        <v>3276.72</v>
      </c>
      <c r="D14" s="194"/>
      <c r="E14" s="473"/>
      <c r="F14" s="472"/>
      <c r="G14" s="472"/>
      <c r="H14" s="473"/>
      <c r="I14" s="472"/>
      <c r="J14" s="472"/>
      <c r="K14" s="469"/>
    </row>
    <row r="15" spans="1:11" s="470" customFormat="1" ht="20.100000000000001" customHeight="1" x14ac:dyDescent="0.3">
      <c r="A15" s="471"/>
      <c r="B15" s="194" t="s">
        <v>275</v>
      </c>
      <c r="C15" s="194">
        <v>54331.79</v>
      </c>
      <c r="D15" s="194"/>
      <c r="E15" s="194"/>
      <c r="F15" s="475"/>
      <c r="G15" s="475"/>
      <c r="H15" s="59"/>
      <c r="I15" s="472"/>
      <c r="J15" s="472"/>
      <c r="K15" s="469"/>
    </row>
    <row r="16" spans="1:11" ht="20.100000000000001" customHeight="1" x14ac:dyDescent="0.25">
      <c r="B16" s="25" t="s">
        <v>274</v>
      </c>
      <c r="C16" s="122">
        <f>C13-C14-C15</f>
        <v>3981225.21</v>
      </c>
    </row>
  </sheetData>
  <mergeCells count="1">
    <mergeCell ref="A2:J2"/>
  </mergeCells>
  <printOptions horizontalCentered="1"/>
  <pageMargins left="0.3" right="0.3" top="0.7" bottom="0.7" header="0.3" footer="0.3"/>
  <pageSetup scale="54" fitToHeight="0" orientation="landscape" r:id="rId1"/>
  <headerFooter>
    <oddHeader>&amp;F</oddHeader>
    <oddFooter>&amp;A&amp;RPage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zoomScaleNormal="100" workbookViewId="0">
      <selection activeCell="I15" sqref="I15"/>
    </sheetView>
  </sheetViews>
  <sheetFormatPr defaultRowHeight="20.100000000000001" customHeight="1" x14ac:dyDescent="0.25"/>
  <cols>
    <col min="1" max="1" width="44.28515625" style="119" customWidth="1"/>
    <col min="2" max="2" width="14.42578125" style="119" customWidth="1"/>
    <col min="3" max="3" width="17.42578125" style="119" customWidth="1"/>
    <col min="4" max="4" width="16.42578125" style="119" customWidth="1"/>
    <col min="5" max="5" width="15.140625" style="119" customWidth="1"/>
    <col min="6" max="6" width="16" style="119" customWidth="1"/>
    <col min="7" max="7" width="19.42578125" style="119" customWidth="1"/>
    <col min="8" max="11" width="19.28515625" style="119" customWidth="1"/>
    <col min="12" max="12" width="9.140625" style="119"/>
    <col min="13" max="13" width="23.5703125" style="189" customWidth="1"/>
    <col min="14" max="14" width="9.42578125" style="119" bestFit="1" customWidth="1"/>
    <col min="15" max="16384" width="9.140625" style="119"/>
  </cols>
  <sheetData>
    <row r="1" spans="1:15" s="167" customFormat="1" ht="20.100000000000001" customHeight="1" x14ac:dyDescent="0.25">
      <c r="A1" s="111"/>
      <c r="B1" s="129"/>
      <c r="C1" s="129" t="s">
        <v>148</v>
      </c>
      <c r="D1" s="166"/>
      <c r="E1" s="166"/>
      <c r="F1" s="166"/>
      <c r="G1" s="166"/>
      <c r="H1" s="183"/>
      <c r="I1" s="332"/>
      <c r="J1" s="333"/>
      <c r="K1" s="189"/>
      <c r="L1" s="166"/>
      <c r="M1" s="334"/>
      <c r="N1" s="335"/>
      <c r="O1" s="189"/>
    </row>
    <row r="2" spans="1:15" s="167" customFormat="1" ht="20.100000000000001" customHeight="1" x14ac:dyDescent="0.25">
      <c r="A2" s="111"/>
      <c r="B2" s="129"/>
      <c r="C2" s="129"/>
      <c r="D2" s="166"/>
      <c r="E2" s="166"/>
      <c r="F2" s="166"/>
      <c r="G2" s="166"/>
      <c r="H2" s="183"/>
      <c r="I2" s="332"/>
      <c r="J2" s="333"/>
      <c r="K2" s="189"/>
      <c r="L2" s="166"/>
      <c r="M2" s="334"/>
      <c r="N2" s="335"/>
      <c r="O2" s="189"/>
    </row>
    <row r="3" spans="1:15" s="167" customFormat="1" ht="48.75" customHeight="1" thickBot="1" x14ac:dyDescent="0.3">
      <c r="A3" s="336" t="s">
        <v>149</v>
      </c>
      <c r="B3" s="337" t="s">
        <v>12</v>
      </c>
      <c r="C3" s="336" t="s">
        <v>150</v>
      </c>
      <c r="D3" s="338" t="s">
        <v>151</v>
      </c>
      <c r="E3" s="338" t="s">
        <v>13</v>
      </c>
      <c r="F3" s="338" t="s">
        <v>14</v>
      </c>
      <c r="G3" s="337" t="s">
        <v>15</v>
      </c>
      <c r="H3" s="339" t="s">
        <v>16</v>
      </c>
      <c r="I3" s="340" t="s">
        <v>17</v>
      </c>
      <c r="J3" s="340" t="s">
        <v>18</v>
      </c>
      <c r="K3" s="341" t="s">
        <v>19</v>
      </c>
      <c r="L3" s="166"/>
      <c r="M3" s="334"/>
      <c r="N3" s="335"/>
      <c r="O3" s="189"/>
    </row>
    <row r="4" spans="1:15" s="167" customFormat="1" ht="20.100000000000001" customHeight="1" thickBot="1" x14ac:dyDescent="0.3">
      <c r="A4" s="172" t="s">
        <v>152</v>
      </c>
      <c r="B4" s="259"/>
      <c r="C4" s="342" t="s">
        <v>153</v>
      </c>
      <c r="D4" s="173">
        <v>576710.14</v>
      </c>
      <c r="E4" s="174"/>
      <c r="F4" s="174">
        <v>4811.82</v>
      </c>
      <c r="G4" s="173">
        <f>B4+D4-E4-F4</f>
        <v>571898.32000000007</v>
      </c>
      <c r="H4" s="175">
        <v>571898.31999999995</v>
      </c>
      <c r="I4" s="260">
        <f>H4/G4*100</f>
        <v>99.999999999999972</v>
      </c>
      <c r="J4" s="343">
        <f>G4-H4</f>
        <v>0</v>
      </c>
      <c r="K4" s="344">
        <f>J4/G4*100</f>
        <v>0</v>
      </c>
      <c r="L4" s="345"/>
      <c r="M4" s="334"/>
      <c r="N4" s="335"/>
      <c r="O4" s="189"/>
    </row>
    <row r="5" spans="1:15" s="167" customFormat="1" ht="20.100000000000001" customHeight="1" thickBot="1" x14ac:dyDescent="0.3">
      <c r="A5" s="172" t="s">
        <v>154</v>
      </c>
      <c r="B5" s="259"/>
      <c r="C5" s="342" t="s">
        <v>153</v>
      </c>
      <c r="D5" s="173">
        <v>11021</v>
      </c>
      <c r="E5" s="174"/>
      <c r="F5" s="174"/>
      <c r="G5" s="173">
        <f t="shared" ref="G5:G13" si="0">B5+D5-E5-F5</f>
        <v>11021</v>
      </c>
      <c r="H5" s="175">
        <v>11021</v>
      </c>
      <c r="I5" s="260">
        <f t="shared" ref="I5:I13" si="1">H5/G5*100</f>
        <v>100</v>
      </c>
      <c r="J5" s="343">
        <f t="shared" ref="J5:J13" si="2">G5-H5</f>
        <v>0</v>
      </c>
      <c r="K5" s="344">
        <f t="shared" ref="K5:K13" si="3">J5/G5*100</f>
        <v>0</v>
      </c>
      <c r="L5" s="345"/>
      <c r="M5" s="334"/>
      <c r="N5" s="335"/>
      <c r="O5" s="189"/>
    </row>
    <row r="6" spans="1:15" s="167" customFormat="1" ht="20.100000000000001" customHeight="1" thickBot="1" x14ac:dyDescent="0.3">
      <c r="A6" s="346" t="s">
        <v>155</v>
      </c>
      <c r="B6" s="259">
        <v>651900.81999999995</v>
      </c>
      <c r="C6" s="342" t="s">
        <v>156</v>
      </c>
      <c r="D6" s="173">
        <v>40597642.149999999</v>
      </c>
      <c r="E6" s="174"/>
      <c r="F6" s="174">
        <v>1758739.01</v>
      </c>
      <c r="G6" s="173">
        <f t="shared" si="0"/>
        <v>39490803.960000001</v>
      </c>
      <c r="H6" s="175">
        <v>36886610.57</v>
      </c>
      <c r="I6" s="260">
        <f t="shared" si="1"/>
        <v>93.405570085031002</v>
      </c>
      <c r="J6" s="343">
        <f t="shared" si="2"/>
        <v>2604193.3900000006</v>
      </c>
      <c r="K6" s="344">
        <f t="shared" si="3"/>
        <v>6.5944299149689956</v>
      </c>
      <c r="L6" s="345"/>
      <c r="M6" s="334"/>
      <c r="N6" s="335"/>
      <c r="O6" s="189"/>
    </row>
    <row r="7" spans="1:15" s="167" customFormat="1" ht="20.100000000000001" customHeight="1" thickBot="1" x14ac:dyDescent="0.3">
      <c r="A7" s="347" t="s">
        <v>157</v>
      </c>
      <c r="B7" s="348"/>
      <c r="C7" s="342" t="s">
        <v>153</v>
      </c>
      <c r="D7" s="173">
        <v>490674.05</v>
      </c>
      <c r="E7" s="174"/>
      <c r="F7" s="174">
        <v>5316.4</v>
      </c>
      <c r="G7" s="173">
        <f t="shared" si="0"/>
        <v>485357.64999999997</v>
      </c>
      <c r="H7" s="175">
        <v>422762.98</v>
      </c>
      <c r="I7" s="260">
        <f t="shared" si="1"/>
        <v>87.103392724931822</v>
      </c>
      <c r="J7" s="343">
        <f t="shared" si="2"/>
        <v>62594.669999999984</v>
      </c>
      <c r="K7" s="344">
        <f t="shared" si="3"/>
        <v>12.896607275068186</v>
      </c>
      <c r="L7" s="345"/>
      <c r="M7" s="334"/>
      <c r="N7" s="335"/>
      <c r="O7" s="189"/>
    </row>
    <row r="8" spans="1:15" s="167" customFormat="1" ht="20.100000000000001" customHeight="1" thickBot="1" x14ac:dyDescent="0.3">
      <c r="A8" s="347" t="s">
        <v>158</v>
      </c>
      <c r="B8" s="348"/>
      <c r="C8" s="342" t="s">
        <v>159</v>
      </c>
      <c r="D8" s="173">
        <v>57400.85</v>
      </c>
      <c r="E8" s="174"/>
      <c r="F8" s="174">
        <v>581.33000000000004</v>
      </c>
      <c r="G8" s="173">
        <f t="shared" si="0"/>
        <v>56819.519999999997</v>
      </c>
      <c r="H8" s="175">
        <v>56819.519999999997</v>
      </c>
      <c r="I8" s="260">
        <f t="shared" si="1"/>
        <v>100</v>
      </c>
      <c r="J8" s="343">
        <f t="shared" si="2"/>
        <v>0</v>
      </c>
      <c r="K8" s="344">
        <f t="shared" si="3"/>
        <v>0</v>
      </c>
      <c r="L8" s="345"/>
      <c r="M8" s="334"/>
      <c r="N8" s="335"/>
      <c r="O8" s="189"/>
    </row>
    <row r="9" spans="1:15" s="167" customFormat="1" ht="20.100000000000001" customHeight="1" thickBot="1" x14ac:dyDescent="0.3">
      <c r="A9" s="347" t="s">
        <v>160</v>
      </c>
      <c r="B9" s="348"/>
      <c r="C9" s="342" t="s">
        <v>161</v>
      </c>
      <c r="D9" s="349">
        <v>230095.23</v>
      </c>
      <c r="E9" s="174"/>
      <c r="F9" s="174">
        <v>7176.89</v>
      </c>
      <c r="G9" s="173">
        <f t="shared" si="0"/>
        <v>222918.34</v>
      </c>
      <c r="H9" s="175">
        <v>222918.34</v>
      </c>
      <c r="I9" s="260">
        <f t="shared" si="1"/>
        <v>100</v>
      </c>
      <c r="J9" s="343">
        <f t="shared" si="2"/>
        <v>0</v>
      </c>
      <c r="K9" s="344">
        <f t="shared" si="3"/>
        <v>0</v>
      </c>
      <c r="L9" s="345"/>
      <c r="M9" s="334"/>
      <c r="N9" s="335"/>
      <c r="O9" s="189"/>
    </row>
    <row r="10" spans="1:15" s="167" customFormat="1" ht="20.100000000000001" customHeight="1" thickBot="1" x14ac:dyDescent="0.3">
      <c r="A10" s="176" t="s">
        <v>162</v>
      </c>
      <c r="B10" s="348"/>
      <c r="C10" s="342" t="s">
        <v>161</v>
      </c>
      <c r="D10" s="349">
        <v>82403.7</v>
      </c>
      <c r="E10" s="174"/>
      <c r="F10" s="174">
        <v>1615.15</v>
      </c>
      <c r="G10" s="173">
        <f t="shared" si="0"/>
        <v>80788.55</v>
      </c>
      <c r="H10" s="175">
        <v>80788.55</v>
      </c>
      <c r="I10" s="260">
        <f t="shared" si="1"/>
        <v>100</v>
      </c>
      <c r="J10" s="343">
        <f t="shared" si="2"/>
        <v>0</v>
      </c>
      <c r="K10" s="344">
        <f t="shared" si="3"/>
        <v>0</v>
      </c>
      <c r="L10" s="345"/>
      <c r="M10" s="334"/>
      <c r="N10" s="335"/>
      <c r="O10" s="189"/>
    </row>
    <row r="11" spans="1:15" s="167" customFormat="1" ht="20.100000000000001" customHeight="1" thickBot="1" x14ac:dyDescent="0.3">
      <c r="A11" s="350" t="s">
        <v>163</v>
      </c>
      <c r="B11" s="348"/>
      <c r="C11" s="342" t="s">
        <v>153</v>
      </c>
      <c r="D11" s="349">
        <v>440457.01</v>
      </c>
      <c r="E11" s="174"/>
      <c r="F11" s="351">
        <v>6221.33</v>
      </c>
      <c r="G11" s="173">
        <f t="shared" si="0"/>
        <v>434235.68</v>
      </c>
      <c r="H11" s="175">
        <v>434235.68</v>
      </c>
      <c r="I11" s="260">
        <f t="shared" si="1"/>
        <v>100</v>
      </c>
      <c r="J11" s="343">
        <f t="shared" si="2"/>
        <v>0</v>
      </c>
      <c r="K11" s="344">
        <f t="shared" si="3"/>
        <v>0</v>
      </c>
      <c r="L11" s="345"/>
      <c r="M11" s="334"/>
      <c r="N11" s="335"/>
      <c r="O11" s="189"/>
    </row>
    <row r="12" spans="1:15" s="167" customFormat="1" ht="20.100000000000001" customHeight="1" thickBot="1" x14ac:dyDescent="0.3">
      <c r="A12" s="350" t="s">
        <v>164</v>
      </c>
      <c r="B12" s="348"/>
      <c r="C12" s="342" t="s">
        <v>161</v>
      </c>
      <c r="D12" s="349">
        <v>1304690.8600000001</v>
      </c>
      <c r="E12" s="174"/>
      <c r="F12" s="197">
        <v>22649.02</v>
      </c>
      <c r="G12" s="173">
        <f t="shared" si="0"/>
        <v>1282041.8400000001</v>
      </c>
      <c r="H12" s="175">
        <v>1282041.8400000001</v>
      </c>
      <c r="I12" s="260">
        <f t="shared" si="1"/>
        <v>100</v>
      </c>
      <c r="J12" s="343">
        <f t="shared" si="2"/>
        <v>0</v>
      </c>
      <c r="K12" s="344">
        <f t="shared" si="3"/>
        <v>0</v>
      </c>
      <c r="L12" s="345"/>
      <c r="M12" s="334"/>
      <c r="N12" s="335"/>
      <c r="O12" s="189"/>
    </row>
    <row r="13" spans="1:15" s="167" customFormat="1" ht="20.100000000000001" customHeight="1" thickBot="1" x14ac:dyDescent="0.3">
      <c r="A13" s="352" t="s">
        <v>165</v>
      </c>
      <c r="B13" s="353"/>
      <c r="C13" s="354" t="s">
        <v>166</v>
      </c>
      <c r="D13" s="355">
        <v>299015.57</v>
      </c>
      <c r="E13" s="197"/>
      <c r="F13" s="356">
        <v>5603.66</v>
      </c>
      <c r="G13" s="177">
        <f t="shared" si="0"/>
        <v>293411.91000000003</v>
      </c>
      <c r="H13" s="178">
        <v>293411.90999999997</v>
      </c>
      <c r="I13" s="260">
        <f t="shared" si="1"/>
        <v>99.999999999999972</v>
      </c>
      <c r="J13" s="343">
        <f t="shared" si="2"/>
        <v>0</v>
      </c>
      <c r="K13" s="344">
        <f t="shared" si="3"/>
        <v>0</v>
      </c>
      <c r="L13" s="345"/>
      <c r="M13" s="334"/>
      <c r="N13" s="335"/>
      <c r="O13" s="189"/>
    </row>
    <row r="14" spans="1:15" s="123" customFormat="1" ht="20.100000000000001" customHeight="1" thickTop="1" thickBot="1" x14ac:dyDescent="0.3">
      <c r="A14" s="357" t="s">
        <v>20</v>
      </c>
      <c r="B14" s="358">
        <f>SUM(B4:B13)</f>
        <v>651900.81999999995</v>
      </c>
      <c r="C14" s="359"/>
      <c r="D14" s="358">
        <f>SUM(D4:D13)</f>
        <v>44090110.559999995</v>
      </c>
      <c r="E14" s="360"/>
      <c r="F14" s="360">
        <f>SUM(F4:F13)</f>
        <v>1812714.6099999999</v>
      </c>
      <c r="G14" s="358">
        <f>SUM(G4:G13)</f>
        <v>42929296.770000003</v>
      </c>
      <c r="H14" s="361">
        <f>SUM(H4:H13)</f>
        <v>40262508.710000001</v>
      </c>
      <c r="I14" s="362">
        <f>H14/G14*100</f>
        <v>93.787953074825083</v>
      </c>
      <c r="J14" s="363">
        <f>SUM(J4:J13)</f>
        <v>2666788.0600000005</v>
      </c>
      <c r="K14" s="363">
        <f>J14/G14*100</f>
        <v>6.212046925174918</v>
      </c>
      <c r="L14" s="159"/>
      <c r="M14" s="364"/>
      <c r="N14" s="365"/>
      <c r="O14" s="88"/>
    </row>
    <row r="15" spans="1:15" s="167" customFormat="1" ht="20.100000000000001" customHeight="1" thickTop="1" x14ac:dyDescent="0.25">
      <c r="A15" s="179"/>
      <c r="B15" s="180"/>
      <c r="C15" s="35"/>
      <c r="D15" s="180"/>
      <c r="E15" s="126"/>
      <c r="F15" s="126"/>
      <c r="G15" s="180"/>
      <c r="H15" s="128"/>
      <c r="I15" s="86"/>
      <c r="J15" s="86"/>
      <c r="K15" s="366"/>
      <c r="L15" s="166"/>
      <c r="M15" s="334"/>
      <c r="N15" s="335"/>
      <c r="O15" s="189"/>
    </row>
    <row r="16" spans="1:15" s="167" customFormat="1" ht="20.100000000000001" customHeight="1" x14ac:dyDescent="0.25">
      <c r="A16" s="157" t="s">
        <v>21</v>
      </c>
      <c r="B16" s="184"/>
      <c r="C16" s="203"/>
      <c r="D16" s="367"/>
      <c r="E16" s="166"/>
      <c r="F16" s="166"/>
      <c r="G16" s="367"/>
      <c r="H16" s="367"/>
      <c r="I16" s="164"/>
      <c r="J16" s="164"/>
      <c r="K16" s="189"/>
      <c r="L16" s="166"/>
      <c r="M16" s="334"/>
      <c r="N16" s="335"/>
      <c r="O16" s="189"/>
    </row>
    <row r="17" spans="1:15" s="167" customFormat="1" ht="20.100000000000001" customHeight="1" x14ac:dyDescent="0.25">
      <c r="A17" s="158"/>
      <c r="B17" s="167" t="s">
        <v>167</v>
      </c>
      <c r="C17" s="166">
        <v>2604193.39</v>
      </c>
      <c r="D17" s="166"/>
      <c r="E17" s="166" t="s">
        <v>168</v>
      </c>
      <c r="F17" s="166"/>
      <c r="G17" s="183"/>
      <c r="H17" s="367"/>
      <c r="I17" s="164"/>
      <c r="J17" s="162"/>
      <c r="K17" s="162"/>
      <c r="L17" s="166"/>
      <c r="M17" s="334"/>
      <c r="N17" s="335"/>
      <c r="O17" s="189"/>
    </row>
    <row r="18" spans="1:15" s="167" customFormat="1" ht="20.100000000000001" customHeight="1" x14ac:dyDescent="0.25">
      <c r="A18" s="158"/>
      <c r="B18" s="167" t="s">
        <v>157</v>
      </c>
      <c r="C18" s="166">
        <v>62594.67</v>
      </c>
      <c r="D18" s="166"/>
      <c r="E18" s="166" t="s">
        <v>169</v>
      </c>
      <c r="F18" s="166"/>
      <c r="G18" s="183"/>
      <c r="H18" s="367"/>
      <c r="I18" s="164"/>
      <c r="J18" s="162"/>
      <c r="K18" s="162"/>
      <c r="L18" s="166"/>
      <c r="M18" s="334"/>
      <c r="N18" s="335"/>
      <c r="O18" s="189"/>
    </row>
    <row r="19" spans="1:15" s="167" customFormat="1" ht="20.100000000000001" customHeight="1" thickBot="1" x14ac:dyDescent="0.3">
      <c r="A19" s="367"/>
      <c r="C19" s="181">
        <f>SUM(C17:C17)</f>
        <v>2604193.39</v>
      </c>
      <c r="D19" s="159" t="s">
        <v>24</v>
      </c>
      <c r="E19" s="166"/>
      <c r="F19" s="166"/>
      <c r="G19" s="183"/>
      <c r="H19" s="151"/>
      <c r="I19" s="164"/>
      <c r="J19" s="162"/>
      <c r="K19" s="162"/>
      <c r="L19" s="166"/>
      <c r="M19" s="334"/>
      <c r="N19" s="335"/>
      <c r="O19" s="189"/>
    </row>
    <row r="20" spans="1:15" s="167" customFormat="1" ht="20.100000000000001" customHeight="1" thickTop="1" x14ac:dyDescent="0.25">
      <c r="M20" s="189"/>
    </row>
  </sheetData>
  <printOptions horizontalCentered="1"/>
  <pageMargins left="0.3" right="0.3" top="0.7" bottom="0.7" header="0.3" footer="0.3"/>
  <pageSetup scale="48" fitToHeight="0" orientation="landscape" r:id="rId1"/>
  <headerFooter>
    <oddHeader>&amp;F</oddHeader>
    <oddFooter>&amp;A&amp;RPage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zoomScaleNormal="100" workbookViewId="0">
      <selection activeCell="E14" sqref="E14"/>
    </sheetView>
  </sheetViews>
  <sheetFormatPr defaultColWidth="13.85546875" defaultRowHeight="16.5" x14ac:dyDescent="0.25"/>
  <cols>
    <col min="1" max="1" width="28.42578125" style="119" customWidth="1"/>
    <col min="2" max="2" width="20.7109375" style="119" customWidth="1"/>
    <col min="3" max="3" width="20.7109375" style="122" customWidth="1"/>
    <col min="4" max="5" width="20.7109375" style="120" customWidth="1"/>
    <col min="6" max="6" width="20.7109375" style="122" customWidth="1"/>
    <col min="7" max="7" width="20.7109375" style="120" customWidth="1"/>
    <col min="8" max="8" width="20.7109375" style="121" customWidth="1"/>
    <col min="9" max="10" width="20.7109375" style="25" customWidth="1"/>
    <col min="11" max="16384" width="13.85546875" style="119"/>
  </cols>
  <sheetData>
    <row r="1" spans="1:12" s="167" customFormat="1" ht="21.75" customHeight="1" x14ac:dyDescent="0.25">
      <c r="A1" s="213"/>
      <c r="B1" s="213"/>
      <c r="C1" s="214" t="s">
        <v>46</v>
      </c>
      <c r="D1" s="214"/>
      <c r="E1" s="214"/>
      <c r="F1" s="214"/>
      <c r="G1" s="190"/>
      <c r="H1" s="148"/>
      <c r="I1" s="149"/>
      <c r="J1" s="213"/>
      <c r="K1" s="162"/>
      <c r="L1" s="189"/>
    </row>
    <row r="2" spans="1:12" s="167" customFormat="1" ht="21.75" customHeight="1" thickBot="1" x14ac:dyDescent="0.3">
      <c r="A2" s="166"/>
      <c r="B2" s="165"/>
      <c r="C2" s="165"/>
      <c r="D2" s="166"/>
      <c r="E2" s="166"/>
      <c r="F2" s="165"/>
      <c r="G2" s="166"/>
      <c r="K2" s="189"/>
      <c r="L2" s="189"/>
    </row>
    <row r="3" spans="1:12" s="167" customFormat="1" ht="57.75" customHeight="1" thickBot="1" x14ac:dyDescent="0.3">
      <c r="A3" s="169" t="s">
        <v>47</v>
      </c>
      <c r="B3" s="170" t="s">
        <v>12</v>
      </c>
      <c r="C3" s="171" t="s">
        <v>48</v>
      </c>
      <c r="D3" s="171" t="s">
        <v>13</v>
      </c>
      <c r="E3" s="171" t="s">
        <v>14</v>
      </c>
      <c r="F3" s="170" t="s">
        <v>15</v>
      </c>
      <c r="G3" s="150" t="s">
        <v>16</v>
      </c>
      <c r="H3" s="150" t="s">
        <v>17</v>
      </c>
      <c r="I3" s="150" t="s">
        <v>18</v>
      </c>
      <c r="J3" s="171" t="s">
        <v>19</v>
      </c>
      <c r="K3" s="163"/>
      <c r="L3" s="189"/>
    </row>
    <row r="4" spans="1:12" s="167" customFormat="1" ht="21.75" customHeight="1" x14ac:dyDescent="0.25">
      <c r="A4" s="172" t="s">
        <v>22</v>
      </c>
      <c r="B4" s="175">
        <v>97196.090000000433</v>
      </c>
      <c r="C4" s="173">
        <v>822660.51</v>
      </c>
      <c r="D4" s="174">
        <v>0</v>
      </c>
      <c r="E4" s="174">
        <v>1418.3</v>
      </c>
      <c r="F4" s="173">
        <f>B4+C4-D4-E4</f>
        <v>918438.3000000004</v>
      </c>
      <c r="G4" s="175">
        <f>850608.933-E4+2082.94</f>
        <v>851273.57299999986</v>
      </c>
      <c r="H4" s="175">
        <f>G4/F4*100</f>
        <v>92.687072501222943</v>
      </c>
      <c r="I4" s="175">
        <f>F4-G4</f>
        <v>67164.727000000537</v>
      </c>
      <c r="J4" s="174">
        <f>I4/F4*100</f>
        <v>7.3129274987770554</v>
      </c>
      <c r="K4" s="164"/>
      <c r="L4" s="189"/>
    </row>
    <row r="5" spans="1:12" s="167" customFormat="1" ht="21.75" customHeight="1" x14ac:dyDescent="0.25">
      <c r="A5" s="176" t="s">
        <v>23</v>
      </c>
      <c r="B5" s="175">
        <v>192093.43999999948</v>
      </c>
      <c r="C5" s="177">
        <v>3204666.98</v>
      </c>
      <c r="D5" s="197">
        <v>0</v>
      </c>
      <c r="E5" s="197">
        <v>0</v>
      </c>
      <c r="F5" s="173">
        <f>B5+C5-D5-E5</f>
        <v>3396760.4199999995</v>
      </c>
      <c r="G5" s="175">
        <f>3051654.3-E5</f>
        <v>3051654.3</v>
      </c>
      <c r="H5" s="175">
        <f>G5/F5*100</f>
        <v>89.84013950562931</v>
      </c>
      <c r="I5" s="175">
        <f>F5-G5</f>
        <v>345106.11999999965</v>
      </c>
      <c r="J5" s="174">
        <f>I5/F5*100</f>
        <v>10.159860494370683</v>
      </c>
      <c r="K5" s="162"/>
      <c r="L5" s="189"/>
    </row>
    <row r="6" spans="1:12" s="167" customFormat="1" ht="21.75" customHeight="1" thickBot="1" x14ac:dyDescent="0.3">
      <c r="A6" s="153" t="s">
        <v>20</v>
      </c>
      <c r="B6" s="154">
        <f>SUM(B4:B5)</f>
        <v>289289.52999999991</v>
      </c>
      <c r="C6" s="154">
        <f>SUM(C4:C5)</f>
        <v>4027327.49</v>
      </c>
      <c r="D6" s="155">
        <v>0</v>
      </c>
      <c r="E6" s="155">
        <f>SUM(E4:E5)</f>
        <v>1418.3</v>
      </c>
      <c r="F6" s="154">
        <f>SUM(F4:F5)</f>
        <v>4315198.72</v>
      </c>
      <c r="G6" s="156">
        <f>SUM(G4:G5)</f>
        <v>3902927.8729999997</v>
      </c>
      <c r="H6" s="156">
        <f>G6/F6*100</f>
        <v>90.446075053526158</v>
      </c>
      <c r="I6" s="161">
        <f>SUM(I4:I5)</f>
        <v>412270.84700000018</v>
      </c>
      <c r="J6" s="155">
        <f>I6/F6*100</f>
        <v>9.5539249464738489</v>
      </c>
      <c r="K6" s="162"/>
      <c r="L6" s="189"/>
    </row>
    <row r="7" spans="1:12" s="167" customFormat="1" ht="17.25" thickTop="1" x14ac:dyDescent="0.25">
      <c r="C7" s="166"/>
      <c r="D7" s="166"/>
      <c r="E7" s="166"/>
      <c r="F7" s="166"/>
      <c r="G7" s="183"/>
      <c r="H7" s="151"/>
      <c r="I7" s="152"/>
      <c r="K7" s="162"/>
      <c r="L7" s="189"/>
    </row>
    <row r="8" spans="1:12" s="167" customFormat="1" x14ac:dyDescent="0.25">
      <c r="A8" s="157" t="s">
        <v>21</v>
      </c>
      <c r="B8" s="165"/>
      <c r="C8" s="166"/>
      <c r="D8" s="166"/>
      <c r="E8" s="166"/>
      <c r="F8" s="166"/>
      <c r="G8" s="183"/>
      <c r="H8" s="151"/>
      <c r="I8" s="152"/>
      <c r="K8" s="162"/>
      <c r="L8" s="189"/>
    </row>
    <row r="9" spans="1:12" s="167" customFormat="1" x14ac:dyDescent="0.25">
      <c r="A9" s="158" t="s">
        <v>38</v>
      </c>
      <c r="B9" s="158" t="s">
        <v>39</v>
      </c>
      <c r="C9" s="164">
        <v>67164.73</v>
      </c>
      <c r="D9" s="166" t="s">
        <v>24</v>
      </c>
      <c r="E9" s="166" t="s">
        <v>49</v>
      </c>
      <c r="F9" s="166"/>
      <c r="G9" s="183"/>
      <c r="H9" s="151"/>
      <c r="I9" s="152"/>
      <c r="K9" s="162"/>
      <c r="L9" s="189"/>
    </row>
    <row r="10" spans="1:12" s="167" customFormat="1" x14ac:dyDescent="0.25">
      <c r="A10" s="158"/>
      <c r="B10" s="158" t="s">
        <v>40</v>
      </c>
      <c r="C10" s="162">
        <v>345106.12</v>
      </c>
      <c r="D10" s="166" t="s">
        <v>24</v>
      </c>
      <c r="E10" s="166" t="s">
        <v>49</v>
      </c>
      <c r="F10" s="166"/>
      <c r="G10" s="183"/>
      <c r="H10" s="151"/>
      <c r="I10" s="152"/>
      <c r="K10" s="162"/>
      <c r="L10" s="189"/>
    </row>
    <row r="11" spans="1:12" s="167" customFormat="1" ht="17.25" thickBot="1" x14ac:dyDescent="0.3">
      <c r="B11" s="165"/>
      <c r="C11" s="160">
        <f>SUM(C9:C10)</f>
        <v>412270.85</v>
      </c>
      <c r="D11" s="159" t="s">
        <v>24</v>
      </c>
      <c r="E11" s="166"/>
      <c r="F11" s="166"/>
      <c r="G11" s="183"/>
      <c r="H11" s="151"/>
      <c r="I11" s="152"/>
      <c r="K11" s="162"/>
      <c r="L11" s="189"/>
    </row>
    <row r="12" spans="1:12" s="167" customFormat="1" ht="17.25" thickTop="1" x14ac:dyDescent="0.25">
      <c r="C12" s="166"/>
      <c r="D12" s="166"/>
      <c r="E12" s="166"/>
      <c r="F12" s="166"/>
      <c r="G12" s="183"/>
      <c r="H12" s="151"/>
      <c r="I12" s="152"/>
      <c r="K12" s="162"/>
      <c r="L12" s="189"/>
    </row>
    <row r="13" spans="1:12" ht="21.75" customHeight="1" x14ac:dyDescent="0.3">
      <c r="B13" s="60"/>
      <c r="C13" s="37"/>
      <c r="D13" s="132"/>
      <c r="E13" s="122"/>
      <c r="F13" s="119"/>
      <c r="G13" s="119"/>
      <c r="H13" s="119"/>
      <c r="I13" s="119"/>
      <c r="J13" s="119"/>
      <c r="K13" s="131"/>
      <c r="L13" s="131"/>
    </row>
    <row r="14" spans="1:12" ht="57.75" customHeight="1" x14ac:dyDescent="0.25">
      <c r="A14" s="55"/>
      <c r="B14" s="55"/>
      <c r="C14" s="56"/>
      <c r="D14" s="56"/>
      <c r="E14" s="56"/>
      <c r="F14" s="55"/>
      <c r="G14" s="57"/>
      <c r="H14" s="57"/>
      <c r="I14" s="57"/>
      <c r="J14" s="56"/>
    </row>
    <row r="15" spans="1:12" ht="21.75" customHeight="1" x14ac:dyDescent="0.25">
      <c r="A15" s="123"/>
      <c r="B15" s="43"/>
      <c r="D15" s="52"/>
      <c r="E15" s="52"/>
      <c r="G15" s="43"/>
      <c r="H15" s="43"/>
      <c r="I15" s="43"/>
      <c r="J15" s="52"/>
    </row>
    <row r="16" spans="1:12" ht="21.75" customHeight="1" x14ac:dyDescent="0.25">
      <c r="A16" s="123"/>
      <c r="B16" s="43"/>
      <c r="D16" s="52"/>
      <c r="E16" s="52"/>
      <c r="G16" s="43"/>
      <c r="H16" s="43"/>
      <c r="I16" s="43"/>
      <c r="J16" s="52"/>
    </row>
    <row r="17" spans="1:10" ht="21.75" customHeight="1" x14ac:dyDescent="0.25">
      <c r="A17" s="123"/>
      <c r="B17" s="43"/>
      <c r="D17" s="52"/>
      <c r="E17" s="52"/>
      <c r="G17" s="43"/>
      <c r="H17" s="43"/>
      <c r="I17" s="43"/>
      <c r="J17" s="52"/>
    </row>
    <row r="18" spans="1:10" ht="21.75" customHeight="1" x14ac:dyDescent="0.25">
      <c r="A18" s="123"/>
      <c r="B18" s="43"/>
      <c r="D18" s="52"/>
      <c r="E18" s="52"/>
      <c r="G18" s="43"/>
      <c r="H18" s="43"/>
      <c r="I18" s="43"/>
      <c r="J18" s="52"/>
    </row>
    <row r="19" spans="1:10" ht="21.75" customHeight="1" x14ac:dyDescent="0.25">
      <c r="A19" s="124"/>
      <c r="B19" s="59"/>
      <c r="C19" s="125"/>
      <c r="D19" s="126"/>
      <c r="E19" s="126"/>
      <c r="F19" s="125"/>
      <c r="G19" s="128"/>
      <c r="H19" s="128"/>
      <c r="I19" s="59"/>
      <c r="J19" s="126"/>
    </row>
    <row r="20" spans="1:10" ht="21.75" customHeight="1" x14ac:dyDescent="0.25">
      <c r="A20" s="124"/>
      <c r="B20" s="125"/>
      <c r="C20" s="125"/>
      <c r="D20" s="126"/>
      <c r="E20" s="126"/>
      <c r="F20" s="125"/>
      <c r="G20" s="128"/>
      <c r="H20" s="128"/>
      <c r="I20" s="128"/>
      <c r="J20" s="126"/>
    </row>
    <row r="21" spans="1:10" ht="21.75" customHeight="1" x14ac:dyDescent="0.3">
      <c r="A21" s="127"/>
      <c r="B21" s="60"/>
      <c r="D21" s="122"/>
      <c r="E21" s="122"/>
      <c r="F21" s="119"/>
      <c r="G21" s="119"/>
      <c r="H21" s="119"/>
      <c r="I21" s="119"/>
      <c r="J21" s="119"/>
    </row>
    <row r="22" spans="1:10" ht="21.75" customHeight="1" x14ac:dyDescent="0.25">
      <c r="A22" s="130"/>
      <c r="B22" s="130"/>
      <c r="D22" s="122"/>
      <c r="E22" s="122"/>
      <c r="F22" s="119"/>
      <c r="G22" s="119"/>
      <c r="H22" s="119"/>
      <c r="I22" s="119"/>
      <c r="J22" s="119"/>
    </row>
    <row r="23" spans="1:10" ht="21.75" customHeight="1" x14ac:dyDescent="0.25">
      <c r="B23" s="130"/>
      <c r="D23" s="122"/>
      <c r="E23" s="122"/>
      <c r="F23" s="119"/>
      <c r="G23" s="119"/>
      <c r="H23" s="119"/>
      <c r="I23" s="119"/>
      <c r="J23" s="119"/>
    </row>
    <row r="24" spans="1:10" ht="21.75" customHeight="1" x14ac:dyDescent="0.25">
      <c r="B24" s="130"/>
      <c r="D24" s="122"/>
      <c r="E24" s="122"/>
      <c r="F24" s="119"/>
      <c r="G24" s="119"/>
      <c r="H24" s="119"/>
      <c r="I24" s="119"/>
      <c r="J24" s="119"/>
    </row>
    <row r="25" spans="1:10" ht="21.75" customHeight="1" x14ac:dyDescent="0.3">
      <c r="B25" s="60"/>
      <c r="C25" s="37"/>
      <c r="D25" s="132"/>
      <c r="E25" s="122"/>
      <c r="F25" s="119"/>
      <c r="G25" s="119"/>
      <c r="H25" s="119"/>
      <c r="I25" s="119"/>
      <c r="J25" s="119"/>
    </row>
    <row r="28" spans="1:10" ht="21.75" customHeight="1" x14ac:dyDescent="0.25">
      <c r="A28" s="27"/>
      <c r="B28" s="27"/>
      <c r="C28" s="129"/>
      <c r="D28" s="129"/>
      <c r="E28" s="129"/>
      <c r="F28" s="129"/>
      <c r="J28" s="27"/>
    </row>
    <row r="29" spans="1:10" ht="21.75" customHeight="1" x14ac:dyDescent="0.3">
      <c r="A29" s="122"/>
      <c r="B29" s="60"/>
      <c r="C29" s="60"/>
      <c r="D29" s="122"/>
      <c r="E29" s="122"/>
      <c r="F29" s="60"/>
      <c r="G29" s="122"/>
      <c r="H29" s="119"/>
      <c r="I29" s="119"/>
      <c r="J29" s="119"/>
    </row>
    <row r="30" spans="1:10" ht="57.75" customHeight="1" x14ac:dyDescent="0.25">
      <c r="A30" s="55"/>
      <c r="B30" s="55"/>
      <c r="C30" s="56"/>
      <c r="D30" s="56"/>
      <c r="E30" s="56"/>
      <c r="F30" s="55"/>
      <c r="G30" s="57"/>
      <c r="H30" s="57"/>
      <c r="I30" s="57"/>
      <c r="J30" s="56"/>
    </row>
    <row r="31" spans="1:10" ht="21.75" customHeight="1" x14ac:dyDescent="0.25">
      <c r="A31" s="123"/>
      <c r="B31" s="43"/>
      <c r="D31" s="52"/>
      <c r="E31" s="52"/>
      <c r="G31" s="43"/>
      <c r="H31" s="43"/>
      <c r="I31" s="43"/>
      <c r="J31" s="52"/>
    </row>
    <row r="32" spans="1:10" ht="21.75" customHeight="1" x14ac:dyDescent="0.25">
      <c r="A32" s="123"/>
      <c r="B32" s="43"/>
      <c r="D32" s="52"/>
      <c r="E32" s="52"/>
      <c r="G32" s="43"/>
      <c r="H32" s="43"/>
      <c r="I32" s="43"/>
      <c r="J32" s="52"/>
    </row>
    <row r="33" spans="1:10" ht="21.75" customHeight="1" x14ac:dyDescent="0.25">
      <c r="A33" s="123"/>
      <c r="B33" s="43"/>
      <c r="D33" s="52"/>
      <c r="E33" s="52"/>
      <c r="G33" s="43"/>
      <c r="H33" s="43"/>
      <c r="I33" s="43"/>
      <c r="J33" s="52"/>
    </row>
    <row r="34" spans="1:10" ht="21.75" customHeight="1" x14ac:dyDescent="0.25">
      <c r="A34" s="124"/>
      <c r="B34" s="59"/>
      <c r="C34" s="125"/>
      <c r="D34" s="126"/>
      <c r="E34" s="126"/>
      <c r="F34" s="125"/>
      <c r="G34" s="128"/>
      <c r="H34" s="128"/>
      <c r="I34" s="59"/>
      <c r="J34" s="126"/>
    </row>
    <row r="35" spans="1:10" ht="21.75" customHeight="1" x14ac:dyDescent="0.25">
      <c r="A35" s="124"/>
      <c r="B35" s="125"/>
      <c r="C35" s="125"/>
      <c r="D35" s="126"/>
      <c r="E35" s="126"/>
      <c r="F35" s="125"/>
      <c r="G35" s="128"/>
      <c r="H35" s="128"/>
      <c r="I35" s="128"/>
      <c r="J35" s="126"/>
    </row>
    <row r="36" spans="1:10" ht="21.75" customHeight="1" x14ac:dyDescent="0.3">
      <c r="A36" s="127"/>
      <c r="B36" s="60"/>
      <c r="D36" s="122"/>
      <c r="E36" s="122"/>
      <c r="F36" s="119"/>
      <c r="G36" s="119"/>
      <c r="H36" s="119"/>
      <c r="I36" s="119"/>
      <c r="J36" s="119"/>
    </row>
    <row r="37" spans="1:10" ht="21.75" customHeight="1" x14ac:dyDescent="0.25">
      <c r="A37" s="130"/>
      <c r="B37" s="130"/>
      <c r="D37" s="122"/>
      <c r="E37" s="122"/>
      <c r="F37" s="119"/>
      <c r="G37" s="119"/>
      <c r="H37" s="119"/>
      <c r="I37" s="119"/>
      <c r="J37" s="119"/>
    </row>
    <row r="38" spans="1:10" ht="21.75" customHeight="1" x14ac:dyDescent="0.25">
      <c r="B38" s="130"/>
      <c r="D38" s="122"/>
      <c r="E38" s="122"/>
      <c r="F38" s="119"/>
      <c r="G38" s="119"/>
      <c r="H38" s="119"/>
      <c r="I38" s="119"/>
      <c r="J38" s="119"/>
    </row>
    <row r="39" spans="1:10" ht="21.75" customHeight="1" x14ac:dyDescent="0.25">
      <c r="B39" s="130"/>
      <c r="D39" s="122"/>
      <c r="E39" s="122"/>
      <c r="F39" s="119"/>
      <c r="G39" s="119"/>
      <c r="H39" s="119"/>
      <c r="I39" s="119"/>
      <c r="J39" s="119"/>
    </row>
    <row r="40" spans="1:10" ht="21.75" customHeight="1" x14ac:dyDescent="0.3">
      <c r="B40" s="60"/>
      <c r="C40" s="37"/>
      <c r="D40" s="132"/>
      <c r="E40" s="122"/>
      <c r="F40" s="119"/>
      <c r="G40" s="119"/>
      <c r="H40" s="119"/>
      <c r="I40" s="119"/>
      <c r="J40" s="119"/>
    </row>
  </sheetData>
  <printOptions horizontalCentered="1"/>
  <pageMargins left="0.3" right="0.3" top="0.7" bottom="0.7" header="0.3" footer="0.3"/>
  <pageSetup scale="53" fitToHeight="0" orientation="landscape" verticalDpi="200" r:id="rId1"/>
  <headerFooter>
    <oddHeader>&amp;F</oddHeader>
    <oddFooter>&amp;A&amp;RPage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22" zoomScaleNormal="100" workbookViewId="0">
      <selection activeCell="D30" sqref="D30"/>
    </sheetView>
  </sheetViews>
  <sheetFormatPr defaultColWidth="13.85546875" defaultRowHeight="20.100000000000001" customHeight="1" x14ac:dyDescent="0.25"/>
  <cols>
    <col min="1" max="1" width="25.140625" style="18" customWidth="1"/>
    <col min="2" max="2" width="20.7109375" style="18" customWidth="1"/>
    <col min="3" max="3" width="20.7109375" style="21" customWidth="1"/>
    <col min="4" max="5" width="20.7109375" style="19" customWidth="1"/>
    <col min="6" max="6" width="20.7109375" style="21" customWidth="1"/>
    <col min="7" max="7" width="20.7109375" style="19" customWidth="1"/>
    <col min="8" max="8" width="20.7109375" style="20" customWidth="1"/>
    <col min="9" max="10" width="20.7109375" style="25" customWidth="1"/>
    <col min="11" max="16384" width="13.85546875" style="18"/>
  </cols>
  <sheetData>
    <row r="1" spans="1:12" s="167" customFormat="1" ht="20.100000000000001" customHeight="1" x14ac:dyDescent="0.25">
      <c r="A1" s="535" t="s">
        <v>229</v>
      </c>
      <c r="B1" s="535"/>
      <c r="C1" s="535"/>
      <c r="D1" s="535"/>
      <c r="E1" s="535"/>
      <c r="F1" s="535"/>
      <c r="G1" s="535"/>
      <c r="H1" s="535"/>
      <c r="I1" s="535"/>
      <c r="J1" s="535"/>
    </row>
    <row r="2" spans="1:12" s="167" customFormat="1" ht="20.100000000000001" customHeight="1" thickBot="1" x14ac:dyDescent="0.3">
      <c r="A2" s="536"/>
      <c r="B2" s="536"/>
      <c r="C2" s="536"/>
      <c r="D2" s="536"/>
      <c r="E2" s="536"/>
      <c r="F2" s="536"/>
      <c r="G2" s="536"/>
      <c r="H2" s="536"/>
      <c r="I2" s="536"/>
      <c r="J2" s="536"/>
    </row>
    <row r="3" spans="1:12" s="167" customFormat="1" ht="50.25" thickBot="1" x14ac:dyDescent="0.3">
      <c r="A3" s="169" t="s">
        <v>230</v>
      </c>
      <c r="B3" s="170" t="s">
        <v>12</v>
      </c>
      <c r="C3" s="171" t="s">
        <v>231</v>
      </c>
      <c r="D3" s="171" t="s">
        <v>13</v>
      </c>
      <c r="E3" s="171" t="s">
        <v>14</v>
      </c>
      <c r="F3" s="170" t="s">
        <v>15</v>
      </c>
      <c r="G3" s="150" t="s">
        <v>16</v>
      </c>
      <c r="H3" s="476" t="s">
        <v>17</v>
      </c>
      <c r="I3" s="150" t="s">
        <v>18</v>
      </c>
      <c r="J3" s="171" t="s">
        <v>19</v>
      </c>
    </row>
    <row r="4" spans="1:12" s="167" customFormat="1" ht="20.100000000000001" customHeight="1" x14ac:dyDescent="0.25">
      <c r="A4" s="172" t="s">
        <v>22</v>
      </c>
      <c r="B4" s="174">
        <v>872578.5</v>
      </c>
      <c r="C4" s="477">
        <v>519860.92</v>
      </c>
      <c r="D4" s="173"/>
      <c r="E4" s="173">
        <v>0</v>
      </c>
      <c r="F4" s="478">
        <f>B4+C4</f>
        <v>1392439.42</v>
      </c>
      <c r="G4" s="173">
        <v>0</v>
      </c>
      <c r="H4" s="173">
        <f>G4/F4*100</f>
        <v>0</v>
      </c>
      <c r="I4" s="174">
        <f>F4-G4</f>
        <v>1392439.42</v>
      </c>
      <c r="J4" s="478">
        <f>I4/F4*100</f>
        <v>100</v>
      </c>
      <c r="L4" s="192"/>
    </row>
    <row r="5" spans="1:12" s="167" customFormat="1" ht="20.100000000000001" customHeight="1" thickBot="1" x14ac:dyDescent="0.3">
      <c r="A5" s="176" t="s">
        <v>23</v>
      </c>
      <c r="B5" s="197"/>
      <c r="C5" s="479">
        <v>57509.31</v>
      </c>
      <c r="D5" s="177">
        <v>4591.01</v>
      </c>
      <c r="E5" s="177"/>
      <c r="F5" s="177">
        <f>B5+C5-D5-E5</f>
        <v>52918.299999999996</v>
      </c>
      <c r="G5" s="177">
        <v>33797.519999999997</v>
      </c>
      <c r="H5" s="177">
        <f>G5/F5*100</f>
        <v>63.867357794940503</v>
      </c>
      <c r="I5" s="197">
        <f>F5-G5</f>
        <v>19120.78</v>
      </c>
      <c r="J5" s="447">
        <f>I5/F5*100</f>
        <v>36.132642205059504</v>
      </c>
      <c r="L5" s="192"/>
    </row>
    <row r="6" spans="1:12" s="167" customFormat="1" ht="20.100000000000001" customHeight="1" thickTop="1" thickBot="1" x14ac:dyDescent="0.3">
      <c r="A6" s="199" t="s">
        <v>20</v>
      </c>
      <c r="B6" s="201">
        <f t="shared" ref="B6:D6" si="0">SUM(B4:B5)</f>
        <v>872578.5</v>
      </c>
      <c r="C6" s="201">
        <f t="shared" si="0"/>
        <v>577370.23</v>
      </c>
      <c r="D6" s="480">
        <f t="shared" si="0"/>
        <v>4591.01</v>
      </c>
      <c r="E6" s="480">
        <f>SUM(E4:E5)</f>
        <v>0</v>
      </c>
      <c r="F6" s="480">
        <f>SUM(F4:F5)</f>
        <v>1445357.72</v>
      </c>
      <c r="G6" s="201">
        <f>SUM(G4:G5)</f>
        <v>33797.519999999997</v>
      </c>
      <c r="H6" s="480">
        <f>G6/F6*100</f>
        <v>2.3383498446322339</v>
      </c>
      <c r="I6" s="480">
        <f>SUM(I4:I5)</f>
        <v>1411560.2</v>
      </c>
      <c r="J6" s="480">
        <f t="shared" ref="J6" si="1">I6/F6*100</f>
        <v>97.661650155367767</v>
      </c>
      <c r="L6" s="182"/>
    </row>
    <row r="7" spans="1:12" s="167" customFormat="1" ht="20.100000000000001" customHeight="1" thickTop="1" x14ac:dyDescent="0.25">
      <c r="A7" s="157"/>
      <c r="B7" s="367"/>
      <c r="C7" s="481"/>
      <c r="D7" s="166"/>
      <c r="E7" s="166"/>
      <c r="F7" s="367"/>
      <c r="G7" s="367"/>
      <c r="H7" s="183"/>
      <c r="I7" s="482"/>
      <c r="J7" s="183"/>
    </row>
    <row r="8" spans="1:12" s="179" customFormat="1" ht="20.100000000000001" customHeight="1" x14ac:dyDescent="0.25">
      <c r="A8" s="483" t="s">
        <v>38</v>
      </c>
      <c r="B8" s="167"/>
      <c r="C8" s="167"/>
      <c r="D8" s="167"/>
      <c r="E8" s="167"/>
      <c r="F8" s="167"/>
      <c r="G8" s="167"/>
      <c r="H8" s="167"/>
      <c r="I8" s="152"/>
      <c r="J8" s="167"/>
    </row>
    <row r="9" spans="1:12" s="167" customFormat="1" ht="20.100000000000001" customHeight="1" x14ac:dyDescent="0.25">
      <c r="A9" s="273"/>
      <c r="B9" s="484" t="s">
        <v>22</v>
      </c>
      <c r="I9" s="152"/>
    </row>
    <row r="10" spans="1:12" s="167" customFormat="1" ht="20.100000000000001" customHeight="1" x14ac:dyDescent="0.25">
      <c r="A10" s="273"/>
      <c r="B10" s="158" t="s">
        <v>232</v>
      </c>
      <c r="C10" s="166">
        <f>128031.11+139022.35-6240.03-14420.63-14250.52-34810.02-14420.63</f>
        <v>182911.63000000003</v>
      </c>
      <c r="D10" s="166" t="s">
        <v>24</v>
      </c>
      <c r="E10" s="166" t="s">
        <v>233</v>
      </c>
      <c r="F10" s="166"/>
      <c r="G10" s="183"/>
      <c r="H10" s="151"/>
      <c r="I10" s="152"/>
    </row>
    <row r="11" spans="1:12" s="167" customFormat="1" ht="20.100000000000001" customHeight="1" x14ac:dyDescent="0.25">
      <c r="A11" s="273"/>
      <c r="B11" s="158" t="s">
        <v>234</v>
      </c>
      <c r="C11" s="166">
        <f>34810+48458.74+14156.5+158741.48</f>
        <v>256166.72</v>
      </c>
      <c r="D11" s="166" t="s">
        <v>24</v>
      </c>
      <c r="E11" s="166" t="s">
        <v>233</v>
      </c>
      <c r="F11" s="166"/>
      <c r="G11" s="183"/>
      <c r="H11" s="151"/>
      <c r="I11" s="152"/>
    </row>
    <row r="12" spans="1:12" s="167" customFormat="1" ht="20.100000000000001" customHeight="1" x14ac:dyDescent="0.25">
      <c r="A12" s="273"/>
      <c r="B12" s="158" t="s">
        <v>235</v>
      </c>
      <c r="C12" s="166">
        <f>64745.17+25852.93+155924.02-25852.93+105412.34</f>
        <v>326081.53000000003</v>
      </c>
      <c r="D12" s="166" t="s">
        <v>24</v>
      </c>
      <c r="E12" s="166" t="s">
        <v>233</v>
      </c>
      <c r="F12" s="166"/>
      <c r="G12" s="183"/>
      <c r="H12" s="151"/>
      <c r="I12" s="152"/>
    </row>
    <row r="13" spans="1:12" s="167" customFormat="1" ht="20.100000000000001" customHeight="1" x14ac:dyDescent="0.25">
      <c r="A13" s="273"/>
      <c r="B13" s="158" t="s">
        <v>236</v>
      </c>
      <c r="C13" s="166">
        <f>175156.37+16891.97+36172.26+224202.61-72558.34-8292.43+252330.88</f>
        <v>623903.32000000007</v>
      </c>
      <c r="D13" s="166" t="s">
        <v>24</v>
      </c>
      <c r="E13" s="166" t="s">
        <v>233</v>
      </c>
      <c r="F13" s="166"/>
      <c r="G13" s="183"/>
      <c r="H13" s="151"/>
      <c r="I13" s="152"/>
    </row>
    <row r="14" spans="1:12" s="167" customFormat="1" ht="20.100000000000001" customHeight="1" x14ac:dyDescent="0.25">
      <c r="A14" s="273"/>
      <c r="B14" s="158" t="s">
        <v>237</v>
      </c>
      <c r="C14" s="166">
        <v>3376.22</v>
      </c>
      <c r="D14" s="166" t="s">
        <v>24</v>
      </c>
      <c r="E14" s="166" t="s">
        <v>238</v>
      </c>
      <c r="F14" s="166"/>
      <c r="G14" s="183"/>
      <c r="H14" s="151"/>
      <c r="I14" s="152"/>
    </row>
    <row r="15" spans="1:12" s="167" customFormat="1" ht="20.100000000000001" customHeight="1" thickBot="1" x14ac:dyDescent="0.3">
      <c r="A15" s="273"/>
      <c r="B15" s="158"/>
      <c r="C15" s="485">
        <f>SUM(C10:C13)</f>
        <v>1389063.2000000002</v>
      </c>
      <c r="D15" s="166" t="s">
        <v>24</v>
      </c>
      <c r="E15" s="166"/>
      <c r="F15" s="166"/>
      <c r="G15" s="183"/>
      <c r="H15" s="151"/>
      <c r="I15" s="152"/>
    </row>
    <row r="16" spans="1:12" s="167" customFormat="1" ht="20.100000000000001" customHeight="1" thickTop="1" x14ac:dyDescent="0.25">
      <c r="A16" s="273"/>
      <c r="B16" s="486" t="s">
        <v>23</v>
      </c>
      <c r="C16" s="166"/>
      <c r="D16" s="166"/>
      <c r="F16" s="166"/>
      <c r="G16" s="183"/>
      <c r="H16" s="151"/>
      <c r="I16" s="152"/>
    </row>
    <row r="17" spans="1:12" s="167" customFormat="1" ht="20.100000000000001" customHeight="1" x14ac:dyDescent="0.25">
      <c r="A17" s="273"/>
      <c r="B17" s="487" t="s">
        <v>239</v>
      </c>
      <c r="C17" s="166">
        <v>19120.78</v>
      </c>
      <c r="D17" s="166" t="s">
        <v>24</v>
      </c>
      <c r="E17" s="167" t="s">
        <v>240</v>
      </c>
      <c r="F17" s="166"/>
      <c r="G17" s="183"/>
      <c r="H17" s="151"/>
      <c r="I17" s="152"/>
    </row>
    <row r="18" spans="1:12" s="167" customFormat="1" ht="20.100000000000001" customHeight="1" x14ac:dyDescent="0.25">
      <c r="A18" s="488" t="s">
        <v>21</v>
      </c>
      <c r="B18" s="27" t="s">
        <v>241</v>
      </c>
      <c r="C18" s="27"/>
      <c r="D18" s="166"/>
      <c r="F18" s="166"/>
      <c r="G18" s="183"/>
      <c r="H18" s="151"/>
      <c r="I18" s="152"/>
    </row>
    <row r="19" spans="1:12" s="167" customFormat="1" ht="20.100000000000001" customHeight="1" x14ac:dyDescent="0.25">
      <c r="A19" s="273"/>
      <c r="B19" s="489" t="s">
        <v>242</v>
      </c>
      <c r="C19" s="166"/>
      <c r="D19" s="166"/>
      <c r="F19" s="166"/>
      <c r="G19" s="183"/>
      <c r="H19" s="151"/>
      <c r="I19" s="152"/>
    </row>
    <row r="20" spans="1:12" s="167" customFormat="1" ht="20.100000000000001" customHeight="1" x14ac:dyDescent="0.25">
      <c r="C20" s="166"/>
      <c r="D20" s="183"/>
      <c r="E20" s="183"/>
      <c r="F20" s="166"/>
      <c r="G20" s="183"/>
      <c r="H20" s="151"/>
      <c r="I20" s="152"/>
      <c r="J20" s="152"/>
    </row>
    <row r="21" spans="1:12" s="167" customFormat="1" ht="20.100000000000001" customHeight="1" x14ac:dyDescent="0.25">
      <c r="A21" s="535" t="s">
        <v>277</v>
      </c>
      <c r="B21" s="535"/>
      <c r="C21" s="535"/>
      <c r="D21" s="535"/>
      <c r="E21" s="535"/>
      <c r="F21" s="535"/>
      <c r="G21" s="535"/>
      <c r="H21" s="535"/>
      <c r="I21" s="535"/>
      <c r="J21" s="535"/>
    </row>
    <row r="22" spans="1:12" s="167" customFormat="1" ht="20.100000000000001" customHeight="1" thickBot="1" x14ac:dyDescent="0.3">
      <c r="A22" s="536"/>
      <c r="B22" s="536"/>
      <c r="C22" s="536"/>
      <c r="D22" s="536"/>
      <c r="E22" s="536"/>
      <c r="F22" s="536"/>
      <c r="G22" s="536"/>
      <c r="H22" s="536"/>
      <c r="I22" s="536"/>
      <c r="J22" s="536"/>
    </row>
    <row r="23" spans="1:12" s="167" customFormat="1" ht="50.25" thickBot="1" x14ac:dyDescent="0.3">
      <c r="A23" s="169" t="s">
        <v>278</v>
      </c>
      <c r="B23" s="170" t="s">
        <v>12</v>
      </c>
      <c r="C23" s="171" t="s">
        <v>279</v>
      </c>
      <c r="D23" s="171" t="s">
        <v>13</v>
      </c>
      <c r="E23" s="171" t="s">
        <v>14</v>
      </c>
      <c r="F23" s="170" t="s">
        <v>15</v>
      </c>
      <c r="G23" s="150" t="s">
        <v>16</v>
      </c>
      <c r="H23" s="476" t="s">
        <v>17</v>
      </c>
      <c r="I23" s="150" t="s">
        <v>18</v>
      </c>
      <c r="J23" s="171" t="s">
        <v>19</v>
      </c>
    </row>
    <row r="24" spans="1:12" s="167" customFormat="1" ht="20.100000000000001" customHeight="1" x14ac:dyDescent="0.25">
      <c r="A24" s="172" t="s">
        <v>22</v>
      </c>
      <c r="B24" s="174">
        <v>1392439.42</v>
      </c>
      <c r="C24" s="477">
        <v>491290.74</v>
      </c>
      <c r="D24" s="173"/>
      <c r="E24" s="173">
        <v>0</v>
      </c>
      <c r="F24" s="478">
        <f>B24+C24</f>
        <v>1883730.16</v>
      </c>
      <c r="G24" s="173">
        <v>0</v>
      </c>
      <c r="H24" s="173">
        <f>G24/F24*100</f>
        <v>0</v>
      </c>
      <c r="I24" s="174">
        <f>F24</f>
        <v>1883730.16</v>
      </c>
      <c r="J24" s="478">
        <f>I24/F24*100</f>
        <v>100</v>
      </c>
      <c r="L24" s="192"/>
    </row>
    <row r="25" spans="1:12" s="167" customFormat="1" ht="20.100000000000001" customHeight="1" thickBot="1" x14ac:dyDescent="0.3">
      <c r="A25" s="176" t="s">
        <v>23</v>
      </c>
      <c r="B25" s="197">
        <v>19120.78</v>
      </c>
      <c r="C25" s="479">
        <v>46886.67</v>
      </c>
      <c r="D25" s="177">
        <v>2662.16</v>
      </c>
      <c r="E25" s="177"/>
      <c r="F25" s="177">
        <f>B25+C25-D25-E25</f>
        <v>63345.289999999994</v>
      </c>
      <c r="G25" s="177">
        <v>27732.080000000002</v>
      </c>
      <c r="H25" s="177">
        <f>G25/F25*100</f>
        <v>43.779229679112689</v>
      </c>
      <c r="I25" s="197">
        <f>F25-G25</f>
        <v>35613.209999999992</v>
      </c>
      <c r="J25" s="447">
        <f>I25/F25*100</f>
        <v>56.220770320887304</v>
      </c>
      <c r="L25" s="192"/>
    </row>
    <row r="26" spans="1:12" s="167" customFormat="1" ht="20.100000000000001" customHeight="1" thickTop="1" thickBot="1" x14ac:dyDescent="0.3">
      <c r="A26" s="199" t="s">
        <v>20</v>
      </c>
      <c r="B26" s="201">
        <f t="shared" ref="B26:D26" si="2">SUM(B24:B25)</f>
        <v>1411560.2</v>
      </c>
      <c r="C26" s="201">
        <f t="shared" si="2"/>
        <v>538177.41</v>
      </c>
      <c r="D26" s="480">
        <f t="shared" si="2"/>
        <v>2662.16</v>
      </c>
      <c r="E26" s="480">
        <f>SUM(E24:E25)</f>
        <v>0</v>
      </c>
      <c r="F26" s="480">
        <f>SUM(F24:F25)</f>
        <v>1947075.45</v>
      </c>
      <c r="G26" s="201">
        <f>SUM(G24:G25)</f>
        <v>27732.080000000002</v>
      </c>
      <c r="H26" s="480">
        <f>G26/F26*100</f>
        <v>1.4242940611263937</v>
      </c>
      <c r="I26" s="480">
        <f>SUM(I24:I25)</f>
        <v>1919343.3699999999</v>
      </c>
      <c r="J26" s="480">
        <f t="shared" ref="J26" si="3">I26/F26*100</f>
        <v>98.575705938873597</v>
      </c>
      <c r="L26" s="182"/>
    </row>
    <row r="27" spans="1:12" s="167" customFormat="1" ht="20.100000000000001" customHeight="1" thickTop="1" x14ac:dyDescent="0.25">
      <c r="A27" s="157"/>
      <c r="B27" s="367"/>
      <c r="C27" s="481"/>
      <c r="D27" s="166"/>
      <c r="E27" s="166"/>
      <c r="F27" s="367"/>
      <c r="G27" s="367"/>
      <c r="H27" s="183"/>
      <c r="I27" s="482"/>
      <c r="J27" s="183"/>
    </row>
    <row r="28" spans="1:12" s="179" customFormat="1" ht="20.100000000000001" customHeight="1" x14ac:dyDescent="0.25">
      <c r="A28" s="483" t="s">
        <v>38</v>
      </c>
      <c r="B28" s="167"/>
      <c r="C28" s="167"/>
      <c r="D28" s="167"/>
      <c r="E28" s="167"/>
      <c r="F28" s="167"/>
      <c r="G28" s="167"/>
      <c r="H28" s="167"/>
      <c r="I28" s="152"/>
      <c r="J28" s="167"/>
    </row>
    <row r="29" spans="1:12" s="167" customFormat="1" ht="20.100000000000001" customHeight="1" x14ac:dyDescent="0.25">
      <c r="A29" s="273"/>
      <c r="B29" s="484" t="s">
        <v>22</v>
      </c>
      <c r="I29" s="152"/>
    </row>
    <row r="30" spans="1:12" s="167" customFormat="1" ht="20.100000000000001" customHeight="1" x14ac:dyDescent="0.25">
      <c r="A30" s="273"/>
      <c r="B30" s="158" t="s">
        <v>232</v>
      </c>
      <c r="C30" s="166">
        <f>128031.11+139022.35-6240.03-14420.63-14250.52-34810.02-14420.63+267930.6</f>
        <v>450842.23</v>
      </c>
      <c r="D30" s="166" t="s">
        <v>24</v>
      </c>
      <c r="E30" s="166" t="s">
        <v>281</v>
      </c>
      <c r="F30" s="166"/>
      <c r="G30" s="183"/>
      <c r="H30" s="151"/>
      <c r="I30" s="152"/>
    </row>
    <row r="31" spans="1:12" s="167" customFormat="1" ht="20.100000000000001" customHeight="1" x14ac:dyDescent="0.25">
      <c r="A31" s="273"/>
      <c r="B31" s="158" t="s">
        <v>234</v>
      </c>
      <c r="C31" s="166">
        <f>34810+48458.74+14156.5+158741.48</f>
        <v>256166.72</v>
      </c>
      <c r="D31" s="166" t="s">
        <v>24</v>
      </c>
      <c r="E31" s="166" t="s">
        <v>281</v>
      </c>
      <c r="F31" s="166"/>
      <c r="G31" s="183"/>
      <c r="H31" s="151"/>
      <c r="I31" s="152"/>
    </row>
    <row r="32" spans="1:12" s="167" customFormat="1" ht="20.100000000000001" customHeight="1" x14ac:dyDescent="0.25">
      <c r="A32" s="273"/>
      <c r="B32" s="158" t="s">
        <v>235</v>
      </c>
      <c r="C32" s="166">
        <f>64745.17+25852.93+155924.02-25852.93+105412.34+151404.67</f>
        <v>477486.20000000007</v>
      </c>
      <c r="D32" s="166" t="s">
        <v>24</v>
      </c>
      <c r="E32" s="166" t="s">
        <v>281</v>
      </c>
      <c r="F32" s="166"/>
      <c r="G32" s="183"/>
      <c r="H32" s="151"/>
      <c r="I32" s="152"/>
    </row>
    <row r="33" spans="1:9" s="167" customFormat="1" ht="20.100000000000001" customHeight="1" x14ac:dyDescent="0.25">
      <c r="A33" s="273"/>
      <c r="B33" s="158" t="s">
        <v>236</v>
      </c>
      <c r="C33" s="166">
        <f>175156.37+16891.97+36172.26+224202.61-72558.34-8292.43+252330.88+71955.47</f>
        <v>695858.79</v>
      </c>
      <c r="D33" s="166" t="s">
        <v>24</v>
      </c>
      <c r="E33" s="166" t="s">
        <v>281</v>
      </c>
      <c r="F33" s="166"/>
      <c r="G33" s="183"/>
      <c r="H33" s="151"/>
      <c r="I33" s="152"/>
    </row>
    <row r="34" spans="1:9" s="167" customFormat="1" ht="20.100000000000001" customHeight="1" x14ac:dyDescent="0.25">
      <c r="A34" s="273"/>
      <c r="B34" s="158" t="s">
        <v>237</v>
      </c>
      <c r="C34" s="166">
        <v>3376.22</v>
      </c>
      <c r="D34" s="166" t="s">
        <v>24</v>
      </c>
      <c r="E34" s="166" t="s">
        <v>238</v>
      </c>
      <c r="F34" s="166"/>
      <c r="G34" s="183"/>
      <c r="H34" s="151"/>
      <c r="I34" s="152"/>
    </row>
    <row r="35" spans="1:9" s="167" customFormat="1" ht="20.100000000000001" customHeight="1" thickBot="1" x14ac:dyDescent="0.3">
      <c r="A35" s="273"/>
      <c r="B35" s="158"/>
      <c r="C35" s="485">
        <f>SUM(C30:C34)</f>
        <v>1883730.16</v>
      </c>
      <c r="D35" s="166" t="s">
        <v>24</v>
      </c>
      <c r="E35" s="166"/>
      <c r="F35" s="166"/>
      <c r="G35" s="183"/>
      <c r="H35" s="151"/>
      <c r="I35" s="152"/>
    </row>
    <row r="36" spans="1:9" s="167" customFormat="1" ht="20.100000000000001" customHeight="1" thickTop="1" x14ac:dyDescent="0.25">
      <c r="A36" s="273"/>
      <c r="B36" s="486" t="s">
        <v>23</v>
      </c>
      <c r="C36" s="166"/>
      <c r="D36" s="166"/>
      <c r="F36" s="166"/>
      <c r="G36" s="183"/>
      <c r="H36" s="151"/>
      <c r="I36" s="152"/>
    </row>
    <row r="37" spans="1:9" s="167" customFormat="1" ht="20.100000000000001" customHeight="1" x14ac:dyDescent="0.25">
      <c r="A37" s="273"/>
      <c r="B37" s="487" t="s">
        <v>239</v>
      </c>
      <c r="C37" s="166">
        <v>35613.21</v>
      </c>
      <c r="D37" s="166" t="s">
        <v>24</v>
      </c>
      <c r="E37" s="167" t="s">
        <v>280</v>
      </c>
      <c r="F37" s="166"/>
      <c r="G37" s="183"/>
      <c r="H37" s="151"/>
      <c r="I37" s="152"/>
    </row>
    <row r="38" spans="1:9" s="167" customFormat="1" ht="20.100000000000001" customHeight="1" x14ac:dyDescent="0.25">
      <c r="A38" s="488" t="s">
        <v>21</v>
      </c>
      <c r="B38" s="27" t="s">
        <v>241</v>
      </c>
      <c r="C38" s="27"/>
      <c r="D38" s="166"/>
      <c r="F38" s="166"/>
      <c r="G38" s="183"/>
      <c r="H38" s="151"/>
      <c r="I38" s="152"/>
    </row>
    <row r="39" spans="1:9" s="167" customFormat="1" ht="20.100000000000001" customHeight="1" x14ac:dyDescent="0.25">
      <c r="A39" s="273"/>
      <c r="B39" s="489" t="s">
        <v>282</v>
      </c>
      <c r="C39" s="166"/>
      <c r="D39" s="166"/>
      <c r="F39" s="166"/>
      <c r="G39" s="183"/>
      <c r="H39" s="151"/>
      <c r="I39" s="152"/>
    </row>
  </sheetData>
  <mergeCells count="2">
    <mergeCell ref="A1:J2"/>
    <mergeCell ref="A21:J22"/>
  </mergeCells>
  <printOptions horizontalCentered="1"/>
  <pageMargins left="0.3" right="0.3" top="0.7" bottom="0.7" header="0.3" footer="0.3"/>
  <pageSetup scale="61" fitToHeight="0" orientation="landscape" verticalDpi="180" r:id="rId1"/>
  <headerFooter>
    <oddHeader>&amp;F</oddHeader>
    <oddFooter>&amp;A&amp;RPage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zoomScaleNormal="100" workbookViewId="0">
      <selection activeCell="E21" sqref="E21"/>
    </sheetView>
  </sheetViews>
  <sheetFormatPr defaultColWidth="37.5703125" defaultRowHeight="20.100000000000001" customHeight="1" x14ac:dyDescent="0.25"/>
  <cols>
    <col min="1" max="1" width="26" style="18" customWidth="1"/>
    <col min="2" max="3" width="20.7109375" style="18" customWidth="1"/>
    <col min="4" max="8" width="20.7109375" style="21" customWidth="1"/>
    <col min="9" max="9" width="20.7109375" style="22" customWidth="1"/>
    <col min="10" max="10" width="20.7109375" style="18" customWidth="1"/>
    <col min="11" max="16384" width="37.5703125" style="18"/>
  </cols>
  <sheetData>
    <row r="1" spans="1:11" s="211" customFormat="1" ht="16.5" x14ac:dyDescent="0.3">
      <c r="A1" s="535" t="s">
        <v>67</v>
      </c>
      <c r="B1" s="535"/>
      <c r="C1" s="535"/>
      <c r="D1" s="535"/>
      <c r="E1" s="535"/>
      <c r="F1" s="535"/>
      <c r="G1" s="535"/>
      <c r="H1" s="535"/>
      <c r="I1" s="535"/>
      <c r="J1" s="535"/>
      <c r="K1" s="217"/>
    </row>
    <row r="2" spans="1:11" s="211" customFormat="1" ht="16.5" x14ac:dyDescent="0.3">
      <c r="A2" s="167"/>
      <c r="B2" s="167"/>
      <c r="C2" s="189"/>
      <c r="D2" s="166"/>
      <c r="E2" s="166"/>
      <c r="F2" s="166"/>
      <c r="G2" s="166"/>
      <c r="H2" s="166"/>
      <c r="I2" s="168"/>
      <c r="J2" s="167"/>
      <c r="K2" s="217"/>
    </row>
    <row r="3" spans="1:11" s="211" customFormat="1" ht="33" x14ac:dyDescent="0.3">
      <c r="A3" s="255" t="s">
        <v>68</v>
      </c>
      <c r="B3" s="256" t="s">
        <v>69</v>
      </c>
      <c r="C3" s="257" t="s">
        <v>70</v>
      </c>
      <c r="D3" s="256" t="s">
        <v>71</v>
      </c>
      <c r="E3" s="256" t="s">
        <v>72</v>
      </c>
      <c r="F3" s="256" t="s">
        <v>73</v>
      </c>
      <c r="G3" s="256" t="s">
        <v>16</v>
      </c>
      <c r="H3" s="256" t="s">
        <v>74</v>
      </c>
      <c r="I3" s="256" t="s">
        <v>18</v>
      </c>
      <c r="J3" s="256" t="s">
        <v>75</v>
      </c>
      <c r="K3" s="217"/>
    </row>
    <row r="4" spans="1:11" s="211" customFormat="1" ht="16.5" x14ac:dyDescent="0.3">
      <c r="A4" s="258" t="s">
        <v>22</v>
      </c>
      <c r="B4" s="259">
        <v>3642956.7100000083</v>
      </c>
      <c r="C4" s="260">
        <f>41701431.89-166297.44</f>
        <v>41535134.450000003</v>
      </c>
      <c r="D4" s="261">
        <v>5017037.18</v>
      </c>
      <c r="E4" s="261">
        <f>1135.32+130696.41</f>
        <v>131831.73000000001</v>
      </c>
      <c r="F4" s="259">
        <f>B4+C4-D4-E4</f>
        <v>40029222.250000015</v>
      </c>
      <c r="G4" s="259">
        <f>39492749.07-D4-E4</f>
        <v>34343880.160000004</v>
      </c>
      <c r="H4" s="259">
        <f>+G4/F4*100</f>
        <v>85.797020850186485</v>
      </c>
      <c r="I4" s="259">
        <f>F4-G4</f>
        <v>5685342.090000011</v>
      </c>
      <c r="J4" s="259">
        <f>+I4/F4*100</f>
        <v>14.202979149813505</v>
      </c>
      <c r="K4" s="217"/>
    </row>
    <row r="5" spans="1:11" s="211" customFormat="1" ht="17.25" thickBot="1" x14ac:dyDescent="0.35">
      <c r="A5" s="262" t="s">
        <v>76</v>
      </c>
      <c r="B5" s="263">
        <v>9451753.4100000001</v>
      </c>
      <c r="C5" s="260">
        <v>42137670.630000003</v>
      </c>
      <c r="D5" s="264">
        <v>4521349.45</v>
      </c>
      <c r="E5" s="265">
        <v>0</v>
      </c>
      <c r="F5" s="266">
        <f>B5+C5-D5-E5</f>
        <v>47068074.590000004</v>
      </c>
      <c r="G5" s="266">
        <f>43599535.66-D5-E5</f>
        <v>39078186.209999993</v>
      </c>
      <c r="H5" s="259">
        <f>+G5/F5*100</f>
        <v>83.02482425805978</v>
      </c>
      <c r="I5" s="263">
        <f>F5-G5</f>
        <v>7989888.3800000101</v>
      </c>
      <c r="J5" s="259">
        <f>+I5/F5*100</f>
        <v>16.97517574194022</v>
      </c>
      <c r="K5" s="217"/>
    </row>
    <row r="6" spans="1:11" s="211" customFormat="1" ht="18" thickTop="1" thickBot="1" x14ac:dyDescent="0.35">
      <c r="A6" s="267" t="s">
        <v>20</v>
      </c>
      <c r="B6" s="268">
        <f t="shared" ref="B6:G6" si="0">SUM(B4:B5)</f>
        <v>13094710.120000008</v>
      </c>
      <c r="C6" s="269">
        <f t="shared" si="0"/>
        <v>83672805.080000013</v>
      </c>
      <c r="D6" s="270">
        <f t="shared" si="0"/>
        <v>9538386.629999999</v>
      </c>
      <c r="E6" s="270">
        <f t="shared" si="0"/>
        <v>131831.73000000001</v>
      </c>
      <c r="F6" s="268">
        <f t="shared" si="0"/>
        <v>87097296.840000018</v>
      </c>
      <c r="G6" s="268">
        <f t="shared" si="0"/>
        <v>73422066.370000005</v>
      </c>
      <c r="H6" s="268">
        <f>+G6/F6*100</f>
        <v>84.298903678811328</v>
      </c>
      <c r="I6" s="268">
        <f>SUM(I4:I5)</f>
        <v>13675230.470000021</v>
      </c>
      <c r="J6" s="268">
        <f>+I6/F6*100</f>
        <v>15.701096321188674</v>
      </c>
      <c r="K6" s="217"/>
    </row>
    <row r="7" spans="1:11" s="211" customFormat="1" ht="17.25" thickTop="1" x14ac:dyDescent="0.3">
      <c r="A7" s="69"/>
      <c r="B7" s="30"/>
      <c r="C7" s="70"/>
      <c r="D7" s="30"/>
      <c r="E7" s="30"/>
      <c r="F7" s="30"/>
      <c r="G7" s="30"/>
      <c r="H7" s="30"/>
      <c r="I7" s="30"/>
      <c r="J7" s="30"/>
      <c r="K7" s="217"/>
    </row>
    <row r="8" spans="1:11" s="211" customFormat="1" ht="16.5" x14ac:dyDescent="0.3">
      <c r="A8" s="157" t="s">
        <v>34</v>
      </c>
      <c r="B8" s="211" t="s">
        <v>77</v>
      </c>
      <c r="C8" s="217"/>
      <c r="D8" s="212"/>
      <c r="E8" s="212"/>
      <c r="F8" s="212"/>
      <c r="G8" s="212"/>
      <c r="H8" s="212"/>
      <c r="I8" s="17"/>
      <c r="K8" s="217"/>
    </row>
    <row r="9" spans="1:11" s="211" customFormat="1" ht="16.5" x14ac:dyDescent="0.3">
      <c r="C9" s="217"/>
      <c r="D9" s="212"/>
      <c r="E9" s="212"/>
      <c r="F9" s="212"/>
      <c r="G9" s="212"/>
      <c r="H9" s="212"/>
      <c r="I9" s="17"/>
      <c r="K9" s="217"/>
    </row>
    <row r="10" spans="1:11" s="211" customFormat="1" ht="16.5" x14ac:dyDescent="0.3">
      <c r="A10" s="92" t="s">
        <v>38</v>
      </c>
      <c r="B10" s="93" t="s">
        <v>78</v>
      </c>
      <c r="C10" s="94" t="s">
        <v>79</v>
      </c>
      <c r="D10" s="212"/>
      <c r="E10" s="212"/>
      <c r="F10" s="212"/>
      <c r="G10" s="212"/>
      <c r="H10" s="212"/>
      <c r="I10" s="17"/>
      <c r="K10" s="217"/>
    </row>
    <row r="11" spans="1:11" s="211" customFormat="1" ht="16.5" x14ac:dyDescent="0.3">
      <c r="A11" s="211" t="s">
        <v>80</v>
      </c>
      <c r="B11" s="211" t="s">
        <v>22</v>
      </c>
      <c r="C11" s="217">
        <v>249.85</v>
      </c>
      <c r="D11" s="212"/>
      <c r="E11" s="212" t="s">
        <v>81</v>
      </c>
      <c r="F11" s="212"/>
      <c r="G11" s="212"/>
      <c r="H11" s="212"/>
      <c r="I11" s="17"/>
      <c r="K11" s="217"/>
    </row>
    <row r="12" spans="1:11" s="211" customFormat="1" ht="16.5" x14ac:dyDescent="0.3">
      <c r="B12" s="211" t="s">
        <v>22</v>
      </c>
      <c r="C12" s="217">
        <v>139155.85999999999</v>
      </c>
      <c r="D12" s="212"/>
      <c r="E12" s="212" t="s">
        <v>82</v>
      </c>
      <c r="F12" s="212"/>
      <c r="G12" s="212"/>
      <c r="H12" s="212"/>
      <c r="I12" s="17"/>
      <c r="K12" s="217"/>
    </row>
    <row r="13" spans="1:11" s="211" customFormat="1" ht="16.5" x14ac:dyDescent="0.3">
      <c r="B13" s="211" t="s">
        <v>22</v>
      </c>
      <c r="C13" s="217">
        <v>5545936.3799999999</v>
      </c>
      <c r="D13" s="212"/>
      <c r="E13" s="212" t="s">
        <v>83</v>
      </c>
      <c r="F13" s="212"/>
      <c r="G13" s="212"/>
      <c r="H13" s="212"/>
      <c r="I13" s="17"/>
      <c r="K13" s="217"/>
    </row>
    <row r="14" spans="1:11" s="211" customFormat="1" ht="16.5" x14ac:dyDescent="0.3">
      <c r="B14" s="211" t="s">
        <v>76</v>
      </c>
      <c r="C14" s="217">
        <v>7989888.3800000101</v>
      </c>
      <c r="D14" s="212"/>
      <c r="E14" s="212" t="s">
        <v>83</v>
      </c>
      <c r="F14" s="212"/>
      <c r="G14" s="212"/>
      <c r="H14" s="212"/>
      <c r="I14" s="17"/>
      <c r="K14" s="217"/>
    </row>
    <row r="15" spans="1:11" s="211" customFormat="1" ht="17.25" thickBot="1" x14ac:dyDescent="0.35">
      <c r="C15" s="271">
        <f>SUM(C11:C14)</f>
        <v>13675230.47000001</v>
      </c>
      <c r="D15" s="212"/>
      <c r="E15" s="212"/>
      <c r="F15" s="212"/>
      <c r="G15" s="212"/>
      <c r="H15" s="212"/>
      <c r="I15" s="17"/>
      <c r="K15" s="217"/>
    </row>
    <row r="16" spans="1:11" ht="20.100000000000001" customHeight="1" thickTop="1" x14ac:dyDescent="0.25">
      <c r="C16" s="32"/>
    </row>
    <row r="17" spans="1:10" ht="20.100000000000001" customHeight="1" x14ac:dyDescent="0.25">
      <c r="C17" s="88"/>
    </row>
    <row r="18" spans="1:10" ht="20.100000000000001" customHeight="1" x14ac:dyDescent="0.25">
      <c r="C18" s="32"/>
    </row>
    <row r="20" spans="1:10" ht="20.100000000000001" customHeight="1" x14ac:dyDescent="0.25">
      <c r="A20" s="539"/>
      <c r="B20" s="539"/>
      <c r="C20" s="539"/>
      <c r="D20" s="539"/>
      <c r="E20" s="539"/>
      <c r="F20" s="539"/>
      <c r="G20" s="539"/>
      <c r="H20" s="539"/>
      <c r="I20" s="539"/>
      <c r="J20" s="539"/>
    </row>
    <row r="21" spans="1:10" ht="20.100000000000001" customHeight="1" x14ac:dyDescent="0.25">
      <c r="C21" s="32"/>
    </row>
    <row r="22" spans="1:10" ht="20.100000000000001" customHeight="1" x14ac:dyDescent="0.25">
      <c r="A22" s="57"/>
      <c r="B22" s="58"/>
      <c r="C22" s="97"/>
      <c r="D22" s="58"/>
      <c r="E22" s="58"/>
      <c r="F22" s="58"/>
      <c r="G22" s="58"/>
      <c r="H22" s="58"/>
      <c r="I22" s="58"/>
      <c r="J22" s="58"/>
    </row>
    <row r="23" spans="1:10" ht="20.100000000000001" customHeight="1" x14ac:dyDescent="0.25">
      <c r="A23" s="93"/>
      <c r="B23" s="19"/>
      <c r="C23" s="71"/>
      <c r="D23" s="19"/>
      <c r="E23" s="19"/>
      <c r="F23" s="19"/>
      <c r="G23" s="19"/>
      <c r="H23" s="19"/>
      <c r="I23" s="19"/>
      <c r="J23" s="19"/>
    </row>
    <row r="24" spans="1:10" ht="20.100000000000001" customHeight="1" x14ac:dyDescent="0.25">
      <c r="A24" s="93"/>
      <c r="B24" s="19"/>
      <c r="C24" s="71"/>
      <c r="D24" s="19"/>
      <c r="E24" s="19"/>
      <c r="F24" s="19"/>
      <c r="G24" s="19"/>
      <c r="H24" s="19"/>
      <c r="I24" s="19"/>
      <c r="J24" s="19"/>
    </row>
    <row r="25" spans="1:10" ht="20.100000000000001" customHeight="1" x14ac:dyDescent="0.25">
      <c r="A25" s="93"/>
      <c r="B25" s="19"/>
      <c r="C25" s="71"/>
      <c r="D25" s="19"/>
      <c r="E25" s="19"/>
      <c r="F25" s="19"/>
      <c r="G25" s="19"/>
      <c r="H25" s="19"/>
      <c r="I25" s="19"/>
      <c r="J25" s="19"/>
    </row>
    <row r="26" spans="1:10" ht="20.100000000000001" customHeight="1" x14ac:dyDescent="0.25">
      <c r="A26" s="93"/>
      <c r="B26" s="19"/>
      <c r="C26" s="71"/>
      <c r="D26" s="19"/>
      <c r="E26" s="19"/>
      <c r="F26" s="19"/>
      <c r="G26" s="19"/>
      <c r="H26" s="19"/>
      <c r="I26" s="19"/>
      <c r="J26" s="19"/>
    </row>
    <row r="27" spans="1:10" ht="20.100000000000001" customHeight="1" x14ac:dyDescent="0.25">
      <c r="A27" s="93"/>
      <c r="B27" s="19"/>
      <c r="C27" s="32"/>
      <c r="D27" s="19"/>
      <c r="E27" s="19"/>
      <c r="F27" s="19"/>
      <c r="G27" s="19"/>
      <c r="H27" s="19"/>
      <c r="I27" s="19"/>
      <c r="J27" s="19"/>
    </row>
    <row r="28" spans="1:10" ht="20.100000000000001" customHeight="1" x14ac:dyDescent="0.25">
      <c r="A28" s="93"/>
      <c r="B28" s="19"/>
      <c r="C28" s="71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69"/>
      <c r="B29" s="29"/>
      <c r="C29" s="94"/>
      <c r="D29" s="29"/>
      <c r="E29" s="29"/>
      <c r="F29" s="29"/>
      <c r="G29" s="29"/>
      <c r="H29" s="29"/>
      <c r="I29" s="29"/>
      <c r="J29" s="29"/>
    </row>
    <row r="30" spans="1:10" ht="20.100000000000001" customHeight="1" x14ac:dyDescent="0.25">
      <c r="A30" s="69"/>
      <c r="B30" s="30"/>
      <c r="C30" s="70"/>
      <c r="D30" s="30"/>
      <c r="E30" s="30"/>
      <c r="F30" s="30"/>
      <c r="G30" s="30"/>
      <c r="H30" s="30"/>
      <c r="I30" s="30"/>
      <c r="J30" s="30"/>
    </row>
    <row r="31" spans="1:10" ht="20.100000000000001" customHeight="1" x14ac:dyDescent="0.25">
      <c r="A31" s="91"/>
      <c r="C31" s="32"/>
    </row>
    <row r="32" spans="1:10" ht="20.100000000000001" customHeight="1" x14ac:dyDescent="0.25">
      <c r="C32" s="32"/>
    </row>
    <row r="33" spans="1:10" ht="20.100000000000001" customHeight="1" x14ac:dyDescent="0.25">
      <c r="A33" s="92"/>
      <c r="B33" s="93"/>
      <c r="C33" s="94"/>
    </row>
    <row r="34" spans="1:10" ht="20.100000000000001" customHeight="1" x14ac:dyDescent="0.25">
      <c r="A34" s="92"/>
      <c r="B34" s="25"/>
      <c r="C34" s="71"/>
    </row>
    <row r="35" spans="1:10" ht="20.100000000000001" customHeight="1" x14ac:dyDescent="0.25">
      <c r="C35" s="32"/>
    </row>
    <row r="36" spans="1:10" ht="20.100000000000001" customHeight="1" x14ac:dyDescent="0.25">
      <c r="C36" s="32"/>
    </row>
    <row r="37" spans="1:10" ht="20.100000000000001" customHeight="1" x14ac:dyDescent="0.25">
      <c r="C37" s="32"/>
    </row>
    <row r="38" spans="1:10" ht="20.100000000000001" customHeight="1" x14ac:dyDescent="0.25">
      <c r="C38" s="88"/>
    </row>
    <row r="39" spans="1:10" ht="20.100000000000001" customHeight="1" x14ac:dyDescent="0.25">
      <c r="C39" s="32"/>
    </row>
    <row r="40" spans="1:10" ht="20.100000000000001" customHeight="1" x14ac:dyDescent="0.25">
      <c r="C40" s="88"/>
    </row>
    <row r="41" spans="1:10" ht="20.100000000000001" customHeight="1" x14ac:dyDescent="0.25">
      <c r="C41" s="32"/>
    </row>
    <row r="42" spans="1:10" ht="20.100000000000001" customHeight="1" x14ac:dyDescent="0.25">
      <c r="C42" s="88"/>
    </row>
    <row r="43" spans="1:10" ht="20.100000000000001" customHeight="1" x14ac:dyDescent="0.25">
      <c r="C43" s="32"/>
    </row>
    <row r="44" spans="1:10" ht="20.100000000000001" customHeight="1" x14ac:dyDescent="0.25">
      <c r="C44" s="88"/>
    </row>
    <row r="45" spans="1:10" ht="20.100000000000001" customHeight="1" x14ac:dyDescent="0.25">
      <c r="C45" s="32"/>
    </row>
    <row r="47" spans="1:10" ht="20.100000000000001" customHeight="1" x14ac:dyDescent="0.25">
      <c r="A47" s="539"/>
      <c r="B47" s="539"/>
      <c r="C47" s="539"/>
      <c r="D47" s="539"/>
      <c r="E47" s="539"/>
      <c r="F47" s="539"/>
      <c r="G47" s="539"/>
      <c r="H47" s="539"/>
      <c r="I47" s="539"/>
      <c r="J47" s="539"/>
    </row>
    <row r="48" spans="1:10" ht="20.100000000000001" customHeight="1" x14ac:dyDescent="0.25">
      <c r="C48" s="32"/>
    </row>
    <row r="49" spans="1:10" ht="20.100000000000001" customHeight="1" x14ac:dyDescent="0.25">
      <c r="A49" s="57"/>
      <c r="B49" s="58"/>
      <c r="C49" s="97"/>
      <c r="D49" s="58"/>
      <c r="E49" s="58"/>
      <c r="F49" s="58"/>
      <c r="G49" s="58"/>
      <c r="H49" s="58"/>
      <c r="I49" s="58"/>
      <c r="J49" s="58"/>
    </row>
    <row r="50" spans="1:10" ht="20.100000000000001" customHeight="1" x14ac:dyDescent="0.25">
      <c r="A50" s="93"/>
      <c r="B50" s="19"/>
      <c r="C50" s="71"/>
      <c r="D50" s="19"/>
      <c r="E50" s="19"/>
      <c r="F50" s="19"/>
      <c r="G50" s="19"/>
      <c r="H50" s="19"/>
      <c r="I50" s="19"/>
      <c r="J50" s="19"/>
    </row>
    <row r="51" spans="1:10" ht="20.100000000000001" customHeight="1" x14ac:dyDescent="0.25">
      <c r="A51" s="93"/>
      <c r="B51" s="19"/>
      <c r="C51" s="71"/>
      <c r="D51" s="19"/>
      <c r="E51" s="19"/>
      <c r="F51" s="19"/>
      <c r="G51" s="19"/>
      <c r="H51" s="19"/>
      <c r="I51" s="19"/>
      <c r="J51" s="19"/>
    </row>
    <row r="52" spans="1:10" ht="20.100000000000001" customHeight="1" x14ac:dyDescent="0.25">
      <c r="A52" s="93"/>
      <c r="B52" s="19"/>
      <c r="C52" s="71"/>
      <c r="D52" s="19"/>
      <c r="E52" s="19"/>
      <c r="F52" s="19"/>
      <c r="G52" s="19"/>
      <c r="H52" s="19"/>
      <c r="I52" s="19"/>
      <c r="J52" s="19"/>
    </row>
    <row r="53" spans="1:10" ht="20.100000000000001" customHeight="1" x14ac:dyDescent="0.25">
      <c r="A53" s="93"/>
      <c r="B53" s="19"/>
      <c r="C53" s="71"/>
      <c r="D53" s="19"/>
      <c r="E53" s="19"/>
      <c r="F53" s="19"/>
      <c r="G53" s="19"/>
      <c r="H53" s="19"/>
      <c r="I53" s="19"/>
      <c r="J53" s="19"/>
    </row>
    <row r="54" spans="1:10" ht="20.100000000000001" customHeight="1" x14ac:dyDescent="0.25">
      <c r="A54" s="93"/>
      <c r="B54" s="19"/>
      <c r="C54" s="32"/>
      <c r="D54" s="19"/>
      <c r="E54" s="19"/>
      <c r="F54" s="19"/>
      <c r="G54" s="19"/>
      <c r="H54" s="19"/>
      <c r="I54" s="19"/>
      <c r="J54" s="19"/>
    </row>
    <row r="55" spans="1:10" ht="20.100000000000001" customHeight="1" x14ac:dyDescent="0.25">
      <c r="A55" s="93"/>
      <c r="B55" s="19"/>
      <c r="C55" s="71"/>
      <c r="D55" s="19"/>
      <c r="E55" s="19"/>
      <c r="F55" s="19"/>
      <c r="G55" s="19"/>
      <c r="H55" s="19"/>
      <c r="I55" s="19"/>
      <c r="J55" s="19"/>
    </row>
    <row r="56" spans="1:10" ht="20.100000000000001" customHeight="1" x14ac:dyDescent="0.25">
      <c r="A56" s="69"/>
      <c r="B56" s="29"/>
      <c r="C56" s="94"/>
      <c r="D56" s="29"/>
      <c r="E56" s="29"/>
      <c r="F56" s="29"/>
      <c r="G56" s="29"/>
      <c r="H56" s="29"/>
      <c r="I56" s="29"/>
      <c r="J56" s="29"/>
    </row>
    <row r="57" spans="1:10" ht="20.100000000000001" customHeight="1" x14ac:dyDescent="0.25">
      <c r="A57" s="69"/>
      <c r="B57" s="30"/>
      <c r="C57" s="70"/>
      <c r="D57" s="30"/>
      <c r="E57" s="30"/>
      <c r="F57" s="30"/>
      <c r="G57" s="30"/>
      <c r="H57" s="30"/>
      <c r="I57" s="30"/>
      <c r="J57" s="30"/>
    </row>
    <row r="58" spans="1:10" ht="20.100000000000001" customHeight="1" x14ac:dyDescent="0.25">
      <c r="A58" s="91"/>
      <c r="C58" s="32"/>
    </row>
    <row r="59" spans="1:10" ht="20.100000000000001" customHeight="1" x14ac:dyDescent="0.25">
      <c r="C59" s="32"/>
    </row>
    <row r="60" spans="1:10" ht="20.100000000000001" customHeight="1" x14ac:dyDescent="0.25">
      <c r="A60" s="92"/>
      <c r="B60" s="93"/>
      <c r="C60" s="94"/>
    </row>
    <row r="61" spans="1:10" ht="20.100000000000001" customHeight="1" x14ac:dyDescent="0.25">
      <c r="C61" s="32"/>
    </row>
    <row r="62" spans="1:10" ht="20.100000000000001" customHeight="1" x14ac:dyDescent="0.25">
      <c r="C62" s="32"/>
    </row>
    <row r="63" spans="1:10" ht="20.100000000000001" customHeight="1" x14ac:dyDescent="0.25">
      <c r="C63" s="88"/>
    </row>
    <row r="64" spans="1:10" ht="20.100000000000001" customHeight="1" x14ac:dyDescent="0.25">
      <c r="C64" s="88"/>
    </row>
    <row r="65" spans="1:10" ht="20.100000000000001" customHeight="1" x14ac:dyDescent="0.25">
      <c r="C65" s="32"/>
    </row>
    <row r="66" spans="1:10" ht="20.100000000000001" customHeight="1" x14ac:dyDescent="0.25">
      <c r="C66" s="32"/>
    </row>
    <row r="67" spans="1:10" ht="20.100000000000001" customHeight="1" x14ac:dyDescent="0.25">
      <c r="C67" s="32"/>
    </row>
    <row r="68" spans="1:10" ht="20.100000000000001" customHeight="1" x14ac:dyDescent="0.25">
      <c r="C68" s="32"/>
    </row>
    <row r="69" spans="1:10" ht="20.100000000000001" customHeight="1" x14ac:dyDescent="0.25">
      <c r="C69" s="32"/>
    </row>
    <row r="72" spans="1:10" ht="20.100000000000001" customHeight="1" x14ac:dyDescent="0.25">
      <c r="A72" s="539"/>
      <c r="B72" s="539"/>
      <c r="C72" s="539"/>
      <c r="D72" s="539"/>
      <c r="E72" s="539"/>
      <c r="F72" s="539"/>
      <c r="G72" s="539"/>
      <c r="H72" s="539"/>
      <c r="I72" s="539"/>
      <c r="J72" s="539"/>
    </row>
    <row r="73" spans="1:10" ht="20.100000000000001" customHeight="1" x14ac:dyDescent="0.25">
      <c r="C73" s="32"/>
    </row>
    <row r="74" spans="1:10" ht="20.100000000000001" customHeight="1" x14ac:dyDescent="0.25">
      <c r="A74" s="57"/>
      <c r="B74" s="58"/>
      <c r="C74" s="97"/>
      <c r="D74" s="58"/>
      <c r="E74" s="58"/>
      <c r="F74" s="58"/>
      <c r="G74" s="58"/>
      <c r="H74" s="58"/>
      <c r="I74" s="58"/>
      <c r="J74" s="58"/>
    </row>
    <row r="75" spans="1:10" ht="20.100000000000001" customHeight="1" x14ac:dyDescent="0.25">
      <c r="A75" s="93"/>
      <c r="B75" s="19"/>
      <c r="C75" s="71"/>
      <c r="D75" s="19"/>
      <c r="E75" s="19"/>
      <c r="F75" s="19"/>
      <c r="G75" s="19"/>
      <c r="H75" s="19"/>
      <c r="I75" s="19"/>
      <c r="J75" s="19"/>
    </row>
    <row r="76" spans="1:10" ht="20.100000000000001" customHeight="1" x14ac:dyDescent="0.25">
      <c r="A76" s="93"/>
      <c r="B76" s="19"/>
      <c r="C76" s="71"/>
      <c r="D76" s="19"/>
      <c r="E76" s="19"/>
      <c r="F76" s="19"/>
      <c r="G76" s="19"/>
      <c r="H76" s="19"/>
      <c r="I76" s="19"/>
      <c r="J76" s="19"/>
    </row>
    <row r="77" spans="1:10" ht="20.100000000000001" customHeight="1" x14ac:dyDescent="0.25">
      <c r="A77" s="93"/>
      <c r="B77" s="19"/>
      <c r="C77" s="71"/>
      <c r="D77" s="19"/>
      <c r="E77" s="19"/>
      <c r="F77" s="19"/>
      <c r="G77" s="19"/>
      <c r="H77" s="19"/>
      <c r="I77" s="19"/>
      <c r="J77" s="19"/>
    </row>
    <row r="78" spans="1:10" ht="20.100000000000001" customHeight="1" x14ac:dyDescent="0.25">
      <c r="A78" s="93"/>
      <c r="B78" s="19"/>
      <c r="C78" s="71"/>
      <c r="D78" s="19"/>
      <c r="E78" s="19"/>
      <c r="F78" s="19"/>
      <c r="G78" s="19"/>
      <c r="H78" s="19"/>
      <c r="I78" s="19"/>
      <c r="J78" s="19"/>
    </row>
    <row r="79" spans="1:10" ht="20.100000000000001" customHeight="1" x14ac:dyDescent="0.25">
      <c r="A79" s="93"/>
      <c r="B79" s="19"/>
      <c r="C79" s="32"/>
      <c r="D79" s="19"/>
      <c r="E79" s="19"/>
      <c r="F79" s="19"/>
      <c r="G79" s="19"/>
      <c r="H79" s="19"/>
      <c r="I79" s="19"/>
      <c r="J79" s="19"/>
    </row>
    <row r="80" spans="1:10" ht="20.100000000000001" customHeight="1" x14ac:dyDescent="0.25">
      <c r="A80" s="93"/>
      <c r="B80" s="19"/>
      <c r="C80" s="71"/>
      <c r="D80" s="19"/>
      <c r="E80" s="19"/>
      <c r="F80" s="19"/>
      <c r="G80" s="19"/>
      <c r="H80" s="19"/>
      <c r="I80" s="19"/>
      <c r="J80" s="19"/>
    </row>
    <row r="81" spans="1:10" s="26" customFormat="1" ht="20.100000000000001" customHeight="1" x14ac:dyDescent="0.25">
      <c r="A81" s="69"/>
      <c r="B81" s="28"/>
      <c r="C81" s="86"/>
      <c r="D81" s="28"/>
      <c r="E81" s="28"/>
      <c r="F81" s="28"/>
      <c r="G81" s="28"/>
      <c r="H81" s="28"/>
      <c r="I81" s="28"/>
      <c r="J81" s="28"/>
    </row>
    <row r="82" spans="1:10" ht="20.100000000000001" customHeight="1" x14ac:dyDescent="0.25">
      <c r="A82" s="69"/>
      <c r="B82" s="30"/>
      <c r="C82" s="70"/>
      <c r="D82" s="30"/>
      <c r="E82" s="30"/>
      <c r="F82" s="30"/>
      <c r="G82" s="30"/>
      <c r="H82" s="30"/>
      <c r="I82" s="30"/>
      <c r="J82" s="30"/>
    </row>
    <row r="83" spans="1:10" ht="20.100000000000001" customHeight="1" x14ac:dyDescent="0.25">
      <c r="A83" s="91"/>
      <c r="C83" s="32"/>
    </row>
    <row r="84" spans="1:10" ht="20.100000000000001" customHeight="1" x14ac:dyDescent="0.25">
      <c r="C84" s="32"/>
    </row>
    <row r="85" spans="1:10" ht="20.100000000000001" customHeight="1" x14ac:dyDescent="0.25">
      <c r="A85" s="92"/>
      <c r="B85" s="93"/>
      <c r="C85" s="94"/>
    </row>
    <row r="86" spans="1:10" ht="20.100000000000001" customHeight="1" x14ac:dyDescent="0.25">
      <c r="C86" s="32"/>
    </row>
    <row r="87" spans="1:10" ht="20.100000000000001" customHeight="1" x14ac:dyDescent="0.25">
      <c r="C87" s="32"/>
    </row>
    <row r="88" spans="1:10" ht="20.100000000000001" customHeight="1" x14ac:dyDescent="0.25">
      <c r="C88" s="88"/>
    </row>
    <row r="89" spans="1:10" ht="20.100000000000001" customHeight="1" x14ac:dyDescent="0.25">
      <c r="C89" s="32"/>
    </row>
    <row r="90" spans="1:10" ht="20.100000000000001" customHeight="1" x14ac:dyDescent="0.25">
      <c r="C90" s="32"/>
    </row>
    <row r="91" spans="1:10" ht="20.100000000000001" customHeight="1" x14ac:dyDescent="0.25">
      <c r="C91" s="32"/>
    </row>
    <row r="92" spans="1:10" ht="20.100000000000001" customHeight="1" x14ac:dyDescent="0.25">
      <c r="C92" s="32"/>
    </row>
    <row r="93" spans="1:10" ht="20.100000000000001" customHeight="1" x14ac:dyDescent="0.25">
      <c r="C93" s="32"/>
    </row>
    <row r="94" spans="1:10" ht="20.100000000000001" customHeight="1" x14ac:dyDescent="0.25">
      <c r="C94" s="32"/>
    </row>
    <row r="95" spans="1:10" ht="20.100000000000001" customHeight="1" x14ac:dyDescent="0.25">
      <c r="C95" s="32"/>
    </row>
    <row r="97" spans="1:10" ht="20.100000000000001" customHeight="1" x14ac:dyDescent="0.25">
      <c r="A97" s="539"/>
      <c r="B97" s="539"/>
      <c r="C97" s="539"/>
      <c r="D97" s="539"/>
      <c r="E97" s="539"/>
      <c r="F97" s="539"/>
      <c r="G97" s="539"/>
      <c r="H97" s="539"/>
      <c r="I97" s="539"/>
      <c r="J97" s="539"/>
    </row>
    <row r="98" spans="1:10" ht="20.100000000000001" customHeight="1" x14ac:dyDescent="0.25">
      <c r="C98" s="32"/>
    </row>
    <row r="99" spans="1:10" ht="20.100000000000001" customHeight="1" x14ac:dyDescent="0.25">
      <c r="A99" s="57"/>
      <c r="B99" s="58"/>
      <c r="C99" s="97"/>
      <c r="D99" s="58"/>
      <c r="E99" s="58"/>
      <c r="F99" s="58"/>
      <c r="G99" s="58"/>
      <c r="H99" s="58"/>
      <c r="I99" s="58"/>
      <c r="J99" s="58"/>
    </row>
    <row r="100" spans="1:10" ht="20.100000000000001" customHeight="1" x14ac:dyDescent="0.25">
      <c r="A100" s="93"/>
      <c r="B100" s="19"/>
      <c r="C100" s="71"/>
      <c r="D100" s="31"/>
      <c r="E100" s="31"/>
      <c r="F100" s="19"/>
      <c r="G100" s="19"/>
      <c r="H100" s="19"/>
      <c r="I100" s="19"/>
      <c r="J100" s="19"/>
    </row>
    <row r="101" spans="1:10" ht="20.100000000000001" customHeight="1" x14ac:dyDescent="0.25">
      <c r="A101" s="93"/>
      <c r="B101" s="19"/>
      <c r="C101" s="71"/>
      <c r="D101" s="31"/>
      <c r="E101" s="31"/>
      <c r="F101" s="19"/>
      <c r="G101" s="19"/>
      <c r="H101" s="19"/>
      <c r="I101" s="19"/>
      <c r="J101" s="19"/>
    </row>
    <row r="102" spans="1:10" ht="20.100000000000001" customHeight="1" x14ac:dyDescent="0.25">
      <c r="A102" s="93"/>
      <c r="B102" s="19"/>
      <c r="C102" s="71"/>
      <c r="D102" s="31"/>
      <c r="E102" s="31"/>
      <c r="F102" s="19"/>
      <c r="G102" s="19"/>
      <c r="H102" s="19"/>
      <c r="I102" s="19"/>
      <c r="J102" s="19"/>
    </row>
    <row r="103" spans="1:10" ht="20.100000000000001" customHeight="1" x14ac:dyDescent="0.25">
      <c r="A103" s="93"/>
      <c r="B103" s="19"/>
      <c r="C103" s="71"/>
      <c r="D103" s="31"/>
      <c r="E103" s="31"/>
      <c r="F103" s="19"/>
      <c r="G103" s="19"/>
      <c r="H103" s="19"/>
      <c r="I103" s="19"/>
      <c r="J103" s="19"/>
    </row>
    <row r="104" spans="1:10" ht="20.100000000000001" customHeight="1" x14ac:dyDescent="0.25">
      <c r="A104" s="93"/>
      <c r="B104" s="19"/>
      <c r="C104" s="71"/>
      <c r="D104" s="31"/>
      <c r="E104" s="31"/>
      <c r="F104" s="19"/>
      <c r="G104" s="19"/>
      <c r="H104" s="19"/>
      <c r="I104" s="19"/>
      <c r="J104" s="19"/>
    </row>
    <row r="105" spans="1:10" ht="20.100000000000001" customHeight="1" x14ac:dyDescent="0.25">
      <c r="A105" s="69"/>
      <c r="B105" s="28"/>
      <c r="C105" s="86"/>
      <c r="D105" s="85"/>
      <c r="E105" s="85"/>
      <c r="F105" s="28"/>
      <c r="G105" s="28"/>
      <c r="H105" s="28"/>
      <c r="I105" s="28"/>
      <c r="J105" s="28"/>
    </row>
    <row r="106" spans="1:10" ht="20.100000000000001" customHeight="1" x14ac:dyDescent="0.25">
      <c r="A106" s="69"/>
      <c r="B106" s="30"/>
      <c r="C106" s="70"/>
      <c r="D106" s="30"/>
      <c r="E106" s="30"/>
      <c r="F106" s="30"/>
      <c r="G106" s="30"/>
      <c r="H106" s="30"/>
      <c r="I106" s="30"/>
      <c r="J106" s="30"/>
    </row>
    <row r="107" spans="1:10" ht="20.100000000000001" customHeight="1" x14ac:dyDescent="0.25">
      <c r="A107" s="91"/>
      <c r="C107" s="32"/>
    </row>
    <row r="108" spans="1:10" ht="20.100000000000001" customHeight="1" x14ac:dyDescent="0.25">
      <c r="C108" s="32"/>
    </row>
    <row r="109" spans="1:10" ht="20.100000000000001" customHeight="1" x14ac:dyDescent="0.25">
      <c r="A109" s="92"/>
      <c r="B109" s="93"/>
      <c r="C109" s="94"/>
    </row>
    <row r="110" spans="1:10" ht="20.100000000000001" customHeight="1" x14ac:dyDescent="0.25">
      <c r="C110" s="32"/>
    </row>
    <row r="111" spans="1:10" ht="20.100000000000001" customHeight="1" x14ac:dyDescent="0.25">
      <c r="C111" s="32"/>
    </row>
    <row r="112" spans="1:10" ht="20.100000000000001" customHeight="1" x14ac:dyDescent="0.25">
      <c r="C112" s="32"/>
    </row>
    <row r="113" spans="1:10" ht="20.100000000000001" customHeight="1" x14ac:dyDescent="0.25">
      <c r="C113" s="88"/>
    </row>
    <row r="114" spans="1:10" ht="20.100000000000001" customHeight="1" x14ac:dyDescent="0.25">
      <c r="C114" s="32"/>
    </row>
    <row r="115" spans="1:10" ht="20.100000000000001" customHeight="1" x14ac:dyDescent="0.25">
      <c r="C115" s="32"/>
    </row>
    <row r="116" spans="1:10" ht="20.100000000000001" customHeight="1" x14ac:dyDescent="0.25">
      <c r="C116" s="32"/>
    </row>
    <row r="117" spans="1:10" ht="20.100000000000001" customHeight="1" x14ac:dyDescent="0.25">
      <c r="C117" s="32"/>
    </row>
    <row r="118" spans="1:10" ht="20.100000000000001" customHeight="1" x14ac:dyDescent="0.25">
      <c r="C118" s="32"/>
    </row>
    <row r="120" spans="1:10" ht="20.100000000000001" customHeight="1" x14ac:dyDescent="0.25">
      <c r="A120" s="539"/>
      <c r="B120" s="539"/>
      <c r="C120" s="539"/>
      <c r="D120" s="539"/>
      <c r="E120" s="539"/>
      <c r="F120" s="539"/>
      <c r="G120" s="539"/>
      <c r="H120" s="539"/>
      <c r="I120" s="539"/>
      <c r="J120" s="539"/>
    </row>
    <row r="121" spans="1:10" ht="20.100000000000001" customHeight="1" x14ac:dyDescent="0.25">
      <c r="C121" s="32"/>
    </row>
    <row r="122" spans="1:10" ht="20.100000000000001" customHeight="1" x14ac:dyDescent="0.25">
      <c r="A122" s="57"/>
      <c r="B122" s="58"/>
      <c r="C122" s="97"/>
      <c r="D122" s="58"/>
      <c r="E122" s="58"/>
      <c r="F122" s="58"/>
      <c r="G122" s="58"/>
      <c r="H122" s="58"/>
      <c r="I122" s="58"/>
      <c r="J122" s="58"/>
    </row>
    <row r="123" spans="1:10" ht="20.100000000000001" customHeight="1" x14ac:dyDescent="0.25">
      <c r="A123" s="93"/>
      <c r="B123" s="19"/>
      <c r="C123" s="71"/>
      <c r="D123" s="31"/>
      <c r="E123" s="31"/>
      <c r="F123" s="19"/>
      <c r="G123" s="19"/>
      <c r="H123" s="19"/>
      <c r="I123" s="19"/>
      <c r="J123" s="19"/>
    </row>
    <row r="124" spans="1:10" ht="20.100000000000001" customHeight="1" x14ac:dyDescent="0.25">
      <c r="A124" s="93"/>
      <c r="B124" s="19"/>
      <c r="C124" s="71"/>
      <c r="D124" s="31"/>
      <c r="E124" s="31"/>
      <c r="F124" s="19"/>
      <c r="G124" s="19"/>
      <c r="H124" s="19"/>
      <c r="I124" s="19"/>
      <c r="J124" s="19"/>
    </row>
    <row r="125" spans="1:10" ht="20.100000000000001" customHeight="1" x14ac:dyDescent="0.25">
      <c r="A125" s="93"/>
      <c r="B125" s="19"/>
      <c r="C125" s="71"/>
      <c r="D125" s="31"/>
      <c r="E125" s="31"/>
      <c r="F125" s="19"/>
      <c r="G125" s="19"/>
      <c r="H125" s="19"/>
      <c r="I125" s="19"/>
      <c r="J125" s="19"/>
    </row>
    <row r="126" spans="1:10" ht="20.100000000000001" customHeight="1" x14ac:dyDescent="0.25">
      <c r="A126" s="93"/>
      <c r="B126" s="19"/>
      <c r="C126" s="71"/>
      <c r="D126" s="31"/>
      <c r="E126" s="31"/>
      <c r="F126" s="19"/>
      <c r="G126" s="19"/>
      <c r="H126" s="19"/>
      <c r="I126" s="19"/>
      <c r="J126" s="19"/>
    </row>
    <row r="127" spans="1:10" ht="20.100000000000001" customHeight="1" x14ac:dyDescent="0.25">
      <c r="A127" s="93"/>
      <c r="B127" s="19"/>
      <c r="C127" s="71"/>
      <c r="D127" s="31"/>
      <c r="E127" s="31"/>
      <c r="F127" s="19"/>
      <c r="G127" s="19"/>
      <c r="H127" s="19"/>
      <c r="I127" s="19"/>
      <c r="J127" s="19"/>
    </row>
    <row r="128" spans="1:10" ht="20.100000000000001" customHeight="1" x14ac:dyDescent="0.25">
      <c r="A128" s="69"/>
      <c r="B128" s="28"/>
      <c r="C128" s="86"/>
      <c r="D128" s="85"/>
      <c r="E128" s="85"/>
      <c r="F128" s="28"/>
      <c r="G128" s="28"/>
      <c r="H128" s="28"/>
      <c r="I128" s="28"/>
      <c r="J128" s="28"/>
    </row>
    <row r="129" spans="1:10" ht="20.100000000000001" customHeight="1" x14ac:dyDescent="0.25">
      <c r="A129" s="69"/>
      <c r="B129" s="30"/>
      <c r="C129" s="70"/>
      <c r="D129" s="30"/>
      <c r="E129" s="30"/>
      <c r="F129" s="30"/>
      <c r="G129" s="30"/>
      <c r="H129" s="30"/>
      <c r="I129" s="30"/>
      <c r="J129" s="30"/>
    </row>
    <row r="130" spans="1:10" ht="20.100000000000001" customHeight="1" x14ac:dyDescent="0.25">
      <c r="A130" s="91"/>
      <c r="C130" s="32"/>
    </row>
    <row r="131" spans="1:10" ht="20.100000000000001" customHeight="1" x14ac:dyDescent="0.25">
      <c r="C131" s="32"/>
    </row>
    <row r="132" spans="1:10" ht="20.100000000000001" customHeight="1" x14ac:dyDescent="0.25">
      <c r="A132" s="92"/>
      <c r="B132" s="93"/>
      <c r="C132" s="94"/>
    </row>
    <row r="133" spans="1:10" ht="20.100000000000001" customHeight="1" x14ac:dyDescent="0.25">
      <c r="C133" s="32"/>
    </row>
    <row r="134" spans="1:10" ht="20.100000000000001" customHeight="1" x14ac:dyDescent="0.25">
      <c r="C134" s="32"/>
    </row>
    <row r="135" spans="1:10" ht="20.100000000000001" customHeight="1" x14ac:dyDescent="0.25">
      <c r="C135" s="88"/>
    </row>
    <row r="136" spans="1:10" ht="20.100000000000001" customHeight="1" x14ac:dyDescent="0.25">
      <c r="C136" s="32"/>
    </row>
    <row r="137" spans="1:10" ht="20.100000000000001" customHeight="1" x14ac:dyDescent="0.25">
      <c r="C137" s="32"/>
    </row>
    <row r="138" spans="1:10" ht="20.100000000000001" customHeight="1" x14ac:dyDescent="0.25">
      <c r="C138" s="32"/>
    </row>
    <row r="139" spans="1:10" ht="20.100000000000001" customHeight="1" x14ac:dyDescent="0.25">
      <c r="C139" s="32"/>
    </row>
  </sheetData>
  <mergeCells count="6">
    <mergeCell ref="A1:J1"/>
    <mergeCell ref="A120:J120"/>
    <mergeCell ref="A97:J97"/>
    <mergeCell ref="A72:J72"/>
    <mergeCell ref="A47:J47"/>
    <mergeCell ref="A20:J20"/>
  </mergeCells>
  <printOptions horizontalCentered="1"/>
  <pageMargins left="0.3" right="0.3" top="0.7" bottom="0.7" header="0.3" footer="0.3"/>
  <pageSetup scale="56" fitToHeight="0" orientation="landscape" r:id="rId1"/>
  <headerFooter>
    <oddHeader>&amp;F</oddHeader>
    <oddFooter>&amp;A&amp;RPage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topLeftCell="A13" zoomScaleNormal="100" workbookViewId="0">
      <selection activeCell="B19" sqref="B19"/>
    </sheetView>
  </sheetViews>
  <sheetFormatPr defaultColWidth="13.85546875" defaultRowHeight="20.100000000000001" customHeight="1" x14ac:dyDescent="0.25"/>
  <cols>
    <col min="1" max="1" width="31.42578125" style="18" customWidth="1"/>
    <col min="2" max="2" width="18.7109375" style="18" customWidth="1"/>
    <col min="3" max="3" width="18.7109375" style="24" customWidth="1"/>
    <col min="4" max="4" width="18.7109375" style="21" customWidth="1"/>
    <col min="5" max="6" width="18.7109375" style="19" customWidth="1"/>
    <col min="7" max="7" width="18.7109375" style="21" customWidth="1"/>
    <col min="8" max="8" width="18.7109375" style="19" customWidth="1"/>
    <col min="9" max="9" width="18.7109375" style="20" customWidth="1"/>
    <col min="10" max="11" width="18.7109375" style="25" customWidth="1"/>
    <col min="12" max="16384" width="13.85546875" style="18"/>
  </cols>
  <sheetData>
    <row r="1" spans="1:12" ht="20.100000000000001" customHeight="1" x14ac:dyDescent="0.25">
      <c r="A1" s="213"/>
      <c r="B1" s="213"/>
      <c r="C1" s="514"/>
      <c r="D1" s="540" t="s">
        <v>258</v>
      </c>
      <c r="E1" s="540"/>
      <c r="F1" s="540"/>
      <c r="G1" s="214"/>
      <c r="H1" s="190"/>
      <c r="I1" s="148"/>
      <c r="J1" s="149"/>
      <c r="K1" s="213"/>
      <c r="L1" s="167"/>
    </row>
    <row r="2" spans="1:12" ht="20.100000000000001" customHeight="1" thickBot="1" x14ac:dyDescent="0.3">
      <c r="A2" s="167"/>
      <c r="B2" s="167"/>
      <c r="D2" s="166"/>
      <c r="E2" s="166"/>
      <c r="F2" s="166"/>
      <c r="G2" s="166"/>
      <c r="H2" s="183"/>
      <c r="I2" s="151"/>
      <c r="J2" s="152"/>
      <c r="K2" s="167"/>
      <c r="L2" s="167"/>
    </row>
    <row r="3" spans="1:12" ht="50.25" thickBot="1" x14ac:dyDescent="0.3">
      <c r="A3" s="169" t="s">
        <v>47</v>
      </c>
      <c r="B3" s="170" t="s">
        <v>12</v>
      </c>
      <c r="C3" s="169" t="s">
        <v>150</v>
      </c>
      <c r="D3" s="171" t="s">
        <v>151</v>
      </c>
      <c r="E3" s="171" t="s">
        <v>13</v>
      </c>
      <c r="F3" s="171" t="s">
        <v>14</v>
      </c>
      <c r="G3" s="170" t="s">
        <v>15</v>
      </c>
      <c r="H3" s="150" t="s">
        <v>16</v>
      </c>
      <c r="I3" s="150" t="s">
        <v>17</v>
      </c>
      <c r="J3" s="150" t="s">
        <v>18</v>
      </c>
      <c r="K3" s="171" t="s">
        <v>19</v>
      </c>
      <c r="L3" s="167"/>
    </row>
    <row r="4" spans="1:12" ht="20.100000000000001" customHeight="1" x14ac:dyDescent="0.25">
      <c r="A4" s="515" t="s">
        <v>259</v>
      </c>
      <c r="B4" s="173">
        <v>0</v>
      </c>
      <c r="C4" s="516" t="s">
        <v>260</v>
      </c>
      <c r="D4" s="173">
        <v>16935.669999999998</v>
      </c>
      <c r="E4" s="174">
        <v>472.71</v>
      </c>
      <c r="F4" s="174">
        <v>75.61</v>
      </c>
      <c r="G4" s="173">
        <f>B4+D4-E4-F4</f>
        <v>16387.349999999999</v>
      </c>
      <c r="H4" s="175">
        <v>16387.349999999999</v>
      </c>
      <c r="I4" s="517">
        <f t="shared" ref="I4:I11" si="0">H4/G4*100</f>
        <v>100</v>
      </c>
      <c r="J4" s="175">
        <f>G4-H4</f>
        <v>0</v>
      </c>
      <c r="K4" s="279">
        <f>J4/G4*100</f>
        <v>0</v>
      </c>
      <c r="L4" s="167"/>
    </row>
    <row r="5" spans="1:12" ht="20.100000000000001" customHeight="1" x14ac:dyDescent="0.25">
      <c r="A5" s="515" t="s">
        <v>261</v>
      </c>
      <c r="B5" s="173">
        <v>652.87</v>
      </c>
      <c r="C5" s="516" t="s">
        <v>262</v>
      </c>
      <c r="D5" s="173">
        <v>4838641.1900000004</v>
      </c>
      <c r="E5" s="174">
        <v>0</v>
      </c>
      <c r="F5" s="174">
        <v>712.76</v>
      </c>
      <c r="G5" s="173">
        <f t="shared" ref="G5:G6" si="1">B5+D5-E5-F5</f>
        <v>4838581.3000000007</v>
      </c>
      <c r="H5" s="175">
        <v>4836357.53</v>
      </c>
      <c r="I5" s="517">
        <f t="shared" si="0"/>
        <v>99.954040867309587</v>
      </c>
      <c r="J5" s="175">
        <f t="shared" ref="J5:J10" si="2">G5-H5</f>
        <v>2223.7700000004843</v>
      </c>
      <c r="K5" s="279">
        <f t="shared" ref="K5:K11" si="3">J5/G5*100</f>
        <v>4.5959132690412456E-2</v>
      </c>
      <c r="L5" s="167"/>
    </row>
    <row r="6" spans="1:12" ht="20.100000000000001" customHeight="1" x14ac:dyDescent="0.25">
      <c r="A6" s="515" t="s">
        <v>263</v>
      </c>
      <c r="B6" s="173">
        <v>0</v>
      </c>
      <c r="C6" s="516" t="s">
        <v>264</v>
      </c>
      <c r="D6" s="173">
        <v>519975.57</v>
      </c>
      <c r="E6" s="174">
        <v>0</v>
      </c>
      <c r="F6" s="174">
        <v>126.63</v>
      </c>
      <c r="G6" s="173">
        <f t="shared" si="1"/>
        <v>519848.94</v>
      </c>
      <c r="H6" s="175">
        <v>519848.94</v>
      </c>
      <c r="I6" s="517">
        <f t="shared" si="0"/>
        <v>100</v>
      </c>
      <c r="J6" s="175">
        <f t="shared" si="2"/>
        <v>0</v>
      </c>
      <c r="K6" s="279">
        <f t="shared" si="3"/>
        <v>0</v>
      </c>
      <c r="L6" s="167"/>
    </row>
    <row r="7" spans="1:12" ht="20.100000000000001" customHeight="1" x14ac:dyDescent="0.25">
      <c r="A7" s="515" t="s">
        <v>265</v>
      </c>
      <c r="B7" s="173">
        <v>0</v>
      </c>
      <c r="C7" s="516" t="s">
        <v>266</v>
      </c>
      <c r="D7" s="173">
        <v>503312.11</v>
      </c>
      <c r="E7" s="174">
        <v>0</v>
      </c>
      <c r="F7" s="174">
        <v>475.2</v>
      </c>
      <c r="G7" s="173">
        <f>B7+D7-E7-F7</f>
        <v>502836.91</v>
      </c>
      <c r="H7" s="175">
        <v>502836.91</v>
      </c>
      <c r="I7" s="517">
        <f t="shared" si="0"/>
        <v>100</v>
      </c>
      <c r="J7" s="175">
        <f t="shared" si="2"/>
        <v>0</v>
      </c>
      <c r="K7" s="279">
        <f t="shared" si="3"/>
        <v>0</v>
      </c>
      <c r="L7" s="167"/>
    </row>
    <row r="8" spans="1:12" ht="20.100000000000001" customHeight="1" x14ac:dyDescent="0.25">
      <c r="A8" s="515" t="s">
        <v>267</v>
      </c>
      <c r="B8" s="173">
        <v>0</v>
      </c>
      <c r="C8" s="516" t="s">
        <v>268</v>
      </c>
      <c r="D8" s="173">
        <v>503008.8</v>
      </c>
      <c r="E8" s="174">
        <v>0</v>
      </c>
      <c r="F8" s="174">
        <v>85710.399999999994</v>
      </c>
      <c r="G8" s="173">
        <f>B8+D8-E8-F8</f>
        <v>417298.4</v>
      </c>
      <c r="H8" s="175">
        <v>417298.4</v>
      </c>
      <c r="I8" s="517">
        <f t="shared" si="0"/>
        <v>100</v>
      </c>
      <c r="J8" s="175">
        <f t="shared" si="2"/>
        <v>0</v>
      </c>
      <c r="K8" s="279">
        <f t="shared" si="3"/>
        <v>0</v>
      </c>
      <c r="L8" s="167"/>
    </row>
    <row r="9" spans="1:12" ht="20.100000000000001" customHeight="1" x14ac:dyDescent="0.25">
      <c r="A9" s="518" t="s">
        <v>269</v>
      </c>
      <c r="B9" s="519">
        <v>0</v>
      </c>
      <c r="C9" s="520" t="s">
        <v>270</v>
      </c>
      <c r="D9" s="519">
        <v>164579</v>
      </c>
      <c r="E9" s="351">
        <v>0</v>
      </c>
      <c r="F9" s="174">
        <v>0</v>
      </c>
      <c r="G9" s="519">
        <f t="shared" ref="G9:G10" si="4">B9+D9-E9-F9</f>
        <v>164579</v>
      </c>
      <c r="H9" s="521">
        <v>164579</v>
      </c>
      <c r="I9" s="517">
        <f t="shared" si="0"/>
        <v>100</v>
      </c>
      <c r="J9" s="175">
        <f t="shared" si="2"/>
        <v>0</v>
      </c>
      <c r="K9" s="279">
        <f t="shared" si="3"/>
        <v>0</v>
      </c>
      <c r="L9" s="167"/>
    </row>
    <row r="10" spans="1:12" ht="16.5" x14ac:dyDescent="0.25">
      <c r="A10" s="518" t="s">
        <v>271</v>
      </c>
      <c r="B10" s="519">
        <v>0</v>
      </c>
      <c r="C10" s="520" t="s">
        <v>272</v>
      </c>
      <c r="D10" s="519">
        <v>3722835.71</v>
      </c>
      <c r="E10" s="351">
        <v>0</v>
      </c>
      <c r="F10" s="174">
        <v>9747.42</v>
      </c>
      <c r="G10" s="519">
        <f t="shared" si="4"/>
        <v>3713088.29</v>
      </c>
      <c r="H10" s="521">
        <f>B10+D10-E10-F10</f>
        <v>3713088.29</v>
      </c>
      <c r="I10" s="517">
        <f t="shared" si="0"/>
        <v>100</v>
      </c>
      <c r="J10" s="175">
        <f t="shared" si="2"/>
        <v>0</v>
      </c>
      <c r="K10" s="283">
        <f t="shared" si="3"/>
        <v>0</v>
      </c>
      <c r="L10" s="167"/>
    </row>
    <row r="11" spans="1:12" ht="20.100000000000001" customHeight="1" thickBot="1" x14ac:dyDescent="0.3">
      <c r="A11" s="153" t="s">
        <v>20</v>
      </c>
      <c r="B11" s="154">
        <f>SUM(B4:B10)</f>
        <v>652.87</v>
      </c>
      <c r="C11" s="522"/>
      <c r="D11" s="154">
        <f>SUM(D4:D10)</f>
        <v>10269288.050000001</v>
      </c>
      <c r="E11" s="155">
        <f>SUM(E4:E10)</f>
        <v>472.71</v>
      </c>
      <c r="F11" s="155">
        <f>SUM(F4:F10)</f>
        <v>96848.01999999999</v>
      </c>
      <c r="G11" s="154">
        <f>SUM(G4:G10)</f>
        <v>10172620.190000001</v>
      </c>
      <c r="H11" s="156">
        <f>SUM(H4:H10)</f>
        <v>10170396.420000002</v>
      </c>
      <c r="I11" s="523">
        <f t="shared" si="0"/>
        <v>99.978139653712958</v>
      </c>
      <c r="J11" s="156">
        <f>G11-H11</f>
        <v>2223.769999999553</v>
      </c>
      <c r="K11" s="524">
        <f t="shared" si="3"/>
        <v>2.1860346287042028E-2</v>
      </c>
      <c r="L11" s="167"/>
    </row>
    <row r="12" spans="1:12" ht="20.100000000000001" customHeight="1" thickTop="1" x14ac:dyDescent="0.25">
      <c r="A12" s="179"/>
      <c r="B12" s="180"/>
      <c r="C12" s="35"/>
      <c r="D12" s="180"/>
      <c r="E12" s="126"/>
      <c r="F12" s="126"/>
      <c r="G12" s="180"/>
      <c r="H12" s="128"/>
      <c r="I12" s="128"/>
      <c r="J12" s="128"/>
      <c r="K12" s="126"/>
      <c r="L12" s="167"/>
    </row>
    <row r="13" spans="1:12" ht="20.100000000000001" customHeight="1" x14ac:dyDescent="0.25">
      <c r="A13" s="157" t="s">
        <v>21</v>
      </c>
      <c r="B13" s="96" t="s">
        <v>261</v>
      </c>
      <c r="D13" s="525">
        <v>2223.77</v>
      </c>
      <c r="E13" s="108" t="s">
        <v>273</v>
      </c>
      <c r="F13" s="108"/>
      <c r="G13" s="166"/>
      <c r="H13" s="190"/>
      <c r="I13" s="183"/>
      <c r="J13" s="151"/>
      <c r="K13" s="167"/>
      <c r="L13" s="167"/>
    </row>
    <row r="14" spans="1:12" ht="20.100000000000001" customHeight="1" thickBot="1" x14ac:dyDescent="0.3">
      <c r="A14" s="157"/>
      <c r="B14" s="167"/>
      <c r="D14" s="485">
        <f>SUM(D13)</f>
        <v>2223.77</v>
      </c>
      <c r="E14" s="166"/>
      <c r="F14" s="166"/>
      <c r="G14" s="166"/>
      <c r="H14" s="190"/>
      <c r="I14" s="183"/>
      <c r="J14" s="151"/>
      <c r="K14" s="167"/>
      <c r="L14" s="167"/>
    </row>
    <row r="15" spans="1:12" ht="20.100000000000001" customHeight="1" thickTop="1" x14ac:dyDescent="0.25">
      <c r="A15" s="213"/>
      <c r="B15" s="213"/>
      <c r="C15" s="514"/>
      <c r="D15" s="540" t="s">
        <v>303</v>
      </c>
      <c r="E15" s="540"/>
      <c r="F15" s="540"/>
      <c r="G15" s="214"/>
      <c r="H15" s="190"/>
      <c r="I15" s="148"/>
      <c r="J15" s="149"/>
      <c r="K15" s="213"/>
    </row>
    <row r="16" spans="1:12" ht="20.100000000000001" customHeight="1" thickBot="1" x14ac:dyDescent="0.3">
      <c r="A16" s="167"/>
      <c r="B16" s="167"/>
      <c r="D16" s="166"/>
      <c r="E16" s="166"/>
      <c r="F16" s="166"/>
      <c r="G16" s="166"/>
      <c r="H16" s="183"/>
      <c r="I16" s="151"/>
      <c r="J16" s="152"/>
      <c r="K16" s="167"/>
    </row>
    <row r="17" spans="1:11" ht="50.25" thickBot="1" x14ac:dyDescent="0.3">
      <c r="A17" s="169" t="s">
        <v>284</v>
      </c>
      <c r="B17" s="170" t="s">
        <v>12</v>
      </c>
      <c r="C17" s="169" t="s">
        <v>150</v>
      </c>
      <c r="D17" s="171" t="s">
        <v>151</v>
      </c>
      <c r="E17" s="171" t="s">
        <v>13</v>
      </c>
      <c r="F17" s="171" t="s">
        <v>14</v>
      </c>
      <c r="G17" s="170" t="s">
        <v>15</v>
      </c>
      <c r="H17" s="150" t="s">
        <v>16</v>
      </c>
      <c r="I17" s="150" t="s">
        <v>17</v>
      </c>
      <c r="J17" s="150" t="s">
        <v>18</v>
      </c>
      <c r="K17" s="171" t="s">
        <v>19</v>
      </c>
    </row>
    <row r="18" spans="1:11" ht="20.100000000000001" customHeight="1" x14ac:dyDescent="0.25">
      <c r="A18" s="515" t="s">
        <v>259</v>
      </c>
      <c r="B18" s="173">
        <v>0</v>
      </c>
      <c r="C18" s="516" t="s">
        <v>304</v>
      </c>
      <c r="D18" s="173">
        <v>195969.77</v>
      </c>
      <c r="E18" s="174">
        <v>5494.48</v>
      </c>
      <c r="F18" s="174">
        <v>0</v>
      </c>
      <c r="G18" s="173">
        <f>B18+D18-E18-F18</f>
        <v>190475.28999999998</v>
      </c>
      <c r="H18" s="175">
        <v>190475.29</v>
      </c>
      <c r="I18" s="517">
        <f t="shared" ref="I18:I25" si="5">H18/G18*100</f>
        <v>100.00000000000003</v>
      </c>
      <c r="J18" s="175">
        <f>G18-H18</f>
        <v>0</v>
      </c>
      <c r="K18" s="279">
        <f>J18/G18*100</f>
        <v>0</v>
      </c>
    </row>
    <row r="19" spans="1:11" ht="16.5" x14ac:dyDescent="0.25">
      <c r="A19" s="515" t="s">
        <v>261</v>
      </c>
      <c r="B19" s="173">
        <v>2223.77</v>
      </c>
      <c r="C19" s="516" t="s">
        <v>305</v>
      </c>
      <c r="D19" s="173">
        <v>4327672.5199999996</v>
      </c>
      <c r="E19" s="174">
        <v>0</v>
      </c>
      <c r="F19" s="174">
        <v>0</v>
      </c>
      <c r="G19" s="173">
        <f t="shared" ref="G19:G20" si="6">B19+D19-E19-F19</f>
        <v>4329896.2899999991</v>
      </c>
      <c r="H19" s="175">
        <v>4329896.26</v>
      </c>
      <c r="I19" s="517">
        <f t="shared" si="5"/>
        <v>99.999999307142772</v>
      </c>
      <c r="J19" s="175">
        <f t="shared" ref="J19:J24" si="7">G19-H19</f>
        <v>2.9999999329447746E-2</v>
      </c>
      <c r="K19" s="279">
        <f t="shared" ref="K19:K25" si="8">J19/G19*100</f>
        <v>6.9285722613572699E-7</v>
      </c>
    </row>
    <row r="20" spans="1:11" ht="20.100000000000001" customHeight="1" x14ac:dyDescent="0.25">
      <c r="A20" s="515" t="s">
        <v>263</v>
      </c>
      <c r="B20" s="173">
        <v>0</v>
      </c>
      <c r="C20" s="516" t="s">
        <v>306</v>
      </c>
      <c r="D20" s="173">
        <v>192361.72</v>
      </c>
      <c r="E20" s="174">
        <v>0</v>
      </c>
      <c r="F20" s="174">
        <v>10304.629999999999</v>
      </c>
      <c r="G20" s="173">
        <f t="shared" si="6"/>
        <v>182057.09</v>
      </c>
      <c r="H20" s="175">
        <v>182057.09</v>
      </c>
      <c r="I20" s="517">
        <f t="shared" si="5"/>
        <v>100</v>
      </c>
      <c r="J20" s="175">
        <f t="shared" si="7"/>
        <v>0</v>
      </c>
      <c r="K20" s="279">
        <f t="shared" si="8"/>
        <v>0</v>
      </c>
    </row>
    <row r="21" spans="1:11" ht="20.100000000000001" customHeight="1" x14ac:dyDescent="0.25">
      <c r="A21" s="515" t="s">
        <v>265</v>
      </c>
      <c r="B21" s="173">
        <v>0</v>
      </c>
      <c r="C21" s="516" t="s">
        <v>307</v>
      </c>
      <c r="D21" s="173">
        <v>327824.44</v>
      </c>
      <c r="E21" s="174">
        <v>0</v>
      </c>
      <c r="F21" s="174">
        <v>0</v>
      </c>
      <c r="G21" s="173">
        <f>B21+D21-E21-F21</f>
        <v>327824.44</v>
      </c>
      <c r="H21" s="175">
        <v>325750.82</v>
      </c>
      <c r="I21" s="517">
        <f t="shared" si="5"/>
        <v>99.367460217426128</v>
      </c>
      <c r="J21" s="175">
        <f t="shared" si="7"/>
        <v>2073.6199999999953</v>
      </c>
      <c r="K21" s="279">
        <f t="shared" si="8"/>
        <v>0.63253978257386645</v>
      </c>
    </row>
    <row r="22" spans="1:11" ht="20.100000000000001" customHeight="1" x14ac:dyDescent="0.25">
      <c r="A22" s="515" t="s">
        <v>267</v>
      </c>
      <c r="B22" s="173">
        <v>0</v>
      </c>
      <c r="C22" s="516" t="s">
        <v>308</v>
      </c>
      <c r="D22" s="173">
        <v>483804.79</v>
      </c>
      <c r="E22" s="174">
        <v>0</v>
      </c>
      <c r="F22" s="174">
        <v>54874.11</v>
      </c>
      <c r="G22" s="173">
        <f>B22+D22-E22-F22</f>
        <v>428930.68</v>
      </c>
      <c r="H22" s="175">
        <v>428930.68</v>
      </c>
      <c r="I22" s="517">
        <f t="shared" si="5"/>
        <v>100</v>
      </c>
      <c r="J22" s="175">
        <f t="shared" si="7"/>
        <v>0</v>
      </c>
      <c r="K22" s="279">
        <f t="shared" si="8"/>
        <v>0</v>
      </c>
    </row>
    <row r="23" spans="1:11" ht="20.100000000000001" customHeight="1" x14ac:dyDescent="0.25">
      <c r="A23" s="518" t="s">
        <v>269</v>
      </c>
      <c r="B23" s="519">
        <v>0</v>
      </c>
      <c r="C23" s="520" t="s">
        <v>309</v>
      </c>
      <c r="D23" s="519">
        <v>236181.53</v>
      </c>
      <c r="E23" s="351">
        <v>0</v>
      </c>
      <c r="F23" s="174">
        <v>0</v>
      </c>
      <c r="G23" s="519">
        <f t="shared" ref="G23:G24" si="9">B23+D23-E23-F23</f>
        <v>236181.53</v>
      </c>
      <c r="H23" s="521">
        <v>236181.53</v>
      </c>
      <c r="I23" s="517">
        <f t="shared" si="5"/>
        <v>100</v>
      </c>
      <c r="J23" s="175">
        <f t="shared" si="7"/>
        <v>0</v>
      </c>
      <c r="K23" s="279">
        <f t="shared" si="8"/>
        <v>0</v>
      </c>
    </row>
    <row r="24" spans="1:11" ht="20.100000000000001" customHeight="1" x14ac:dyDescent="0.25">
      <c r="A24" s="518" t="s">
        <v>271</v>
      </c>
      <c r="B24" s="519">
        <v>0</v>
      </c>
      <c r="C24" s="520" t="s">
        <v>310</v>
      </c>
      <c r="D24" s="519">
        <v>991814.3</v>
      </c>
      <c r="E24" s="351">
        <v>0</v>
      </c>
      <c r="F24" s="174">
        <v>0</v>
      </c>
      <c r="G24" s="519">
        <f t="shared" si="9"/>
        <v>991814.3</v>
      </c>
      <c r="H24" s="521">
        <f>B24+D24-E24-F24</f>
        <v>991814.3</v>
      </c>
      <c r="I24" s="517">
        <f t="shared" si="5"/>
        <v>100</v>
      </c>
      <c r="J24" s="175">
        <f t="shared" si="7"/>
        <v>0</v>
      </c>
      <c r="K24" s="283">
        <f t="shared" si="8"/>
        <v>0</v>
      </c>
    </row>
    <row r="25" spans="1:11" ht="20.100000000000001" customHeight="1" thickBot="1" x14ac:dyDescent="0.3">
      <c r="A25" s="153" t="s">
        <v>20</v>
      </c>
      <c r="B25" s="154">
        <f>SUM(B18:B24)</f>
        <v>2223.77</v>
      </c>
      <c r="C25" s="522"/>
      <c r="D25" s="154">
        <f>SUM(D18:D24)</f>
        <v>6755629.0699999994</v>
      </c>
      <c r="E25" s="155">
        <f>SUM(E18:E24)</f>
        <v>5494.48</v>
      </c>
      <c r="F25" s="155">
        <f>SUM(F18:F24)</f>
        <v>65178.74</v>
      </c>
      <c r="G25" s="154">
        <f>SUM(G18:G24)</f>
        <v>6687179.6199999992</v>
      </c>
      <c r="H25" s="156">
        <f>SUM(H18:H24)</f>
        <v>6685105.9699999997</v>
      </c>
      <c r="I25" s="523">
        <f t="shared" si="5"/>
        <v>99.968990663959474</v>
      </c>
      <c r="J25" s="156">
        <f>G25-H25</f>
        <v>2073.6499999994412</v>
      </c>
      <c r="K25" s="524">
        <f t="shared" si="8"/>
        <v>3.1009336040527073E-2</v>
      </c>
    </row>
    <row r="26" spans="1:11" ht="20.100000000000001" customHeight="1" thickTop="1" x14ac:dyDescent="0.25">
      <c r="A26" s="179"/>
      <c r="B26" s="180"/>
      <c r="C26" s="35"/>
      <c r="D26" s="180"/>
      <c r="E26" s="126"/>
      <c r="F26" s="126"/>
      <c r="G26" s="180"/>
      <c r="H26" s="128"/>
      <c r="I26" s="128"/>
      <c r="J26" s="128"/>
      <c r="K26" s="126"/>
    </row>
    <row r="27" spans="1:11" ht="20.100000000000001" customHeight="1" x14ac:dyDescent="0.25">
      <c r="A27" s="157" t="s">
        <v>21</v>
      </c>
      <c r="B27" s="515" t="s">
        <v>265</v>
      </c>
      <c r="D27" s="525">
        <v>2073.62</v>
      </c>
      <c r="E27" s="108" t="s">
        <v>311</v>
      </c>
      <c r="F27" s="108"/>
      <c r="G27" s="166"/>
      <c r="H27" s="190"/>
      <c r="I27" s="183"/>
      <c r="J27" s="151"/>
      <c r="K27" s="167"/>
    </row>
    <row r="28" spans="1:11" ht="20.100000000000001" customHeight="1" thickBot="1" x14ac:dyDescent="0.3">
      <c r="A28" s="157"/>
      <c r="B28" s="167"/>
      <c r="D28" s="485">
        <f>SUM(D27)</f>
        <v>2073.62</v>
      </c>
      <c r="E28" s="166"/>
      <c r="F28" s="166"/>
      <c r="G28" s="166"/>
      <c r="H28" s="190"/>
      <c r="I28" s="183"/>
      <c r="J28" s="151"/>
      <c r="K28" s="167"/>
    </row>
    <row r="29" spans="1:11" ht="20.100000000000001" customHeight="1" thickTop="1" x14ac:dyDescent="0.25">
      <c r="A29" s="167"/>
      <c r="B29" s="167"/>
      <c r="D29" s="166"/>
      <c r="E29" s="166"/>
      <c r="F29" s="166"/>
      <c r="G29" s="166"/>
      <c r="H29" s="183"/>
      <c r="I29" s="151"/>
      <c r="J29" s="152"/>
      <c r="K29" s="167"/>
    </row>
    <row r="30" spans="1:11" ht="20.100000000000001" customHeight="1" x14ac:dyDescent="0.25">
      <c r="A30" s="91"/>
      <c r="B30" s="23"/>
      <c r="C30" s="87"/>
      <c r="E30" s="21"/>
      <c r="F30" s="21"/>
      <c r="I30" s="19"/>
      <c r="J30" s="20"/>
      <c r="K30" s="18"/>
    </row>
    <row r="31" spans="1:11" ht="20.100000000000001" customHeight="1" x14ac:dyDescent="0.25">
      <c r="B31" s="23"/>
      <c r="C31" s="34"/>
      <c r="D31" s="43"/>
      <c r="E31" s="21"/>
      <c r="F31" s="21"/>
      <c r="K31" s="18"/>
    </row>
    <row r="32" spans="1:11" ht="20.100000000000001" customHeight="1" x14ac:dyDescent="0.25">
      <c r="D32" s="36"/>
      <c r="E32" s="21"/>
      <c r="F32" s="21"/>
      <c r="K32" s="18"/>
    </row>
    <row r="33" spans="5:11" ht="20.100000000000001" customHeight="1" x14ac:dyDescent="0.25">
      <c r="E33" s="21"/>
      <c r="F33" s="21"/>
      <c r="K33" s="18"/>
    </row>
    <row r="34" spans="5:11" ht="20.100000000000001" customHeight="1" x14ac:dyDescent="0.25">
      <c r="E34" s="21"/>
      <c r="F34" s="21"/>
      <c r="K34" s="18"/>
    </row>
  </sheetData>
  <mergeCells count="2">
    <mergeCell ref="D1:F1"/>
    <mergeCell ref="D15:F15"/>
  </mergeCells>
  <printOptions horizontalCentered="1"/>
  <pageMargins left="0.3" right="0.3" top="0.7" bottom="0.7" header="0.3" footer="0.3"/>
  <pageSetup scale="60" fitToHeight="0" orientation="landscape" verticalDpi="180" r:id="rId1"/>
  <headerFooter>
    <oddHeader>&amp;F</oddHeader>
    <oddFooter>&amp;A&amp;RPage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D19" sqref="D19"/>
    </sheetView>
  </sheetViews>
  <sheetFormatPr defaultRowHeight="20.100000000000001" customHeight="1" x14ac:dyDescent="0.3"/>
  <cols>
    <col min="1" max="1" width="30.7109375" style="109" customWidth="1"/>
    <col min="2" max="10" width="20.7109375" style="109" customWidth="1"/>
    <col min="11" max="16384" width="9.140625" style="109"/>
  </cols>
  <sheetData>
    <row r="1" spans="1:10" s="167" customFormat="1" ht="20.100000000000001" customHeight="1" x14ac:dyDescent="0.25">
      <c r="A1" s="533" t="s">
        <v>253</v>
      </c>
      <c r="B1" s="533"/>
      <c r="C1" s="533"/>
      <c r="D1" s="533"/>
      <c r="E1" s="533"/>
      <c r="F1" s="533"/>
      <c r="G1" s="533"/>
      <c r="H1" s="533"/>
      <c r="I1" s="533"/>
      <c r="J1" s="533"/>
    </row>
    <row r="2" spans="1:10" s="167" customFormat="1" ht="17.25" thickBot="1" x14ac:dyDescent="0.3">
      <c r="A2" s="534"/>
      <c r="B2" s="534"/>
      <c r="C2" s="534"/>
      <c r="D2" s="534"/>
      <c r="E2" s="534"/>
      <c r="F2" s="534"/>
      <c r="G2" s="534"/>
      <c r="H2" s="534"/>
      <c r="I2" s="534"/>
      <c r="J2" s="534"/>
    </row>
    <row r="3" spans="1:10" s="167" customFormat="1" ht="50.25" thickBot="1" x14ac:dyDescent="0.3">
      <c r="A3" s="490" t="s">
        <v>47</v>
      </c>
      <c r="B3" s="216" t="s">
        <v>69</v>
      </c>
      <c r="C3" s="216" t="s">
        <v>254</v>
      </c>
      <c r="D3" s="216" t="s">
        <v>71</v>
      </c>
      <c r="E3" s="216" t="s">
        <v>72</v>
      </c>
      <c r="F3" s="216" t="s">
        <v>73</v>
      </c>
      <c r="G3" s="216" t="s">
        <v>16</v>
      </c>
      <c r="H3" s="216" t="s">
        <v>74</v>
      </c>
      <c r="I3" s="216" t="s">
        <v>18</v>
      </c>
      <c r="J3" s="216" t="s">
        <v>75</v>
      </c>
    </row>
    <row r="4" spans="1:10" s="167" customFormat="1" ht="20.100000000000001" customHeight="1" x14ac:dyDescent="0.25">
      <c r="A4" s="258" t="s">
        <v>22</v>
      </c>
      <c r="B4" s="491">
        <v>87467.11</v>
      </c>
      <c r="C4" s="491">
        <v>3912070.88</v>
      </c>
      <c r="D4" s="491"/>
      <c r="E4" s="492">
        <v>159191.32999999999</v>
      </c>
      <c r="F4" s="491">
        <f>B4+C4-D4-E4</f>
        <v>3840346.6599999997</v>
      </c>
      <c r="G4" s="491">
        <v>2738124.16</v>
      </c>
      <c r="H4" s="259">
        <f>+G4/F4*100</f>
        <v>71.298880085997254</v>
      </c>
      <c r="I4" s="259">
        <f>F4-G4</f>
        <v>1102222.4999999995</v>
      </c>
      <c r="J4" s="493">
        <f>+I4/F4*100</f>
        <v>28.701119914002753</v>
      </c>
    </row>
    <row r="5" spans="1:10" s="167" customFormat="1" ht="17.25" thickBot="1" x14ac:dyDescent="0.3">
      <c r="A5" s="494" t="s">
        <v>247</v>
      </c>
      <c r="B5" s="493">
        <f>SUM(B4)</f>
        <v>87467.11</v>
      </c>
      <c r="C5" s="493">
        <f>SUM(C4)</f>
        <v>3912070.88</v>
      </c>
      <c r="D5" s="493">
        <v>0</v>
      </c>
      <c r="E5" s="495">
        <f>SUM(E4)</f>
        <v>159191.32999999999</v>
      </c>
      <c r="F5" s="493">
        <f>SUM(F4)</f>
        <v>3840346.6599999997</v>
      </c>
      <c r="G5" s="493">
        <f>SUM(G4)</f>
        <v>2738124.16</v>
      </c>
      <c r="H5" s="493">
        <f>+G5/F5*100</f>
        <v>71.298880085997254</v>
      </c>
      <c r="I5" s="493">
        <f>SUM(I4)</f>
        <v>1102222.4999999995</v>
      </c>
      <c r="J5" s="493">
        <f>+I5/F5*100</f>
        <v>28.701119914002753</v>
      </c>
    </row>
    <row r="6" spans="1:10" s="167" customFormat="1" ht="50.25" thickBot="1" x14ac:dyDescent="0.3">
      <c r="A6" s="490" t="s">
        <v>47</v>
      </c>
      <c r="B6" s="216" t="s">
        <v>69</v>
      </c>
      <c r="C6" s="216" t="s">
        <v>254</v>
      </c>
      <c r="D6" s="216" t="s">
        <v>71</v>
      </c>
      <c r="E6" s="216" t="s">
        <v>72</v>
      </c>
      <c r="F6" s="216" t="s">
        <v>73</v>
      </c>
      <c r="G6" s="216" t="s">
        <v>16</v>
      </c>
      <c r="H6" s="216" t="s">
        <v>74</v>
      </c>
      <c r="I6" s="216" t="s">
        <v>18</v>
      </c>
      <c r="J6" s="496" t="s">
        <v>75</v>
      </c>
    </row>
    <row r="7" spans="1:10" s="167" customFormat="1" ht="20.100000000000001" customHeight="1" x14ac:dyDescent="0.25">
      <c r="A7" s="262" t="s">
        <v>23</v>
      </c>
      <c r="B7" s="306">
        <v>1472132.75</v>
      </c>
      <c r="C7" s="306">
        <v>2343563.2200000002</v>
      </c>
      <c r="D7" s="306">
        <v>0</v>
      </c>
      <c r="E7" s="497">
        <v>0</v>
      </c>
      <c r="F7" s="263">
        <f>B7+C7-D7-E7</f>
        <v>3815695.97</v>
      </c>
      <c r="G7" s="306">
        <v>3779675.49</v>
      </c>
      <c r="H7" s="259">
        <f>+G7/F7*100</f>
        <v>99.055991874530818</v>
      </c>
      <c r="I7" s="259">
        <f>+F7-G7</f>
        <v>36020.479999999981</v>
      </c>
      <c r="J7" s="306">
        <f>+I7/F7*100</f>
        <v>0.94400812546917823</v>
      </c>
    </row>
    <row r="8" spans="1:10" s="167" customFormat="1" ht="20.100000000000001" customHeight="1" x14ac:dyDescent="0.25">
      <c r="A8" s="498" t="s">
        <v>248</v>
      </c>
      <c r="B8" s="499">
        <f t="shared" ref="B8:G8" si="0">SUM(B7:B7)</f>
        <v>1472132.75</v>
      </c>
      <c r="C8" s="499">
        <f t="shared" si="0"/>
        <v>2343563.2200000002</v>
      </c>
      <c r="D8" s="499">
        <f t="shared" si="0"/>
        <v>0</v>
      </c>
      <c r="E8" s="500">
        <f t="shared" si="0"/>
        <v>0</v>
      </c>
      <c r="F8" s="499">
        <f t="shared" si="0"/>
        <v>3815695.97</v>
      </c>
      <c r="G8" s="499">
        <f t="shared" si="0"/>
        <v>3779675.49</v>
      </c>
      <c r="H8" s="499">
        <f>+G8/F8*100</f>
        <v>99.055991874530818</v>
      </c>
      <c r="I8" s="499">
        <f>SUM(I7:I7)</f>
        <v>36020.479999999981</v>
      </c>
      <c r="J8" s="499">
        <f>+I8/F8*100</f>
        <v>0.94400812546917823</v>
      </c>
    </row>
    <row r="9" spans="1:10" s="510" customFormat="1" ht="20.100000000000001" customHeight="1" thickBot="1" x14ac:dyDescent="0.3">
      <c r="A9" s="508" t="s">
        <v>20</v>
      </c>
      <c r="B9" s="509">
        <f>SUM(B8,B5)</f>
        <v>1559599.86</v>
      </c>
      <c r="C9" s="509">
        <f>SUM(C8,C5)</f>
        <v>6255634.0999999996</v>
      </c>
      <c r="D9" s="509">
        <f>+D5+D8</f>
        <v>0</v>
      </c>
      <c r="E9" s="509">
        <f>SUM(E8,E5)</f>
        <v>159191.32999999999</v>
      </c>
      <c r="F9" s="509">
        <f>SUM(F8,F5)</f>
        <v>7656042.6299999999</v>
      </c>
      <c r="G9" s="509">
        <f>SUM(G8,G5)</f>
        <v>6517799.6500000004</v>
      </c>
      <c r="H9" s="509">
        <f>+G9/F9*100</f>
        <v>85.132750233915573</v>
      </c>
      <c r="I9" s="509">
        <f>SUM(I8,I5)</f>
        <v>1138242.9799999995</v>
      </c>
      <c r="J9" s="509">
        <f>+I9/F9*100</f>
        <v>14.867249766084434</v>
      </c>
    </row>
    <row r="10" spans="1:10" s="167" customFormat="1" ht="20.100000000000001" customHeight="1" thickTop="1" x14ac:dyDescent="0.3">
      <c r="A10" s="211"/>
      <c r="B10" s="212"/>
      <c r="C10" s="212"/>
      <c r="D10" s="212"/>
      <c r="E10" s="212"/>
      <c r="F10" s="212"/>
      <c r="G10" s="212"/>
      <c r="H10" s="212"/>
      <c r="I10" s="212"/>
      <c r="J10" s="212"/>
    </row>
    <row r="11" spans="1:10" s="167" customFormat="1" ht="19.5" customHeight="1" x14ac:dyDescent="0.25">
      <c r="A11" s="503" t="s">
        <v>21</v>
      </c>
      <c r="B11" s="302"/>
      <c r="C11" s="504"/>
      <c r="D11" s="504"/>
      <c r="E11" s="504"/>
      <c r="F11" s="504"/>
      <c r="G11" s="504"/>
      <c r="H11" s="505"/>
      <c r="I11" s="504"/>
      <c r="J11" s="302"/>
    </row>
    <row r="12" spans="1:10" s="167" customFormat="1" ht="19.5" customHeight="1" x14ac:dyDescent="0.25">
      <c r="C12" s="506" t="s">
        <v>79</v>
      </c>
      <c r="D12" s="504"/>
      <c r="E12" s="504"/>
      <c r="F12" s="504"/>
      <c r="G12" s="504"/>
      <c r="H12" s="505"/>
      <c r="I12" s="504"/>
      <c r="J12" s="302"/>
    </row>
    <row r="13" spans="1:10" s="167" customFormat="1" ht="20.100000000000001" customHeight="1" x14ac:dyDescent="0.3">
      <c r="A13" s="511" t="s">
        <v>249</v>
      </c>
      <c r="B13" s="167" t="s">
        <v>255</v>
      </c>
      <c r="C13" s="512">
        <v>1102222.5</v>
      </c>
      <c r="D13" s="504" t="s">
        <v>24</v>
      </c>
      <c r="E13" s="212" t="s">
        <v>256</v>
      </c>
      <c r="F13" s="504"/>
      <c r="G13" s="504"/>
      <c r="H13" s="505"/>
      <c r="I13" s="504"/>
      <c r="J13" s="302"/>
    </row>
    <row r="14" spans="1:10" s="211" customFormat="1" ht="21.75" customHeight="1" thickBot="1" x14ac:dyDescent="0.35">
      <c r="B14" s="212"/>
      <c r="C14" s="513">
        <f>SUM(C13:C13)</f>
        <v>1102222.5</v>
      </c>
      <c r="D14" s="504" t="s">
        <v>24</v>
      </c>
      <c r="E14" s="212"/>
      <c r="F14" s="212"/>
      <c r="G14" s="212"/>
      <c r="H14" s="212"/>
      <c r="I14" s="212"/>
      <c r="J14" s="212"/>
    </row>
    <row r="15" spans="1:10" s="211" customFormat="1" ht="21.75" customHeight="1" thickTop="1" x14ac:dyDescent="0.3">
      <c r="A15" s="511" t="s">
        <v>257</v>
      </c>
      <c r="B15" s="167" t="s">
        <v>255</v>
      </c>
      <c r="C15" s="212">
        <v>36020.480000000003</v>
      </c>
      <c r="D15" s="504" t="s">
        <v>24</v>
      </c>
      <c r="E15" s="212" t="s">
        <v>256</v>
      </c>
      <c r="F15" s="212"/>
      <c r="G15" s="212"/>
      <c r="H15" s="212"/>
      <c r="I15" s="212"/>
      <c r="J15" s="212"/>
    </row>
    <row r="16" spans="1:10" s="211" customFormat="1" ht="21.75" customHeight="1" x14ac:dyDescent="0.3">
      <c r="B16" s="212"/>
      <c r="C16" s="224">
        <f>SUM(C15)</f>
        <v>36020.480000000003</v>
      </c>
      <c r="D16" s="504" t="s">
        <v>24</v>
      </c>
      <c r="E16" s="212"/>
      <c r="F16" s="212"/>
      <c r="G16" s="212"/>
      <c r="H16" s="212"/>
      <c r="I16" s="212"/>
      <c r="J16" s="212"/>
    </row>
    <row r="17" spans="1:10" s="211" customFormat="1" ht="21.75" customHeight="1" thickBot="1" x14ac:dyDescent="0.35">
      <c r="B17" s="212"/>
      <c r="C17" s="331">
        <f>SUM(C16,C14)</f>
        <v>1138242.98</v>
      </c>
      <c r="D17" s="212"/>
      <c r="E17" s="212"/>
      <c r="F17" s="212"/>
      <c r="G17" s="212"/>
      <c r="H17" s="212"/>
      <c r="I17" s="212"/>
      <c r="J17" s="212"/>
    </row>
    <row r="18" spans="1:10" ht="20.100000000000001" customHeight="1" thickTop="1" x14ac:dyDescent="0.3"/>
    <row r="20" spans="1:10" s="187" customFormat="1" ht="19.5" customHeight="1" x14ac:dyDescent="0.3">
      <c r="A20" s="533" t="s">
        <v>317</v>
      </c>
      <c r="B20" s="533"/>
      <c r="C20" s="533"/>
      <c r="D20" s="533"/>
      <c r="E20" s="533"/>
      <c r="F20" s="533"/>
      <c r="G20" s="533"/>
      <c r="H20" s="533"/>
      <c r="I20" s="533"/>
      <c r="J20" s="533"/>
    </row>
    <row r="21" spans="1:10" s="187" customFormat="1" ht="20.100000000000001" customHeight="1" thickBot="1" x14ac:dyDescent="0.35">
      <c r="A21" s="534"/>
      <c r="B21" s="534"/>
      <c r="C21" s="534"/>
      <c r="D21" s="534"/>
      <c r="E21" s="534"/>
      <c r="F21" s="534"/>
      <c r="G21" s="534"/>
      <c r="H21" s="534"/>
      <c r="I21" s="534"/>
      <c r="J21" s="534"/>
    </row>
    <row r="22" spans="1:10" s="187" customFormat="1" ht="50.25" thickBot="1" x14ac:dyDescent="0.35">
      <c r="A22" s="490" t="s">
        <v>284</v>
      </c>
      <c r="B22" s="216" t="s">
        <v>69</v>
      </c>
      <c r="C22" s="216" t="s">
        <v>318</v>
      </c>
      <c r="D22" s="216" t="s">
        <v>71</v>
      </c>
      <c r="E22" s="216" t="s">
        <v>72</v>
      </c>
      <c r="F22" s="216" t="s">
        <v>73</v>
      </c>
      <c r="G22" s="216" t="s">
        <v>16</v>
      </c>
      <c r="H22" s="216" t="s">
        <v>74</v>
      </c>
      <c r="I22" s="216" t="s">
        <v>18</v>
      </c>
      <c r="J22" s="216" t="s">
        <v>75</v>
      </c>
    </row>
    <row r="23" spans="1:10" s="187" customFormat="1" ht="20.100000000000001" customHeight="1" x14ac:dyDescent="0.3">
      <c r="A23" s="258" t="s">
        <v>22</v>
      </c>
      <c r="B23" s="491">
        <v>1102222.5</v>
      </c>
      <c r="C23" s="491">
        <v>2078397.67</v>
      </c>
      <c r="D23" s="491"/>
      <c r="E23" s="492">
        <v>199106.07</v>
      </c>
      <c r="F23" s="491">
        <f>B23+C23-D23-E23</f>
        <v>2981514.1</v>
      </c>
      <c r="G23" s="491">
        <v>2862019.61</v>
      </c>
      <c r="H23" s="259">
        <f>+G23/F23*100</f>
        <v>95.992154120619446</v>
      </c>
      <c r="I23" s="259">
        <f>F23-G23</f>
        <v>119494.49000000022</v>
      </c>
      <c r="J23" s="493">
        <f>+I23/F23*100</f>
        <v>4.0078458793805547</v>
      </c>
    </row>
    <row r="24" spans="1:10" s="187" customFormat="1" ht="20.100000000000001" customHeight="1" thickBot="1" x14ac:dyDescent="0.35">
      <c r="A24" s="494" t="s">
        <v>247</v>
      </c>
      <c r="B24" s="493">
        <f>SUM(B23)</f>
        <v>1102222.5</v>
      </c>
      <c r="C24" s="493">
        <f>SUM(C23)</f>
        <v>2078397.67</v>
      </c>
      <c r="D24" s="493">
        <v>0</v>
      </c>
      <c r="E24" s="495">
        <f>SUM(E23)</f>
        <v>199106.07</v>
      </c>
      <c r="F24" s="493">
        <f>SUM(F23)</f>
        <v>2981514.1</v>
      </c>
      <c r="G24" s="493">
        <f>SUM(G23)</f>
        <v>2862019.61</v>
      </c>
      <c r="H24" s="493">
        <f>+G24/F24*100</f>
        <v>95.992154120619446</v>
      </c>
      <c r="I24" s="493">
        <f>SUM(I23)</f>
        <v>119494.49000000022</v>
      </c>
      <c r="J24" s="493">
        <f>+I24/F24*100</f>
        <v>4.0078458793805547</v>
      </c>
    </row>
    <row r="25" spans="1:10" s="187" customFormat="1" ht="50.25" thickBot="1" x14ac:dyDescent="0.35">
      <c r="A25" s="490" t="s">
        <v>284</v>
      </c>
      <c r="B25" s="216" t="s">
        <v>69</v>
      </c>
      <c r="C25" s="216" t="s">
        <v>318</v>
      </c>
      <c r="D25" s="216" t="s">
        <v>71</v>
      </c>
      <c r="E25" s="216" t="s">
        <v>72</v>
      </c>
      <c r="F25" s="216" t="s">
        <v>73</v>
      </c>
      <c r="G25" s="216" t="s">
        <v>16</v>
      </c>
      <c r="H25" s="216" t="s">
        <v>74</v>
      </c>
      <c r="I25" s="216" t="s">
        <v>18</v>
      </c>
      <c r="J25" s="496" t="s">
        <v>75</v>
      </c>
    </row>
    <row r="26" spans="1:10" s="187" customFormat="1" ht="20.100000000000001" customHeight="1" x14ac:dyDescent="0.3">
      <c r="A26" s="262" t="s">
        <v>23</v>
      </c>
      <c r="B26" s="306">
        <v>36020.480000000003</v>
      </c>
      <c r="C26" s="306">
        <v>2531784.36</v>
      </c>
      <c r="D26" s="306">
        <v>0</v>
      </c>
      <c r="E26" s="497">
        <v>0</v>
      </c>
      <c r="F26" s="263">
        <f>B26+C26-D26-E26</f>
        <v>2567804.84</v>
      </c>
      <c r="G26" s="306">
        <v>1474597.39</v>
      </c>
      <c r="H26" s="259">
        <f>+G26/F26*100</f>
        <v>57.42638097060366</v>
      </c>
      <c r="I26" s="259">
        <f>+F26-G26</f>
        <v>1093207.45</v>
      </c>
      <c r="J26" s="306">
        <f>+I26/F26*100</f>
        <v>42.573619029396333</v>
      </c>
    </row>
    <row r="27" spans="1:10" s="187" customFormat="1" ht="20.100000000000001" customHeight="1" x14ac:dyDescent="0.3">
      <c r="A27" s="498" t="s">
        <v>248</v>
      </c>
      <c r="B27" s="499">
        <f t="shared" ref="B27:G27" si="1">SUM(B26:B26)</f>
        <v>36020.480000000003</v>
      </c>
      <c r="C27" s="499">
        <f t="shared" si="1"/>
        <v>2531784.36</v>
      </c>
      <c r="D27" s="499">
        <f t="shared" si="1"/>
        <v>0</v>
      </c>
      <c r="E27" s="500">
        <f t="shared" si="1"/>
        <v>0</v>
      </c>
      <c r="F27" s="499">
        <f t="shared" si="1"/>
        <v>2567804.84</v>
      </c>
      <c r="G27" s="499">
        <f t="shared" si="1"/>
        <v>1474597.39</v>
      </c>
      <c r="H27" s="499">
        <f>+G27/F27*100</f>
        <v>57.42638097060366</v>
      </c>
      <c r="I27" s="499">
        <f>SUM(I26:I26)</f>
        <v>1093207.45</v>
      </c>
      <c r="J27" s="499">
        <f>+I27/F27*100</f>
        <v>42.573619029396333</v>
      </c>
    </row>
    <row r="28" spans="1:10" s="187" customFormat="1" ht="20.100000000000001" customHeight="1" thickBot="1" x14ac:dyDescent="0.35">
      <c r="A28" s="508" t="s">
        <v>20</v>
      </c>
      <c r="B28" s="509">
        <f>SUM(B27,B24)</f>
        <v>1138242.98</v>
      </c>
      <c r="C28" s="509">
        <f>SUM(C27,C24)</f>
        <v>4610182.0299999993</v>
      </c>
      <c r="D28" s="509">
        <f>+D24+D27</f>
        <v>0</v>
      </c>
      <c r="E28" s="509">
        <f>SUM(E27,E24)</f>
        <v>199106.07</v>
      </c>
      <c r="F28" s="509">
        <f>SUM(F27,F24)</f>
        <v>5549318.9399999995</v>
      </c>
      <c r="G28" s="509">
        <f>SUM(G27,G24)</f>
        <v>4336617</v>
      </c>
      <c r="H28" s="509">
        <f>+G28/F28*100</f>
        <v>78.146832915680292</v>
      </c>
      <c r="I28" s="509">
        <f>SUM(I27,I24)</f>
        <v>1212701.9400000002</v>
      </c>
      <c r="J28" s="509">
        <f>+I28/F28*100</f>
        <v>21.853167084319725</v>
      </c>
    </row>
    <row r="29" spans="1:10" s="187" customFormat="1" ht="20.100000000000001" customHeight="1" thickTop="1" x14ac:dyDescent="0.3">
      <c r="A29" s="211"/>
      <c r="B29" s="212"/>
      <c r="C29" s="212"/>
      <c r="D29" s="212"/>
      <c r="E29" s="212"/>
      <c r="F29" s="212"/>
      <c r="G29" s="212"/>
      <c r="H29" s="212"/>
      <c r="I29" s="212"/>
      <c r="J29" s="212"/>
    </row>
    <row r="30" spans="1:10" s="187" customFormat="1" ht="20.100000000000001" customHeight="1" x14ac:dyDescent="0.3">
      <c r="A30" s="503" t="s">
        <v>21</v>
      </c>
      <c r="B30" s="302"/>
      <c r="C30" s="504"/>
      <c r="D30" s="504"/>
      <c r="E30" s="504"/>
      <c r="F30" s="504"/>
      <c r="G30" s="504"/>
      <c r="H30" s="505"/>
      <c r="I30" s="504"/>
      <c r="J30" s="302"/>
    </row>
    <row r="31" spans="1:10" s="187" customFormat="1" ht="20.100000000000001" customHeight="1" x14ac:dyDescent="0.3">
      <c r="A31" s="167"/>
      <c r="B31" s="167"/>
      <c r="C31" s="506" t="s">
        <v>79</v>
      </c>
      <c r="D31" s="504"/>
      <c r="E31" s="504"/>
      <c r="F31" s="504"/>
      <c r="G31" s="504"/>
      <c r="H31" s="505"/>
      <c r="I31" s="504"/>
      <c r="J31" s="302"/>
    </row>
    <row r="32" spans="1:10" s="187" customFormat="1" ht="20.100000000000001" customHeight="1" x14ac:dyDescent="0.3">
      <c r="A32" s="511" t="s">
        <v>249</v>
      </c>
      <c r="B32" s="167" t="s">
        <v>319</v>
      </c>
      <c r="C32" s="512">
        <v>7583.67</v>
      </c>
      <c r="D32" s="504" t="s">
        <v>24</v>
      </c>
      <c r="E32" s="212" t="s">
        <v>320</v>
      </c>
      <c r="F32" s="504"/>
      <c r="G32" s="504"/>
      <c r="H32" s="505"/>
      <c r="I32" s="504"/>
      <c r="J32" s="302"/>
    </row>
    <row r="33" spans="1:10" s="187" customFormat="1" ht="20.100000000000001" customHeight="1" x14ac:dyDescent="0.3">
      <c r="A33" s="511"/>
      <c r="B33" s="167" t="s">
        <v>321</v>
      </c>
      <c r="C33" s="512">
        <v>111910.81999999998</v>
      </c>
      <c r="D33" s="504"/>
      <c r="E33" s="212" t="s">
        <v>320</v>
      </c>
      <c r="F33" s="504"/>
      <c r="G33" s="504"/>
      <c r="H33" s="505"/>
      <c r="I33" s="504"/>
      <c r="J33" s="302"/>
    </row>
    <row r="34" spans="1:10" s="187" customFormat="1" ht="20.100000000000001" customHeight="1" thickBot="1" x14ac:dyDescent="0.35">
      <c r="A34" s="211"/>
      <c r="B34" s="212"/>
      <c r="C34" s="513">
        <f>SUM(C32:C33)</f>
        <v>119494.48999999998</v>
      </c>
      <c r="D34" s="504" t="s">
        <v>24</v>
      </c>
      <c r="E34" s="212"/>
      <c r="F34" s="212"/>
      <c r="G34" s="212"/>
      <c r="H34" s="212"/>
      <c r="I34" s="212"/>
      <c r="J34" s="212"/>
    </row>
    <row r="35" spans="1:10" s="187" customFormat="1" ht="20.100000000000001" customHeight="1" thickTop="1" x14ac:dyDescent="0.3">
      <c r="A35" s="511" t="s">
        <v>257</v>
      </c>
      <c r="B35" s="167" t="s">
        <v>321</v>
      </c>
      <c r="C35" s="212">
        <v>1093207.45</v>
      </c>
      <c r="D35" s="504" t="s">
        <v>24</v>
      </c>
      <c r="E35" s="212" t="s">
        <v>320</v>
      </c>
      <c r="F35" s="212"/>
      <c r="G35" s="212"/>
      <c r="H35" s="212"/>
      <c r="I35" s="212"/>
      <c r="J35" s="212"/>
    </row>
    <row r="36" spans="1:10" s="187" customFormat="1" ht="20.100000000000001" customHeight="1" x14ac:dyDescent="0.3">
      <c r="A36" s="211"/>
      <c r="B36" s="212"/>
      <c r="C36" s="224">
        <f>SUM(C35)</f>
        <v>1093207.45</v>
      </c>
      <c r="D36" s="504" t="s">
        <v>24</v>
      </c>
      <c r="E36" s="212"/>
      <c r="F36" s="212"/>
      <c r="G36" s="212"/>
      <c r="H36" s="212"/>
      <c r="I36" s="212"/>
      <c r="J36" s="212"/>
    </row>
    <row r="37" spans="1:10" s="187" customFormat="1" ht="20.100000000000001" customHeight="1" thickBot="1" x14ac:dyDescent="0.35">
      <c r="A37" s="211"/>
      <c r="B37" s="212"/>
      <c r="C37" s="331">
        <f>SUM(C36,C34)</f>
        <v>1212701.94</v>
      </c>
      <c r="D37" s="212"/>
      <c r="E37" s="212"/>
      <c r="F37" s="212"/>
      <c r="G37" s="212"/>
      <c r="H37" s="212"/>
      <c r="I37" s="212"/>
      <c r="J37" s="212"/>
    </row>
    <row r="38" spans="1:10" s="187" customFormat="1" ht="20.100000000000001" customHeight="1" thickTop="1" x14ac:dyDescent="0.3"/>
  </sheetData>
  <mergeCells count="2">
    <mergeCell ref="A1:J2"/>
    <mergeCell ref="A20:J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opLeftCell="A19" zoomScaleNormal="100" workbookViewId="0">
      <selection activeCell="E31" sqref="E31"/>
    </sheetView>
  </sheetViews>
  <sheetFormatPr defaultColWidth="13.85546875" defaultRowHeight="20.100000000000001" customHeight="1" x14ac:dyDescent="0.3"/>
  <cols>
    <col min="1" max="1" width="27.7109375" style="89" customWidth="1"/>
    <col min="2" max="2" width="22.42578125" style="90" customWidth="1"/>
    <col min="3" max="10" width="20.7109375" style="90" customWidth="1"/>
    <col min="11" max="16384" width="13.85546875" style="89"/>
  </cols>
  <sheetData>
    <row r="1" spans="1:10" s="167" customFormat="1" ht="16.5" x14ac:dyDescent="0.25">
      <c r="A1" s="533" t="s">
        <v>245</v>
      </c>
      <c r="B1" s="533"/>
      <c r="C1" s="533"/>
      <c r="D1" s="533"/>
      <c r="E1" s="533"/>
      <c r="F1" s="533"/>
      <c r="G1" s="533"/>
      <c r="H1" s="533"/>
      <c r="I1" s="533"/>
      <c r="J1" s="533"/>
    </row>
    <row r="2" spans="1:10" s="167" customFormat="1" ht="20.100000000000001" customHeight="1" thickBot="1" x14ac:dyDescent="0.3">
      <c r="A2" s="534"/>
      <c r="B2" s="534"/>
      <c r="C2" s="534"/>
      <c r="D2" s="534"/>
      <c r="E2" s="534"/>
      <c r="F2" s="534"/>
      <c r="G2" s="534"/>
      <c r="H2" s="534"/>
      <c r="I2" s="534"/>
      <c r="J2" s="534"/>
    </row>
    <row r="3" spans="1:10" s="167" customFormat="1" ht="50.25" thickBot="1" x14ac:dyDescent="0.3">
      <c r="A3" s="490" t="s">
        <v>47</v>
      </c>
      <c r="B3" s="216" t="s">
        <v>69</v>
      </c>
      <c r="C3" s="216" t="s">
        <v>246</v>
      </c>
      <c r="D3" s="216" t="s">
        <v>71</v>
      </c>
      <c r="E3" s="216" t="s">
        <v>72</v>
      </c>
      <c r="F3" s="216" t="s">
        <v>73</v>
      </c>
      <c r="G3" s="216" t="s">
        <v>16</v>
      </c>
      <c r="H3" s="216" t="s">
        <v>74</v>
      </c>
      <c r="I3" s="216" t="s">
        <v>18</v>
      </c>
      <c r="J3" s="216" t="s">
        <v>75</v>
      </c>
    </row>
    <row r="4" spans="1:10" s="167" customFormat="1" ht="16.5" x14ac:dyDescent="0.25">
      <c r="A4" s="258" t="s">
        <v>22</v>
      </c>
      <c r="B4" s="491">
        <v>73851.460000000006</v>
      </c>
      <c r="C4" s="491">
        <v>62988380.219999999</v>
      </c>
      <c r="D4" s="491">
        <v>0</v>
      </c>
      <c r="E4" s="492">
        <v>536247.06999999995</v>
      </c>
      <c r="F4" s="491">
        <f>B4+C4-D4-E4</f>
        <v>62525984.609999999</v>
      </c>
      <c r="G4" s="491">
        <v>62468085.740000002</v>
      </c>
      <c r="H4" s="259">
        <f>+G4/F4*100</f>
        <v>99.907400306670681</v>
      </c>
      <c r="I4" s="259">
        <f>F4-G4</f>
        <v>57898.869999997318</v>
      </c>
      <c r="J4" s="493">
        <f>+I4/F4*100</f>
        <v>9.2599693329319194E-2</v>
      </c>
    </row>
    <row r="5" spans="1:10" s="167" customFormat="1" ht="20.100000000000001" customHeight="1" thickBot="1" x14ac:dyDescent="0.3">
      <c r="A5" s="494" t="s">
        <v>247</v>
      </c>
      <c r="B5" s="493">
        <f>SUM(B4)</f>
        <v>73851.460000000006</v>
      </c>
      <c r="C5" s="493">
        <f>SUM(C4)</f>
        <v>62988380.219999999</v>
      </c>
      <c r="D5" s="493">
        <v>0</v>
      </c>
      <c r="E5" s="495">
        <f>SUM(E4)</f>
        <v>536247.06999999995</v>
      </c>
      <c r="F5" s="493">
        <f>SUM(F4)</f>
        <v>62525984.609999999</v>
      </c>
      <c r="G5" s="493">
        <f>SUM(G4)</f>
        <v>62468085.740000002</v>
      </c>
      <c r="H5" s="493">
        <f>+G5/F5*100</f>
        <v>99.907400306670681</v>
      </c>
      <c r="I5" s="493">
        <f>SUM(I4)</f>
        <v>57898.869999997318</v>
      </c>
      <c r="J5" s="493">
        <f>+I5/F5*100</f>
        <v>9.2599693329319194E-2</v>
      </c>
    </row>
    <row r="6" spans="1:10" s="167" customFormat="1" ht="50.25" thickBot="1" x14ac:dyDescent="0.3">
      <c r="A6" s="490" t="s">
        <v>47</v>
      </c>
      <c r="B6" s="216" t="s">
        <v>69</v>
      </c>
      <c r="C6" s="216" t="s">
        <v>246</v>
      </c>
      <c r="D6" s="216" t="s">
        <v>71</v>
      </c>
      <c r="E6" s="216" t="s">
        <v>72</v>
      </c>
      <c r="F6" s="216" t="s">
        <v>73</v>
      </c>
      <c r="G6" s="216" t="s">
        <v>16</v>
      </c>
      <c r="H6" s="216" t="s">
        <v>74</v>
      </c>
      <c r="I6" s="216" t="s">
        <v>18</v>
      </c>
      <c r="J6" s="496" t="s">
        <v>75</v>
      </c>
    </row>
    <row r="7" spans="1:10" s="184" customFormat="1" ht="20.100000000000001" customHeight="1" x14ac:dyDescent="0.25">
      <c r="A7" s="262" t="s">
        <v>23</v>
      </c>
      <c r="B7" s="306">
        <v>0</v>
      </c>
      <c r="C7" s="306">
        <v>3168260.05</v>
      </c>
      <c r="D7" s="306">
        <v>0</v>
      </c>
      <c r="E7" s="497">
        <v>15332.74</v>
      </c>
      <c r="F7" s="263">
        <f>B7+C7-D7-E7</f>
        <v>3152927.3099999996</v>
      </c>
      <c r="G7" s="306">
        <v>3152927.31</v>
      </c>
      <c r="H7" s="259">
        <f>+G7/F7*100</f>
        <v>100.00000000000003</v>
      </c>
      <c r="I7" s="259">
        <f>+F7-G7</f>
        <v>0</v>
      </c>
      <c r="J7" s="306">
        <f>+I7/F7*100</f>
        <v>0</v>
      </c>
    </row>
    <row r="8" spans="1:10" s="167" customFormat="1" ht="20.100000000000001" customHeight="1" x14ac:dyDescent="0.25">
      <c r="A8" s="498" t="s">
        <v>248</v>
      </c>
      <c r="B8" s="499">
        <f t="shared" ref="B8:G8" si="0">SUM(B7:B7)</f>
        <v>0</v>
      </c>
      <c r="C8" s="499">
        <f t="shared" si="0"/>
        <v>3168260.05</v>
      </c>
      <c r="D8" s="499">
        <f t="shared" si="0"/>
        <v>0</v>
      </c>
      <c r="E8" s="500">
        <f t="shared" si="0"/>
        <v>15332.74</v>
      </c>
      <c r="F8" s="499">
        <f t="shared" si="0"/>
        <v>3152927.3099999996</v>
      </c>
      <c r="G8" s="499">
        <f t="shared" si="0"/>
        <v>3152927.31</v>
      </c>
      <c r="H8" s="499">
        <f>+G8/F8*100</f>
        <v>100.00000000000003</v>
      </c>
      <c r="I8" s="499">
        <f>SUM(I7:I7)</f>
        <v>0</v>
      </c>
      <c r="J8" s="499">
        <f>+I8/F8*100</f>
        <v>0</v>
      </c>
    </row>
    <row r="9" spans="1:10" s="167" customFormat="1" ht="20.100000000000001" customHeight="1" thickBot="1" x14ac:dyDescent="0.3">
      <c r="A9" s="501" t="s">
        <v>20</v>
      </c>
      <c r="B9" s="502">
        <f>+B5+B8</f>
        <v>73851.460000000006</v>
      </c>
      <c r="C9" s="502">
        <f>C5+C8</f>
        <v>66156640.269999996</v>
      </c>
      <c r="D9" s="502">
        <f>+D5+D8</f>
        <v>0</v>
      </c>
      <c r="E9" s="502">
        <f>SUM(E5+E8)</f>
        <v>551579.80999999994</v>
      </c>
      <c r="F9" s="502">
        <f>+F5+F8</f>
        <v>65678911.920000002</v>
      </c>
      <c r="G9" s="502">
        <f>+G5+G8</f>
        <v>65621013.050000004</v>
      </c>
      <c r="H9" s="502">
        <f>+G9/F9*100</f>
        <v>99.911845570659693</v>
      </c>
      <c r="I9" s="502">
        <f>+I5+I8</f>
        <v>57898.869999997318</v>
      </c>
      <c r="J9" s="502">
        <f>+I9/F9*100</f>
        <v>8.8154429340304624E-2</v>
      </c>
    </row>
    <row r="10" spans="1:10" s="167" customFormat="1" ht="20.100000000000001" customHeight="1" thickTop="1" x14ac:dyDescent="0.3">
      <c r="A10" s="211"/>
      <c r="B10" s="212"/>
      <c r="C10" s="212"/>
      <c r="D10" s="212"/>
      <c r="E10" s="212"/>
      <c r="F10" s="212"/>
      <c r="G10" s="212"/>
      <c r="H10" s="212"/>
      <c r="I10" s="212"/>
      <c r="J10" s="212"/>
    </row>
    <row r="11" spans="1:10" s="167" customFormat="1" ht="20.100000000000001" customHeight="1" x14ac:dyDescent="0.25">
      <c r="A11" s="503" t="s">
        <v>21</v>
      </c>
      <c r="B11" s="302"/>
      <c r="C11" s="504"/>
      <c r="D11" s="504"/>
      <c r="E11" s="504"/>
      <c r="F11" s="504"/>
      <c r="G11" s="504"/>
      <c r="H11" s="505"/>
      <c r="I11" s="504"/>
      <c r="J11" s="302"/>
    </row>
    <row r="12" spans="1:10" s="167" customFormat="1" ht="20.100000000000001" customHeight="1" x14ac:dyDescent="0.25">
      <c r="B12" s="506" t="s">
        <v>79</v>
      </c>
      <c r="D12" s="504"/>
      <c r="E12" s="504"/>
      <c r="F12" s="504"/>
      <c r="G12" s="504"/>
      <c r="H12" s="505"/>
      <c r="I12" s="504"/>
      <c r="J12" s="302"/>
    </row>
    <row r="13" spans="1:10" s="167" customFormat="1" ht="20.100000000000001" customHeight="1" x14ac:dyDescent="0.25">
      <c r="A13" s="92" t="s">
        <v>249</v>
      </c>
      <c r="B13" s="152" t="s">
        <v>250</v>
      </c>
      <c r="C13" s="164">
        <v>57898.87</v>
      </c>
      <c r="D13" s="166" t="s">
        <v>24</v>
      </c>
      <c r="E13" s="166" t="s">
        <v>251</v>
      </c>
      <c r="F13" s="166"/>
      <c r="G13" s="166"/>
      <c r="H13" s="168"/>
      <c r="I13" s="166"/>
    </row>
    <row r="14" spans="1:10" s="211" customFormat="1" ht="20.100000000000001" customHeight="1" x14ac:dyDescent="0.3">
      <c r="A14" s="167"/>
      <c r="B14" s="167"/>
      <c r="C14" s="507">
        <f>SUM(C13:C13)</f>
        <v>57898.87</v>
      </c>
      <c r="D14" s="183" t="s">
        <v>252</v>
      </c>
      <c r="E14" s="183"/>
      <c r="F14" s="167"/>
      <c r="G14" s="167"/>
      <c r="H14" s="167"/>
      <c r="I14" s="167"/>
      <c r="J14" s="167"/>
    </row>
    <row r="15" spans="1:10" s="211" customFormat="1" ht="21.75" customHeight="1" thickBot="1" x14ac:dyDescent="0.35">
      <c r="B15" s="212"/>
      <c r="C15" s="331">
        <f>SUM(C14)</f>
        <v>57898.87</v>
      </c>
      <c r="D15" s="212"/>
      <c r="E15" s="212"/>
      <c r="F15" s="212"/>
      <c r="G15" s="212"/>
      <c r="H15" s="212"/>
      <c r="I15" s="212"/>
      <c r="J15" s="212"/>
    </row>
    <row r="16" spans="1:10" s="211" customFormat="1" ht="21.75" customHeight="1" thickTop="1" x14ac:dyDescent="0.3">
      <c r="B16" s="212"/>
      <c r="C16" s="212"/>
      <c r="D16" s="212"/>
      <c r="E16" s="212"/>
      <c r="F16" s="212"/>
      <c r="G16" s="212"/>
      <c r="H16" s="212"/>
      <c r="I16" s="212"/>
      <c r="J16" s="212"/>
    </row>
    <row r="17" spans="1:10" ht="20.100000000000001" customHeight="1" x14ac:dyDescent="0.3">
      <c r="B17" s="89"/>
      <c r="C17" s="89"/>
      <c r="D17" s="89"/>
      <c r="E17" s="89"/>
      <c r="F17" s="89"/>
      <c r="G17" s="89"/>
      <c r="H17" s="89"/>
      <c r="I17" s="89"/>
      <c r="J17" s="89"/>
    </row>
    <row r="18" spans="1:10" s="211" customFormat="1" ht="19.5" customHeight="1" x14ac:dyDescent="0.3">
      <c r="A18" s="533" t="s">
        <v>312</v>
      </c>
      <c r="B18" s="533"/>
      <c r="C18" s="533"/>
      <c r="D18" s="533"/>
      <c r="E18" s="533"/>
      <c r="F18" s="533"/>
      <c r="G18" s="533"/>
      <c r="H18" s="533"/>
      <c r="I18" s="533"/>
      <c r="J18" s="533"/>
    </row>
    <row r="19" spans="1:10" s="211" customFormat="1" ht="20.100000000000001" customHeight="1" thickBot="1" x14ac:dyDescent="0.35">
      <c r="A19" s="534"/>
      <c r="B19" s="534"/>
      <c r="C19" s="534"/>
      <c r="D19" s="534"/>
      <c r="E19" s="534"/>
      <c r="F19" s="534"/>
      <c r="G19" s="534"/>
      <c r="H19" s="534"/>
      <c r="I19" s="534"/>
      <c r="J19" s="534"/>
    </row>
    <row r="20" spans="1:10" s="211" customFormat="1" ht="50.25" thickBot="1" x14ac:dyDescent="0.35">
      <c r="A20" s="150" t="s">
        <v>284</v>
      </c>
      <c r="B20" s="216" t="s">
        <v>69</v>
      </c>
      <c r="C20" s="216" t="s">
        <v>313</v>
      </c>
      <c r="D20" s="216" t="s">
        <v>71</v>
      </c>
      <c r="E20" s="216" t="s">
        <v>72</v>
      </c>
      <c r="F20" s="216" t="s">
        <v>73</v>
      </c>
      <c r="G20" s="216" t="s">
        <v>16</v>
      </c>
      <c r="H20" s="216" t="s">
        <v>74</v>
      </c>
      <c r="I20" s="216" t="s">
        <v>18</v>
      </c>
      <c r="J20" s="216" t="s">
        <v>75</v>
      </c>
    </row>
    <row r="21" spans="1:10" s="211" customFormat="1" ht="20.100000000000001" customHeight="1" x14ac:dyDescent="0.3">
      <c r="A21" s="541" t="s">
        <v>22</v>
      </c>
      <c r="B21" s="491">
        <v>57898.87</v>
      </c>
      <c r="C21" s="491">
        <v>34537924.770000003</v>
      </c>
      <c r="D21" s="491">
        <v>0</v>
      </c>
      <c r="E21" s="492">
        <v>695221.12</v>
      </c>
      <c r="F21" s="491">
        <f>B21+C21-D21-E21</f>
        <v>33900602.520000003</v>
      </c>
      <c r="G21" s="491">
        <v>33886784.659999996</v>
      </c>
      <c r="H21" s="259">
        <f>+G21/F21*100</f>
        <v>99.95924007547697</v>
      </c>
      <c r="I21" s="259">
        <f>F21-G21</f>
        <v>13817.860000006855</v>
      </c>
      <c r="J21" s="493">
        <f>+I21/F21*100</f>
        <v>4.0759924523037214E-2</v>
      </c>
    </row>
    <row r="22" spans="1:10" s="211" customFormat="1" ht="20.100000000000001" customHeight="1" thickBot="1" x14ac:dyDescent="0.35">
      <c r="A22" s="542" t="s">
        <v>247</v>
      </c>
      <c r="B22" s="493">
        <f>SUM(B21)</f>
        <v>57898.87</v>
      </c>
      <c r="C22" s="493">
        <f>SUM(C21)</f>
        <v>34537924.770000003</v>
      </c>
      <c r="D22" s="493">
        <v>0</v>
      </c>
      <c r="E22" s="495">
        <f>SUM(E21)</f>
        <v>695221.12</v>
      </c>
      <c r="F22" s="493">
        <f>SUM(F21)</f>
        <v>33900602.520000003</v>
      </c>
      <c r="G22" s="493">
        <f>SUM(G21)</f>
        <v>33886784.659999996</v>
      </c>
      <c r="H22" s="493">
        <f>+G22/F22*100</f>
        <v>99.95924007547697</v>
      </c>
      <c r="I22" s="493">
        <f>SUM(I21)</f>
        <v>13817.860000006855</v>
      </c>
      <c r="J22" s="493">
        <f>+I22/F22*100</f>
        <v>4.0759924523037214E-2</v>
      </c>
    </row>
    <row r="23" spans="1:10" s="211" customFormat="1" ht="50.25" thickBot="1" x14ac:dyDescent="0.35">
      <c r="A23" s="150" t="s">
        <v>284</v>
      </c>
      <c r="B23" s="216" t="s">
        <v>69</v>
      </c>
      <c r="C23" s="216" t="s">
        <v>313</v>
      </c>
      <c r="D23" s="216" t="s">
        <v>71</v>
      </c>
      <c r="E23" s="216" t="s">
        <v>72</v>
      </c>
      <c r="F23" s="216" t="s">
        <v>73</v>
      </c>
      <c r="G23" s="216" t="s">
        <v>16</v>
      </c>
      <c r="H23" s="216" t="s">
        <v>74</v>
      </c>
      <c r="I23" s="216" t="s">
        <v>18</v>
      </c>
      <c r="J23" s="496" t="s">
        <v>75</v>
      </c>
    </row>
    <row r="24" spans="1:10" s="211" customFormat="1" ht="20.100000000000001" customHeight="1" x14ac:dyDescent="0.3">
      <c r="A24" s="543" t="s">
        <v>23</v>
      </c>
      <c r="B24" s="306">
        <v>0</v>
      </c>
      <c r="C24" s="306">
        <v>1985454.11</v>
      </c>
      <c r="D24" s="306">
        <v>0</v>
      </c>
      <c r="E24" s="497">
        <v>131864.32000000001</v>
      </c>
      <c r="F24" s="263">
        <f>B24+C24-D24-E24</f>
        <v>1853589.79</v>
      </c>
      <c r="G24" s="306">
        <v>1853589.79</v>
      </c>
      <c r="H24" s="259">
        <f>+G24/F24*100</f>
        <v>100</v>
      </c>
      <c r="I24" s="259">
        <f>+F24-G24</f>
        <v>0</v>
      </c>
      <c r="J24" s="306">
        <f>+I24/F24*100</f>
        <v>0</v>
      </c>
    </row>
    <row r="25" spans="1:10" s="211" customFormat="1" ht="20.100000000000001" customHeight="1" x14ac:dyDescent="0.3">
      <c r="A25" s="498" t="s">
        <v>248</v>
      </c>
      <c r="B25" s="499">
        <f t="shared" ref="B25:G25" si="1">SUM(B24:B24)</f>
        <v>0</v>
      </c>
      <c r="C25" s="499">
        <f t="shared" si="1"/>
        <v>1985454.11</v>
      </c>
      <c r="D25" s="499">
        <f t="shared" si="1"/>
        <v>0</v>
      </c>
      <c r="E25" s="500">
        <f t="shared" si="1"/>
        <v>131864.32000000001</v>
      </c>
      <c r="F25" s="499">
        <f t="shared" si="1"/>
        <v>1853589.79</v>
      </c>
      <c r="G25" s="499">
        <f t="shared" si="1"/>
        <v>1853589.79</v>
      </c>
      <c r="H25" s="499">
        <f>+G25/F25*100</f>
        <v>100</v>
      </c>
      <c r="I25" s="499">
        <f>SUM(I24:I24)</f>
        <v>0</v>
      </c>
      <c r="J25" s="499">
        <f>+I25/F25*100</f>
        <v>0</v>
      </c>
    </row>
    <row r="26" spans="1:10" s="211" customFormat="1" ht="20.100000000000001" customHeight="1" thickBot="1" x14ac:dyDescent="0.35">
      <c r="A26" s="501" t="s">
        <v>20</v>
      </c>
      <c r="B26" s="502">
        <f>+B22+B25</f>
        <v>57898.87</v>
      </c>
      <c r="C26" s="502">
        <f>C22+C25</f>
        <v>36523378.880000003</v>
      </c>
      <c r="D26" s="502">
        <f>+D22+D25</f>
        <v>0</v>
      </c>
      <c r="E26" s="502">
        <f>SUM(E22+E25)</f>
        <v>827085.44</v>
      </c>
      <c r="F26" s="502">
        <f>+F22+F25</f>
        <v>35754192.310000002</v>
      </c>
      <c r="G26" s="502">
        <f>+G22+G25</f>
        <v>35740374.449999996</v>
      </c>
      <c r="H26" s="502">
        <f>+G26/F26*100</f>
        <v>99.961353175369752</v>
      </c>
      <c r="I26" s="502">
        <f>+I22+I25</f>
        <v>13817.860000006855</v>
      </c>
      <c r="J26" s="502">
        <f>+I26/F26*100</f>
        <v>3.8646824630246705E-2</v>
      </c>
    </row>
    <row r="27" spans="1:10" s="211" customFormat="1" ht="20.100000000000001" customHeight="1" thickTop="1" x14ac:dyDescent="0.3">
      <c r="B27" s="212"/>
      <c r="C27" s="212"/>
      <c r="D27" s="212"/>
      <c r="E27" s="212"/>
      <c r="F27" s="212"/>
      <c r="G27" s="212"/>
      <c r="H27" s="212"/>
      <c r="I27" s="212"/>
      <c r="J27" s="212"/>
    </row>
    <row r="28" spans="1:10" s="211" customFormat="1" ht="20.100000000000001" customHeight="1" x14ac:dyDescent="0.3">
      <c r="A28" s="503" t="s">
        <v>21</v>
      </c>
      <c r="B28" s="302"/>
      <c r="C28" s="504"/>
      <c r="D28" s="504"/>
      <c r="E28" s="504"/>
      <c r="F28" s="504"/>
      <c r="G28" s="504"/>
      <c r="H28" s="505"/>
      <c r="I28" s="504"/>
      <c r="J28" s="302"/>
    </row>
    <row r="29" spans="1:10" s="211" customFormat="1" ht="20.100000000000001" customHeight="1" x14ac:dyDescent="0.3">
      <c r="A29" s="167"/>
      <c r="B29" s="506" t="s">
        <v>79</v>
      </c>
      <c r="C29" s="167"/>
      <c r="D29" s="504"/>
      <c r="E29" s="504"/>
      <c r="F29" s="504"/>
      <c r="G29" s="504"/>
      <c r="H29" s="505"/>
      <c r="I29" s="504"/>
      <c r="J29" s="302"/>
    </row>
    <row r="30" spans="1:10" s="211" customFormat="1" ht="20.100000000000001" customHeight="1" x14ac:dyDescent="0.3">
      <c r="A30" s="92" t="s">
        <v>249</v>
      </c>
      <c r="B30" s="152" t="s">
        <v>314</v>
      </c>
      <c r="C30" s="164">
        <v>6717.31</v>
      </c>
      <c r="D30" s="166" t="s">
        <v>24</v>
      </c>
      <c r="E30" s="166" t="s">
        <v>315</v>
      </c>
      <c r="F30" s="166"/>
      <c r="G30" s="166"/>
      <c r="H30" s="168"/>
      <c r="I30" s="166"/>
      <c r="J30" s="167"/>
    </row>
    <row r="31" spans="1:10" s="211" customFormat="1" ht="20.100000000000001" customHeight="1" x14ac:dyDescent="0.3">
      <c r="A31" s="92"/>
      <c r="B31" s="152" t="s">
        <v>316</v>
      </c>
      <c r="C31" s="164">
        <v>7100.55</v>
      </c>
      <c r="D31" s="166" t="s">
        <v>24</v>
      </c>
      <c r="E31" s="166" t="s">
        <v>315</v>
      </c>
      <c r="F31" s="166"/>
      <c r="G31" s="166"/>
      <c r="H31" s="168"/>
      <c r="I31" s="166"/>
      <c r="J31" s="167"/>
    </row>
    <row r="32" spans="1:10" s="211" customFormat="1" ht="20.100000000000001" customHeight="1" thickBot="1" x14ac:dyDescent="0.35">
      <c r="B32" s="212"/>
      <c r="C32" s="331">
        <f>SUM(C30:C31)</f>
        <v>13817.86</v>
      </c>
      <c r="D32" s="212"/>
      <c r="E32" s="212"/>
      <c r="F32" s="212"/>
      <c r="G32" s="212"/>
      <c r="H32" s="212"/>
      <c r="I32" s="212"/>
      <c r="J32" s="212"/>
    </row>
    <row r="33" spans="2:10" s="211" customFormat="1" ht="20.100000000000001" customHeight="1" thickTop="1" x14ac:dyDescent="0.3">
      <c r="B33" s="212"/>
      <c r="C33" s="212"/>
      <c r="D33" s="212"/>
      <c r="E33" s="212"/>
      <c r="F33" s="212"/>
      <c r="G33" s="212"/>
      <c r="H33" s="212"/>
      <c r="I33" s="212"/>
      <c r="J33" s="212"/>
    </row>
    <row r="34" spans="2:10" ht="20.100000000000001" customHeight="1" x14ac:dyDescent="0.3">
      <c r="B34" s="89"/>
      <c r="C34" s="89"/>
      <c r="D34" s="89"/>
      <c r="E34" s="89"/>
      <c r="F34" s="89"/>
      <c r="G34" s="89"/>
      <c r="H34" s="89"/>
      <c r="I34" s="89"/>
      <c r="J34" s="89"/>
    </row>
    <row r="35" spans="2:10" ht="20.100000000000001" customHeight="1" x14ac:dyDescent="0.3">
      <c r="B35" s="89"/>
      <c r="C35" s="89"/>
      <c r="D35" s="89"/>
      <c r="E35" s="89"/>
      <c r="F35" s="89"/>
      <c r="G35" s="89"/>
      <c r="H35" s="89"/>
      <c r="I35" s="89"/>
      <c r="J35" s="89"/>
    </row>
    <row r="36" spans="2:10" ht="20.100000000000001" customHeight="1" x14ac:dyDescent="0.3">
      <c r="B36" s="89"/>
      <c r="C36" s="89"/>
      <c r="D36" s="89"/>
      <c r="E36" s="89"/>
      <c r="F36" s="89"/>
      <c r="G36" s="89"/>
      <c r="H36" s="89"/>
      <c r="I36" s="89"/>
      <c r="J36" s="89"/>
    </row>
    <row r="37" spans="2:10" ht="20.100000000000001" customHeight="1" x14ac:dyDescent="0.3">
      <c r="B37" s="89"/>
      <c r="C37" s="89"/>
      <c r="D37" s="89"/>
      <c r="E37" s="89"/>
      <c r="F37" s="89"/>
      <c r="G37" s="89"/>
      <c r="H37" s="89"/>
      <c r="I37" s="89"/>
      <c r="J37" s="89"/>
    </row>
    <row r="38" spans="2:10" ht="20.100000000000001" customHeight="1" x14ac:dyDescent="0.3">
      <c r="B38" s="89"/>
      <c r="C38" s="89"/>
      <c r="D38" s="89"/>
      <c r="E38" s="89"/>
      <c r="F38" s="89"/>
      <c r="G38" s="89"/>
      <c r="H38" s="89"/>
      <c r="I38" s="89"/>
      <c r="J38" s="89"/>
    </row>
    <row r="39" spans="2:10" ht="20.100000000000001" customHeight="1" x14ac:dyDescent="0.3">
      <c r="B39" s="89"/>
      <c r="C39" s="89"/>
      <c r="D39" s="89"/>
      <c r="E39" s="89"/>
      <c r="F39" s="89"/>
      <c r="G39" s="89"/>
      <c r="H39" s="89"/>
      <c r="I39" s="89"/>
      <c r="J39" s="89"/>
    </row>
    <row r="40" spans="2:10" ht="20.100000000000001" customHeight="1" x14ac:dyDescent="0.3">
      <c r="B40" s="89"/>
      <c r="C40" s="89"/>
      <c r="D40" s="89"/>
      <c r="E40" s="89"/>
      <c r="F40" s="89"/>
      <c r="G40" s="89"/>
      <c r="H40" s="89"/>
      <c r="I40" s="89"/>
      <c r="J40" s="89"/>
    </row>
    <row r="41" spans="2:10" ht="20.100000000000001" customHeight="1" x14ac:dyDescent="0.3">
      <c r="B41" s="89"/>
      <c r="C41" s="89"/>
      <c r="D41" s="89"/>
      <c r="E41" s="89"/>
      <c r="F41" s="89"/>
      <c r="G41" s="89"/>
      <c r="H41" s="89"/>
      <c r="I41" s="89"/>
      <c r="J41" s="89"/>
    </row>
    <row r="42" spans="2:10" ht="20.100000000000001" customHeight="1" x14ac:dyDescent="0.3">
      <c r="B42" s="89"/>
      <c r="C42" s="89"/>
      <c r="D42" s="89"/>
      <c r="E42" s="89"/>
      <c r="F42" s="89"/>
      <c r="G42" s="89"/>
      <c r="H42" s="89"/>
      <c r="I42" s="89"/>
      <c r="J42" s="89"/>
    </row>
    <row r="43" spans="2:10" ht="20.100000000000001" customHeight="1" x14ac:dyDescent="0.3">
      <c r="B43" s="89"/>
      <c r="C43" s="89"/>
      <c r="D43" s="89"/>
      <c r="E43" s="89"/>
      <c r="F43" s="89"/>
      <c r="G43" s="89"/>
      <c r="H43" s="89"/>
      <c r="I43" s="89"/>
      <c r="J43" s="89"/>
    </row>
    <row r="44" spans="2:10" ht="20.100000000000001" customHeight="1" x14ac:dyDescent="0.3">
      <c r="B44" s="89"/>
      <c r="C44" s="89"/>
      <c r="D44" s="89"/>
      <c r="E44" s="89"/>
      <c r="F44" s="89"/>
      <c r="G44" s="89"/>
      <c r="H44" s="89"/>
      <c r="I44" s="89"/>
      <c r="J44" s="89"/>
    </row>
    <row r="45" spans="2:10" ht="20.100000000000001" customHeight="1" x14ac:dyDescent="0.3">
      <c r="B45" s="89"/>
      <c r="C45" s="89"/>
      <c r="D45" s="89"/>
      <c r="E45" s="89"/>
      <c r="F45" s="89"/>
      <c r="G45" s="89"/>
      <c r="H45" s="89"/>
      <c r="I45" s="89"/>
      <c r="J45" s="89"/>
    </row>
    <row r="46" spans="2:10" ht="20.100000000000001" customHeight="1" x14ac:dyDescent="0.3">
      <c r="B46" s="89"/>
      <c r="C46" s="89"/>
      <c r="D46" s="89"/>
      <c r="E46" s="89"/>
      <c r="F46" s="89"/>
      <c r="G46" s="89"/>
      <c r="H46" s="89"/>
      <c r="I46" s="89"/>
      <c r="J46" s="89"/>
    </row>
    <row r="47" spans="2:10" ht="20.100000000000001" customHeight="1" x14ac:dyDescent="0.3">
      <c r="B47" s="89"/>
      <c r="C47" s="89"/>
      <c r="D47" s="89"/>
      <c r="E47" s="89"/>
      <c r="F47" s="89"/>
      <c r="G47" s="89"/>
      <c r="H47" s="89"/>
      <c r="I47" s="89"/>
      <c r="J47" s="89"/>
    </row>
    <row r="48" spans="2:10" ht="20.100000000000001" customHeight="1" x14ac:dyDescent="0.3">
      <c r="B48" s="89"/>
      <c r="C48" s="89"/>
      <c r="D48" s="89"/>
      <c r="E48" s="89"/>
      <c r="F48" s="89"/>
      <c r="G48" s="89"/>
      <c r="H48" s="89"/>
      <c r="I48" s="89"/>
      <c r="J48" s="89"/>
    </row>
    <row r="49" spans="2:10" ht="20.100000000000001" customHeight="1" x14ac:dyDescent="0.3">
      <c r="B49" s="89"/>
      <c r="C49" s="89"/>
      <c r="D49" s="89"/>
      <c r="E49" s="89"/>
      <c r="F49" s="89"/>
      <c r="G49" s="89"/>
      <c r="H49" s="89"/>
      <c r="I49" s="89"/>
      <c r="J49" s="89"/>
    </row>
    <row r="50" spans="2:10" ht="20.100000000000001" customHeight="1" x14ac:dyDescent="0.3">
      <c r="B50" s="89"/>
      <c r="C50" s="89"/>
      <c r="D50" s="89"/>
      <c r="E50" s="89"/>
      <c r="F50" s="89"/>
      <c r="G50" s="89"/>
      <c r="H50" s="89"/>
      <c r="I50" s="89"/>
      <c r="J50" s="89"/>
    </row>
    <row r="51" spans="2:10" ht="20.100000000000001" customHeight="1" x14ac:dyDescent="0.3">
      <c r="B51" s="89"/>
      <c r="C51" s="89"/>
      <c r="D51" s="89"/>
      <c r="E51" s="89"/>
      <c r="F51" s="89"/>
      <c r="G51" s="89"/>
      <c r="H51" s="89"/>
      <c r="I51" s="89"/>
      <c r="J51" s="89"/>
    </row>
    <row r="52" spans="2:10" ht="20.100000000000001" customHeight="1" x14ac:dyDescent="0.3">
      <c r="B52" s="89"/>
      <c r="C52" s="89"/>
      <c r="D52" s="89"/>
      <c r="E52" s="89"/>
      <c r="F52" s="89"/>
      <c r="G52" s="89"/>
      <c r="H52" s="89"/>
      <c r="I52" s="89"/>
      <c r="J52" s="89"/>
    </row>
    <row r="53" spans="2:10" ht="20.100000000000001" customHeight="1" x14ac:dyDescent="0.3">
      <c r="B53" s="89"/>
      <c r="C53" s="89"/>
      <c r="D53" s="89"/>
      <c r="E53" s="89"/>
      <c r="F53" s="89"/>
      <c r="G53" s="89"/>
      <c r="H53" s="89"/>
      <c r="I53" s="89"/>
      <c r="J53" s="89"/>
    </row>
    <row r="54" spans="2:10" ht="20.100000000000001" customHeight="1" x14ac:dyDescent="0.3">
      <c r="B54" s="89"/>
      <c r="C54" s="89"/>
      <c r="D54" s="89"/>
      <c r="E54" s="89"/>
      <c r="F54" s="89"/>
      <c r="G54" s="89"/>
      <c r="H54" s="89"/>
      <c r="I54" s="89"/>
      <c r="J54" s="89"/>
    </row>
    <row r="55" spans="2:10" ht="20.100000000000001" customHeight="1" x14ac:dyDescent="0.3">
      <c r="B55" s="89"/>
      <c r="C55" s="89"/>
      <c r="D55" s="89"/>
      <c r="E55" s="89"/>
      <c r="F55" s="89"/>
      <c r="G55" s="89"/>
      <c r="H55" s="89"/>
      <c r="I55" s="89"/>
      <c r="J55" s="89"/>
    </row>
    <row r="56" spans="2:10" ht="20.100000000000001" customHeight="1" x14ac:dyDescent="0.3">
      <c r="B56" s="89"/>
      <c r="C56" s="89"/>
      <c r="D56" s="89"/>
      <c r="E56" s="89"/>
      <c r="F56" s="89"/>
      <c r="G56" s="89"/>
      <c r="H56" s="89"/>
      <c r="I56" s="89"/>
      <c r="J56" s="89"/>
    </row>
    <row r="57" spans="2:10" ht="20.100000000000001" customHeight="1" x14ac:dyDescent="0.3">
      <c r="B57" s="89"/>
      <c r="C57" s="89"/>
      <c r="D57" s="89"/>
      <c r="E57" s="89"/>
      <c r="F57" s="89"/>
      <c r="G57" s="89"/>
      <c r="H57" s="89"/>
      <c r="I57" s="89"/>
      <c r="J57" s="89"/>
    </row>
    <row r="58" spans="2:10" ht="20.100000000000001" customHeight="1" x14ac:dyDescent="0.3">
      <c r="B58" s="89"/>
      <c r="C58" s="89"/>
      <c r="D58" s="89"/>
      <c r="E58" s="89"/>
      <c r="F58" s="89"/>
      <c r="G58" s="89"/>
      <c r="H58" s="89"/>
      <c r="I58" s="89"/>
      <c r="J58" s="89"/>
    </row>
    <row r="59" spans="2:10" ht="20.100000000000001" customHeight="1" x14ac:dyDescent="0.3">
      <c r="B59" s="89"/>
      <c r="C59" s="89"/>
      <c r="D59" s="89"/>
      <c r="E59" s="89"/>
      <c r="F59" s="89"/>
      <c r="G59" s="89"/>
      <c r="H59" s="89"/>
      <c r="I59" s="89"/>
      <c r="J59" s="89"/>
    </row>
    <row r="60" spans="2:10" ht="20.100000000000001" customHeight="1" x14ac:dyDescent="0.3">
      <c r="B60" s="89"/>
      <c r="C60" s="89"/>
      <c r="D60" s="89"/>
      <c r="E60" s="89"/>
      <c r="F60" s="89"/>
      <c r="G60" s="89"/>
      <c r="H60" s="89"/>
      <c r="I60" s="89"/>
      <c r="J60" s="89"/>
    </row>
    <row r="61" spans="2:10" ht="20.100000000000001" customHeight="1" x14ac:dyDescent="0.3">
      <c r="B61" s="89"/>
      <c r="C61" s="89"/>
      <c r="D61" s="89"/>
      <c r="E61" s="89"/>
      <c r="F61" s="89"/>
      <c r="G61" s="89"/>
      <c r="H61" s="89"/>
      <c r="I61" s="89"/>
      <c r="J61" s="89"/>
    </row>
    <row r="62" spans="2:10" ht="20.100000000000001" customHeight="1" x14ac:dyDescent="0.3">
      <c r="B62" s="89"/>
      <c r="C62" s="89"/>
      <c r="D62" s="89"/>
      <c r="E62" s="89"/>
      <c r="F62" s="89"/>
      <c r="G62" s="89"/>
      <c r="H62" s="89"/>
      <c r="I62" s="89"/>
      <c r="J62" s="89"/>
    </row>
    <row r="63" spans="2:10" ht="20.100000000000001" customHeight="1" x14ac:dyDescent="0.3">
      <c r="B63" s="89"/>
      <c r="C63" s="89"/>
      <c r="D63" s="89"/>
      <c r="E63" s="89"/>
      <c r="F63" s="89"/>
      <c r="G63" s="89"/>
      <c r="H63" s="89"/>
      <c r="I63" s="89"/>
      <c r="J63" s="89"/>
    </row>
    <row r="64" spans="2:10" ht="20.100000000000001" customHeight="1" x14ac:dyDescent="0.3">
      <c r="B64" s="89"/>
      <c r="C64" s="89"/>
      <c r="D64" s="89"/>
      <c r="E64" s="89"/>
      <c r="F64" s="89"/>
      <c r="G64" s="89"/>
      <c r="H64" s="89"/>
      <c r="I64" s="89"/>
      <c r="J64" s="89"/>
    </row>
    <row r="65" spans="2:10" ht="20.100000000000001" customHeight="1" x14ac:dyDescent="0.3">
      <c r="B65" s="89"/>
      <c r="C65" s="89"/>
      <c r="D65" s="89"/>
      <c r="E65" s="89"/>
      <c r="F65" s="89"/>
      <c r="G65" s="89"/>
      <c r="H65" s="89"/>
      <c r="I65" s="89"/>
      <c r="J65" s="89"/>
    </row>
    <row r="66" spans="2:10" ht="20.100000000000001" customHeight="1" x14ac:dyDescent="0.3">
      <c r="B66" s="89"/>
      <c r="C66" s="89"/>
      <c r="D66" s="89"/>
      <c r="E66" s="89"/>
      <c r="F66" s="89"/>
      <c r="G66" s="89"/>
      <c r="H66" s="89"/>
      <c r="I66" s="89"/>
      <c r="J66" s="89"/>
    </row>
    <row r="67" spans="2:10" ht="20.100000000000001" customHeight="1" x14ac:dyDescent="0.3">
      <c r="B67" s="89"/>
      <c r="C67" s="89"/>
      <c r="D67" s="89"/>
      <c r="E67" s="89"/>
      <c r="F67" s="89"/>
      <c r="G67" s="89"/>
      <c r="H67" s="89"/>
      <c r="I67" s="89"/>
      <c r="J67" s="89"/>
    </row>
    <row r="68" spans="2:10" ht="20.100000000000001" customHeight="1" x14ac:dyDescent="0.3">
      <c r="B68" s="89"/>
      <c r="C68" s="89"/>
      <c r="D68" s="89"/>
      <c r="E68" s="89"/>
      <c r="F68" s="89"/>
      <c r="G68" s="89"/>
      <c r="H68" s="89"/>
      <c r="I68" s="89"/>
      <c r="J68" s="89"/>
    </row>
    <row r="69" spans="2:10" ht="20.100000000000001" customHeight="1" x14ac:dyDescent="0.3">
      <c r="B69" s="89"/>
      <c r="C69" s="89"/>
      <c r="D69" s="89"/>
      <c r="E69" s="89"/>
      <c r="F69" s="89"/>
      <c r="G69" s="89"/>
      <c r="H69" s="89"/>
      <c r="I69" s="89"/>
      <c r="J69" s="89"/>
    </row>
    <row r="70" spans="2:10" ht="20.100000000000001" customHeight="1" x14ac:dyDescent="0.3">
      <c r="B70" s="89"/>
      <c r="C70" s="89"/>
      <c r="D70" s="89"/>
      <c r="E70" s="89"/>
      <c r="F70" s="89"/>
      <c r="G70" s="89"/>
      <c r="H70" s="89"/>
      <c r="I70" s="89"/>
      <c r="J70" s="89"/>
    </row>
    <row r="71" spans="2:10" ht="20.100000000000001" customHeight="1" x14ac:dyDescent="0.3">
      <c r="B71" s="89"/>
      <c r="C71" s="89"/>
      <c r="D71" s="89"/>
      <c r="E71" s="89"/>
      <c r="F71" s="89"/>
      <c r="G71" s="89"/>
      <c r="H71" s="89"/>
      <c r="I71" s="89"/>
      <c r="J71" s="89"/>
    </row>
    <row r="72" spans="2:10" ht="20.100000000000001" customHeight="1" x14ac:dyDescent="0.3">
      <c r="B72" s="89"/>
      <c r="C72" s="89"/>
      <c r="D72" s="89"/>
      <c r="E72" s="89"/>
      <c r="F72" s="89"/>
      <c r="G72" s="89"/>
      <c r="H72" s="89"/>
      <c r="I72" s="89"/>
      <c r="J72" s="89"/>
    </row>
    <row r="73" spans="2:10" ht="20.100000000000001" customHeight="1" x14ac:dyDescent="0.3">
      <c r="B73" s="89"/>
      <c r="C73" s="89"/>
      <c r="D73" s="89"/>
      <c r="E73" s="89"/>
      <c r="F73" s="89"/>
      <c r="G73" s="89"/>
      <c r="H73" s="89"/>
      <c r="I73" s="89"/>
      <c r="J73" s="89"/>
    </row>
    <row r="74" spans="2:10" ht="20.100000000000001" customHeight="1" x14ac:dyDescent="0.3">
      <c r="B74" s="89"/>
      <c r="C74" s="89"/>
      <c r="D74" s="89"/>
      <c r="E74" s="89"/>
      <c r="F74" s="89"/>
      <c r="G74" s="89"/>
      <c r="H74" s="89"/>
      <c r="I74" s="89"/>
      <c r="J74" s="89"/>
    </row>
    <row r="75" spans="2:10" ht="20.100000000000001" customHeight="1" x14ac:dyDescent="0.3">
      <c r="B75" s="89"/>
      <c r="C75" s="89"/>
      <c r="D75" s="89"/>
      <c r="E75" s="89"/>
      <c r="F75" s="89"/>
      <c r="G75" s="89"/>
      <c r="H75" s="89"/>
      <c r="I75" s="89"/>
      <c r="J75" s="89"/>
    </row>
    <row r="76" spans="2:10" ht="20.100000000000001" customHeight="1" x14ac:dyDescent="0.3">
      <c r="B76" s="89"/>
      <c r="C76" s="89"/>
      <c r="D76" s="89"/>
      <c r="E76" s="89"/>
      <c r="F76" s="89"/>
      <c r="G76" s="89"/>
      <c r="H76" s="89"/>
      <c r="I76" s="89"/>
      <c r="J76" s="89"/>
    </row>
  </sheetData>
  <mergeCells count="2">
    <mergeCell ref="A1:J2"/>
    <mergeCell ref="A18:J19"/>
  </mergeCells>
  <printOptions horizontalCentered="1"/>
  <pageMargins left="0.3" right="0.3" top="0.7" bottom="0.7" header="0.3" footer="0.3"/>
  <pageSetup scale="61" fitToHeight="0" orientation="landscape" r:id="rId1"/>
  <headerFooter>
    <oddHeader>&amp;F</oddHeader>
    <oddFooter>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zoomScaleNormal="100" workbookViewId="0">
      <selection activeCell="C10" sqref="C10"/>
    </sheetView>
  </sheetViews>
  <sheetFormatPr defaultRowHeight="20.100000000000001" customHeight="1" x14ac:dyDescent="0.3"/>
  <cols>
    <col min="1" max="1" width="20" style="187" customWidth="1"/>
    <col min="2" max="2" width="26.28515625" style="187" customWidth="1"/>
    <col min="3" max="11" width="20.7109375" style="187" customWidth="1"/>
    <col min="12" max="16384" width="9.140625" style="187"/>
  </cols>
  <sheetData>
    <row r="1" spans="1:12" s="272" customFormat="1" ht="20.100000000000001" customHeight="1" x14ac:dyDescent="0.25">
      <c r="A1" s="535" t="s">
        <v>84</v>
      </c>
      <c r="B1" s="535"/>
      <c r="C1" s="535"/>
      <c r="D1" s="535"/>
      <c r="E1" s="535"/>
      <c r="F1" s="535"/>
      <c r="G1" s="535"/>
      <c r="H1" s="535"/>
      <c r="I1" s="535"/>
      <c r="J1" s="535"/>
    </row>
    <row r="2" spans="1:12" s="167" customFormat="1" ht="20.100000000000001" customHeight="1" thickBot="1" x14ac:dyDescent="0.3">
      <c r="A2" s="536"/>
      <c r="B2" s="536"/>
      <c r="C2" s="536"/>
      <c r="D2" s="536"/>
      <c r="E2" s="536"/>
      <c r="F2" s="536"/>
      <c r="G2" s="536"/>
      <c r="H2" s="536"/>
      <c r="I2" s="536"/>
      <c r="J2" s="536"/>
      <c r="K2" s="33"/>
      <c r="L2" s="166"/>
    </row>
    <row r="3" spans="1:12" s="167" customFormat="1" ht="50.25" thickBot="1" x14ac:dyDescent="0.3">
      <c r="A3" s="169" t="s">
        <v>85</v>
      </c>
      <c r="B3" s="170" t="s">
        <v>12</v>
      </c>
      <c r="C3" s="171" t="s">
        <v>86</v>
      </c>
      <c r="D3" s="171" t="s">
        <v>13</v>
      </c>
      <c r="E3" s="171" t="s">
        <v>14</v>
      </c>
      <c r="F3" s="170" t="s">
        <v>87</v>
      </c>
      <c r="G3" s="150" t="s">
        <v>16</v>
      </c>
      <c r="H3" s="150" t="s">
        <v>88</v>
      </c>
      <c r="I3" s="170" t="s">
        <v>27</v>
      </c>
      <c r="J3" s="170" t="s">
        <v>75</v>
      </c>
    </row>
    <row r="4" spans="1:12" s="167" customFormat="1" ht="20.100000000000001" customHeight="1" x14ac:dyDescent="0.25">
      <c r="A4" s="172" t="s">
        <v>22</v>
      </c>
      <c r="B4" s="173">
        <v>366657.92999994941</v>
      </c>
      <c r="C4" s="173">
        <f>4989889.58999999+720558.75</f>
        <v>5710448.3399999896</v>
      </c>
      <c r="D4" s="174">
        <v>727208.63</v>
      </c>
      <c r="E4" s="174">
        <f>232284.69-2.25</f>
        <v>232282.44</v>
      </c>
      <c r="F4" s="173">
        <f>B4+C4-D4-E4</f>
        <v>5117615.1999999387</v>
      </c>
      <c r="G4" s="175">
        <v>4328023.97</v>
      </c>
      <c r="H4" s="175">
        <f>G4/F4*100</f>
        <v>84.571109801300651</v>
      </c>
      <c r="I4" s="174">
        <f>F4-G4</f>
        <v>789591.22999993898</v>
      </c>
      <c r="J4" s="174">
        <f>I4/F4*100</f>
        <v>15.428890198699355</v>
      </c>
      <c r="K4" s="166"/>
      <c r="L4" s="166"/>
    </row>
    <row r="5" spans="1:12" s="167" customFormat="1" ht="20.100000000000001" customHeight="1" thickBot="1" x14ac:dyDescent="0.3">
      <c r="A5" s="153" t="s">
        <v>20</v>
      </c>
      <c r="B5" s="154">
        <f t="shared" ref="B5:G5" si="0">SUM(B4:B4)</f>
        <v>366657.92999994941</v>
      </c>
      <c r="C5" s="154">
        <f t="shared" si="0"/>
        <v>5710448.3399999896</v>
      </c>
      <c r="D5" s="155">
        <f t="shared" si="0"/>
        <v>727208.63</v>
      </c>
      <c r="E5" s="155">
        <f t="shared" si="0"/>
        <v>232282.44</v>
      </c>
      <c r="F5" s="154">
        <f t="shared" si="0"/>
        <v>5117615.1999999387</v>
      </c>
      <c r="G5" s="156">
        <f t="shared" si="0"/>
        <v>4328023.97</v>
      </c>
      <c r="H5" s="156">
        <f>(G5/F5)*100</f>
        <v>84.571109801300651</v>
      </c>
      <c r="I5" s="155">
        <f>SUM(I4:I4)</f>
        <v>789591.22999993898</v>
      </c>
      <c r="J5" s="155">
        <f>I5/F5*100</f>
        <v>15.428890198699355</v>
      </c>
    </row>
    <row r="6" spans="1:12" s="167" customFormat="1" ht="20.100000000000001" customHeight="1" thickTop="1" x14ac:dyDescent="0.25">
      <c r="A6" s="179"/>
      <c r="B6" s="180"/>
      <c r="C6" s="180"/>
      <c r="D6" s="126"/>
      <c r="E6" s="126"/>
      <c r="F6" s="180"/>
      <c r="G6" s="128"/>
      <c r="H6" s="128"/>
      <c r="I6" s="126"/>
      <c r="J6" s="126"/>
    </row>
    <row r="7" spans="1:12" s="167" customFormat="1" ht="20.100000000000001" customHeight="1" x14ac:dyDescent="0.25">
      <c r="A7" s="157" t="s">
        <v>21</v>
      </c>
      <c r="B7" s="183"/>
      <c r="C7" s="166"/>
      <c r="D7" s="166"/>
      <c r="E7" s="166"/>
      <c r="F7" s="166"/>
      <c r="G7" s="183"/>
      <c r="H7" s="183"/>
      <c r="I7" s="168"/>
    </row>
    <row r="8" spans="1:12" s="167" customFormat="1" ht="20.100000000000001" customHeight="1" x14ac:dyDescent="0.25">
      <c r="A8" s="273" t="s">
        <v>89</v>
      </c>
      <c r="B8" s="167" t="s">
        <v>90</v>
      </c>
      <c r="C8" s="186">
        <v>1064.9000000000001</v>
      </c>
      <c r="D8" s="166" t="s">
        <v>91</v>
      </c>
      <c r="E8" s="166" t="s">
        <v>92</v>
      </c>
      <c r="F8" s="166"/>
      <c r="G8" s="183"/>
      <c r="H8" s="183"/>
      <c r="I8" s="168"/>
    </row>
    <row r="9" spans="1:12" s="167" customFormat="1" ht="20.100000000000001" customHeight="1" x14ac:dyDescent="0.25">
      <c r="A9" s="273"/>
      <c r="B9" s="167" t="s">
        <v>93</v>
      </c>
      <c r="C9" s="186">
        <v>2055.0700000000002</v>
      </c>
      <c r="D9" s="166" t="s">
        <v>91</v>
      </c>
      <c r="E9" s="166" t="s">
        <v>94</v>
      </c>
      <c r="F9" s="166"/>
      <c r="G9" s="183"/>
      <c r="H9" s="183"/>
      <c r="I9" s="168"/>
    </row>
    <row r="10" spans="1:12" s="167" customFormat="1" ht="20.100000000000001" customHeight="1" x14ac:dyDescent="0.25">
      <c r="A10" s="158"/>
      <c r="B10" s="167" t="s">
        <v>95</v>
      </c>
      <c r="C10" s="186">
        <v>7050.58</v>
      </c>
      <c r="D10" s="166" t="s">
        <v>91</v>
      </c>
      <c r="E10" s="166" t="s">
        <v>94</v>
      </c>
      <c r="F10" s="166"/>
      <c r="G10" s="183"/>
      <c r="H10" s="183"/>
      <c r="I10" s="168"/>
    </row>
    <row r="11" spans="1:12" s="167" customFormat="1" ht="20.100000000000001" customHeight="1" x14ac:dyDescent="0.25">
      <c r="A11" s="158"/>
      <c r="B11" s="167" t="s">
        <v>96</v>
      </c>
      <c r="C11" s="186">
        <v>4695.5</v>
      </c>
      <c r="D11" s="166" t="s">
        <v>91</v>
      </c>
      <c r="E11" s="166" t="s">
        <v>97</v>
      </c>
      <c r="F11" s="166"/>
      <c r="G11" s="183"/>
      <c r="H11" s="183"/>
      <c r="I11" s="168"/>
    </row>
    <row r="12" spans="1:12" s="167" customFormat="1" ht="20.100000000000001" customHeight="1" x14ac:dyDescent="0.25">
      <c r="A12" s="158"/>
      <c r="B12" s="167" t="s">
        <v>98</v>
      </c>
      <c r="C12" s="183">
        <v>5317.7300000000005</v>
      </c>
      <c r="D12" s="166" t="s">
        <v>91</v>
      </c>
      <c r="E12" s="166" t="s">
        <v>99</v>
      </c>
      <c r="F12" s="166"/>
      <c r="G12" s="183"/>
      <c r="H12" s="183"/>
      <c r="I12" s="168"/>
    </row>
    <row r="13" spans="1:12" s="167" customFormat="1" ht="20.100000000000001" customHeight="1" x14ac:dyDescent="0.25">
      <c r="A13" s="158"/>
      <c r="B13" s="167" t="s">
        <v>100</v>
      </c>
      <c r="C13" s="183">
        <v>29548.259999999995</v>
      </c>
      <c r="D13" s="166" t="s">
        <v>91</v>
      </c>
      <c r="E13" s="166" t="s">
        <v>99</v>
      </c>
      <c r="F13" s="166"/>
      <c r="G13" s="183"/>
      <c r="H13" s="183"/>
      <c r="I13" s="168"/>
    </row>
    <row r="14" spans="1:12" s="167" customFormat="1" ht="20.100000000000001" customHeight="1" x14ac:dyDescent="0.25">
      <c r="A14" s="158"/>
      <c r="B14" s="167" t="s">
        <v>101</v>
      </c>
      <c r="C14" s="183">
        <v>6013.16</v>
      </c>
      <c r="D14" s="166" t="s">
        <v>91</v>
      </c>
      <c r="E14" s="166" t="s">
        <v>99</v>
      </c>
      <c r="F14" s="166"/>
      <c r="G14" s="183"/>
      <c r="H14" s="183"/>
      <c r="I14" s="168"/>
    </row>
    <row r="15" spans="1:12" s="167" customFormat="1" ht="20.100000000000001" customHeight="1" x14ac:dyDescent="0.25">
      <c r="A15" s="158"/>
      <c r="B15" s="167" t="s">
        <v>102</v>
      </c>
      <c r="C15" s="183">
        <v>13287.279999999999</v>
      </c>
      <c r="D15" s="166" t="s">
        <v>91</v>
      </c>
      <c r="E15" s="166" t="s">
        <v>99</v>
      </c>
      <c r="F15" s="166"/>
      <c r="G15" s="183"/>
      <c r="H15" s="183"/>
      <c r="I15" s="168"/>
    </row>
    <row r="16" spans="1:12" s="167" customFormat="1" ht="20.100000000000001" customHeight="1" x14ac:dyDescent="0.25">
      <c r="A16" s="158"/>
      <c r="B16" s="167" t="s">
        <v>103</v>
      </c>
      <c r="C16" s="183">
        <v>89272.200000000012</v>
      </c>
      <c r="D16" s="166" t="s">
        <v>91</v>
      </c>
      <c r="E16" s="166" t="s">
        <v>99</v>
      </c>
      <c r="F16" s="166"/>
      <c r="G16" s="183"/>
      <c r="H16" s="183"/>
      <c r="I16" s="168"/>
    </row>
    <row r="17" spans="1:9" s="167" customFormat="1" ht="20.100000000000001" customHeight="1" x14ac:dyDescent="0.25">
      <c r="A17" s="158"/>
      <c r="B17" s="167" t="s">
        <v>103</v>
      </c>
      <c r="C17" s="183">
        <f>287128.21+344158.34</f>
        <v>631286.55000000005</v>
      </c>
      <c r="D17" s="166" t="s">
        <v>91</v>
      </c>
      <c r="E17" s="166" t="s">
        <v>104</v>
      </c>
      <c r="F17" s="166"/>
      <c r="G17" s="183"/>
      <c r="H17" s="183"/>
      <c r="I17" s="168"/>
    </row>
    <row r="18" spans="1:9" s="167" customFormat="1" ht="20.100000000000001" customHeight="1" thickBot="1" x14ac:dyDescent="0.3">
      <c r="A18" s="158"/>
      <c r="C18" s="181">
        <f>SUM(C8:C17)</f>
        <v>789591.23</v>
      </c>
      <c r="D18" s="166" t="s">
        <v>91</v>
      </c>
      <c r="E18" s="166"/>
      <c r="F18" s="166"/>
      <c r="G18" s="183"/>
      <c r="H18" s="151"/>
      <c r="I18" s="168"/>
    </row>
    <row r="19" spans="1:9" s="111" customFormat="1" ht="20.100000000000001" customHeight="1" thickTop="1" x14ac:dyDescent="0.25"/>
    <row r="20" spans="1:9" s="111" customFormat="1" ht="20.100000000000001" customHeight="1" x14ac:dyDescent="0.25"/>
  </sheetData>
  <mergeCells count="1">
    <mergeCell ref="A1:J2"/>
  </mergeCells>
  <printOptions horizontalCentered="1"/>
  <pageMargins left="0.3" right="0.3" top="0.7" bottom="0.7" header="0.3" footer="0.3"/>
  <pageSetup scale="57" fitToHeight="0" orientation="landscape" r:id="rId1"/>
  <headerFooter>
    <oddHeader>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selection activeCell="D14" sqref="D14"/>
    </sheetView>
  </sheetViews>
  <sheetFormatPr defaultRowHeight="20.100000000000001" customHeight="1" x14ac:dyDescent="0.25"/>
  <cols>
    <col min="1" max="1" width="29.7109375" style="111" customWidth="1"/>
    <col min="2" max="2" width="27" style="111" customWidth="1"/>
    <col min="3" max="11" width="20.7109375" style="111" customWidth="1"/>
    <col min="12" max="16384" width="9.140625" style="111"/>
  </cols>
  <sheetData>
    <row r="1" spans="1:11" s="272" customFormat="1" ht="20.100000000000001" customHeight="1" x14ac:dyDescent="0.25">
      <c r="A1" s="535" t="s">
        <v>105</v>
      </c>
      <c r="B1" s="535"/>
      <c r="C1" s="535"/>
      <c r="D1" s="535"/>
      <c r="E1" s="535"/>
      <c r="F1" s="535"/>
      <c r="G1" s="535"/>
      <c r="H1" s="535"/>
      <c r="I1" s="535"/>
      <c r="J1" s="535"/>
    </row>
    <row r="2" spans="1:11" s="167" customFormat="1" ht="20.100000000000001" customHeight="1" thickBot="1" x14ac:dyDescent="0.3">
      <c r="A2" s="536"/>
      <c r="B2" s="536"/>
      <c r="C2" s="536"/>
      <c r="D2" s="536"/>
      <c r="E2" s="536"/>
      <c r="F2" s="536"/>
      <c r="G2" s="536"/>
      <c r="H2" s="536"/>
      <c r="I2" s="536"/>
      <c r="J2" s="536"/>
      <c r="K2" s="166"/>
    </row>
    <row r="3" spans="1:11" s="34" customFormat="1" ht="50.25" thickBot="1" x14ac:dyDescent="0.3">
      <c r="A3" s="169" t="s">
        <v>85</v>
      </c>
      <c r="B3" s="170" t="s">
        <v>12</v>
      </c>
      <c r="C3" s="274" t="s">
        <v>106</v>
      </c>
      <c r="D3" s="171" t="s">
        <v>13</v>
      </c>
      <c r="E3" s="171" t="s">
        <v>14</v>
      </c>
      <c r="F3" s="170" t="s">
        <v>15</v>
      </c>
      <c r="G3" s="170" t="s">
        <v>25</v>
      </c>
      <c r="H3" s="170" t="s">
        <v>26</v>
      </c>
      <c r="I3" s="275" t="s">
        <v>27</v>
      </c>
      <c r="J3" s="276" t="s">
        <v>19</v>
      </c>
    </row>
    <row r="4" spans="1:11" s="167" customFormat="1" ht="20.100000000000001" customHeight="1" x14ac:dyDescent="0.25">
      <c r="A4" s="258" t="s">
        <v>107</v>
      </c>
      <c r="B4" s="277">
        <v>15490230.259998903</v>
      </c>
      <c r="C4" s="278">
        <f>96477499.14+8614264.96+161592.45+13755.47+615685.38</f>
        <v>105882797.39999999</v>
      </c>
      <c r="D4" s="279">
        <f>42390885.68+15711.17+14709.16</f>
        <v>42421306.009999998</v>
      </c>
      <c r="E4" s="279">
        <f>184284.16+15568.92</f>
        <v>199853.08000000002</v>
      </c>
      <c r="F4" s="278">
        <f>B4+C4-D4-E4</f>
        <v>78751868.569998905</v>
      </c>
      <c r="G4" s="280">
        <f>68756083.23+132758.97+600976.22</f>
        <v>69489818.420000002</v>
      </c>
      <c r="H4" s="280">
        <f>G4/F4*100</f>
        <v>88.238945540998444</v>
      </c>
      <c r="I4" s="279">
        <f>F4-G4</f>
        <v>9262050.1499989033</v>
      </c>
      <c r="J4" s="280">
        <f>I4/F4*100</f>
        <v>11.761054459001558</v>
      </c>
    </row>
    <row r="5" spans="1:11" s="167" customFormat="1" ht="20.100000000000001" customHeight="1" x14ac:dyDescent="0.25">
      <c r="A5" s="281" t="s">
        <v>23</v>
      </c>
      <c r="B5" s="277">
        <v>7875387.2900001854</v>
      </c>
      <c r="C5" s="282">
        <f>63440220.43+11986565.36</f>
        <v>75426785.789999992</v>
      </c>
      <c r="D5" s="283">
        <v>23930326.020000003</v>
      </c>
      <c r="E5" s="283">
        <v>8199.14</v>
      </c>
      <c r="F5" s="278">
        <f t="shared" ref="F5" si="0">B5+C5-D5-E5</f>
        <v>59363647.920000173</v>
      </c>
      <c r="G5" s="284">
        <v>47377082.560000002</v>
      </c>
      <c r="H5" s="280">
        <f t="shared" ref="H5" si="1">G5/F5*100</f>
        <v>79.808239924619286</v>
      </c>
      <c r="I5" s="279">
        <f t="shared" ref="I5" si="2">F5-G5</f>
        <v>11986565.360000171</v>
      </c>
      <c r="J5" s="280">
        <f t="shared" ref="J5" si="3">I5/F5*100</f>
        <v>20.191760075380717</v>
      </c>
    </row>
    <row r="6" spans="1:11" s="288" customFormat="1" ht="33" x14ac:dyDescent="0.25">
      <c r="A6" s="285"/>
      <c r="B6" s="286" t="s">
        <v>108</v>
      </c>
      <c r="C6" s="287" t="s">
        <v>70</v>
      </c>
      <c r="D6" s="286" t="s">
        <v>2</v>
      </c>
      <c r="E6" s="286" t="s">
        <v>3</v>
      </c>
      <c r="F6" s="286" t="s">
        <v>4</v>
      </c>
      <c r="G6" s="286" t="s">
        <v>109</v>
      </c>
      <c r="H6" s="286" t="s">
        <v>110</v>
      </c>
      <c r="I6" s="286" t="s">
        <v>111</v>
      </c>
      <c r="J6" s="286" t="s">
        <v>112</v>
      </c>
    </row>
    <row r="7" spans="1:11" s="288" customFormat="1" ht="20.100000000000001" customHeight="1" x14ac:dyDescent="0.25">
      <c r="A7" s="289" t="s">
        <v>113</v>
      </c>
      <c r="B7" s="290">
        <v>245211.12</v>
      </c>
      <c r="C7" s="291">
        <v>1438.59</v>
      </c>
      <c r="D7" s="292">
        <v>54088.939999999995</v>
      </c>
      <c r="E7" s="292">
        <v>2783.2</v>
      </c>
      <c r="F7" s="278">
        <f>B7+C7-D7-E7</f>
        <v>189777.56999999998</v>
      </c>
      <c r="G7" s="290">
        <v>189777.57</v>
      </c>
      <c r="H7" s="280">
        <f>G7/F7*100</f>
        <v>100.00000000000003</v>
      </c>
      <c r="I7" s="279">
        <f>F7-G7</f>
        <v>0</v>
      </c>
      <c r="J7" s="280">
        <f>I7/F7*100</f>
        <v>0</v>
      </c>
    </row>
    <row r="8" spans="1:11" s="167" customFormat="1" ht="20.100000000000001" customHeight="1" thickBot="1" x14ac:dyDescent="0.3">
      <c r="A8" s="289" t="s">
        <v>114</v>
      </c>
      <c r="B8" s="290">
        <v>550259.93000300124</v>
      </c>
      <c r="C8" s="282">
        <f>2109764.69+221469.59</f>
        <v>2331234.2799999998</v>
      </c>
      <c r="D8" s="283">
        <v>291574.88</v>
      </c>
      <c r="E8" s="283">
        <v>0</v>
      </c>
      <c r="F8" s="278">
        <f>B8+C8-D8-E8</f>
        <v>2589919.3300030013</v>
      </c>
      <c r="G8" s="284">
        <v>2366790.83</v>
      </c>
      <c r="H8" s="280">
        <f>G8/F8*100</f>
        <v>91.384731662559432</v>
      </c>
      <c r="I8" s="279">
        <f>F8-G8</f>
        <v>223128.50000300119</v>
      </c>
      <c r="J8" s="280">
        <f>I8/F8*100</f>
        <v>8.6152683374405576</v>
      </c>
    </row>
    <row r="9" spans="1:11" s="184" customFormat="1" ht="20.100000000000001" customHeight="1" thickTop="1" thickBot="1" x14ac:dyDescent="0.3">
      <c r="A9" s="293" t="s">
        <v>20</v>
      </c>
      <c r="B9" s="294">
        <f t="shared" ref="B9" si="4">SUM(B4:B8)</f>
        <v>24161088.600002091</v>
      </c>
      <c r="C9" s="294">
        <f t="shared" ref="C9:G9" si="5">SUM(C4:C8)</f>
        <v>183642256.06</v>
      </c>
      <c r="D9" s="294">
        <f t="shared" si="5"/>
        <v>66697295.850000001</v>
      </c>
      <c r="E9" s="294">
        <f t="shared" si="5"/>
        <v>210835.42000000004</v>
      </c>
      <c r="F9" s="294">
        <f t="shared" si="5"/>
        <v>140895213.39000207</v>
      </c>
      <c r="G9" s="294">
        <f t="shared" si="5"/>
        <v>119423469.38</v>
      </c>
      <c r="H9" s="294">
        <f>G9/F9*100</f>
        <v>84.760487249082288</v>
      </c>
      <c r="I9" s="294">
        <f>SUM(I4:I8)</f>
        <v>21471744.010002077</v>
      </c>
      <c r="J9" s="294">
        <f>I9/F9*100</f>
        <v>15.239512750917704</v>
      </c>
    </row>
    <row r="10" spans="1:11" s="167" customFormat="1" ht="20.100000000000001" customHeight="1" thickTop="1" x14ac:dyDescent="0.25">
      <c r="A10" s="35"/>
      <c r="B10" s="180"/>
      <c r="C10" s="180"/>
      <c r="D10" s="126"/>
      <c r="E10" s="126"/>
      <c r="F10" s="180"/>
      <c r="G10" s="126"/>
      <c r="H10" s="126"/>
      <c r="I10" s="126"/>
      <c r="J10" s="126"/>
    </row>
    <row r="11" spans="1:11" s="167" customFormat="1" ht="20.100000000000001" customHeight="1" x14ac:dyDescent="0.25">
      <c r="A11" s="157" t="s">
        <v>21</v>
      </c>
      <c r="B11" s="295"/>
      <c r="C11" s="166"/>
      <c r="D11" s="166"/>
      <c r="E11" s="166"/>
      <c r="F11" s="166"/>
      <c r="G11" s="166"/>
      <c r="H11" s="166"/>
      <c r="I11" s="168"/>
    </row>
    <row r="12" spans="1:11" s="167" customFormat="1" ht="20.100000000000001" customHeight="1" x14ac:dyDescent="0.25">
      <c r="A12" s="92" t="s">
        <v>38</v>
      </c>
      <c r="B12" s="93" t="s">
        <v>115</v>
      </c>
      <c r="C12" s="296" t="s">
        <v>79</v>
      </c>
      <c r="E12" s="29"/>
      <c r="F12" s="29"/>
      <c r="G12" s="29"/>
      <c r="H12" s="29"/>
      <c r="I12" s="297"/>
      <c r="J12" s="183"/>
    </row>
    <row r="13" spans="1:11" s="167" customFormat="1" ht="20.100000000000001" customHeight="1" x14ac:dyDescent="0.25">
      <c r="A13" s="298"/>
      <c r="B13" s="299" t="s">
        <v>107</v>
      </c>
      <c r="C13" s="166">
        <v>366688.17000000004</v>
      </c>
      <c r="D13" s="166" t="s">
        <v>24</v>
      </c>
      <c r="E13" s="300" t="s">
        <v>116</v>
      </c>
      <c r="F13" s="183"/>
      <c r="G13" s="183"/>
      <c r="H13" s="183"/>
      <c r="I13" s="183"/>
      <c r="J13" s="301"/>
    </row>
    <row r="14" spans="1:11" s="167" customFormat="1" ht="20.100000000000001" customHeight="1" x14ac:dyDescent="0.25">
      <c r="A14" s="298"/>
      <c r="B14" s="299" t="s">
        <v>107</v>
      </c>
      <c r="C14" s="166">
        <v>363887.09999999986</v>
      </c>
      <c r="D14" s="166" t="s">
        <v>24</v>
      </c>
      <c r="E14" s="300" t="s">
        <v>117</v>
      </c>
      <c r="F14" s="183"/>
      <c r="G14" s="183"/>
      <c r="H14" s="183"/>
      <c r="I14" s="183"/>
      <c r="J14" s="301"/>
    </row>
    <row r="15" spans="1:11" s="167" customFormat="1" ht="20.100000000000001" customHeight="1" x14ac:dyDescent="0.25">
      <c r="A15" s="298"/>
      <c r="B15" s="299" t="s">
        <v>107</v>
      </c>
      <c r="C15" s="166">
        <v>8531474.879999999</v>
      </c>
      <c r="D15" s="166" t="s">
        <v>24</v>
      </c>
      <c r="E15" s="183" t="s">
        <v>118</v>
      </c>
      <c r="F15" s="183"/>
      <c r="G15" s="183"/>
      <c r="H15" s="183"/>
      <c r="I15" s="183"/>
      <c r="J15" s="301"/>
    </row>
    <row r="16" spans="1:11" s="167" customFormat="1" ht="20.100000000000001" customHeight="1" x14ac:dyDescent="0.25">
      <c r="B16" s="152" t="s">
        <v>23</v>
      </c>
      <c r="C16" s="166">
        <v>11986565.360000001</v>
      </c>
      <c r="D16" s="166" t="s">
        <v>24</v>
      </c>
      <c r="E16" s="183" t="s">
        <v>119</v>
      </c>
      <c r="F16" s="166"/>
      <c r="G16" s="166"/>
      <c r="H16" s="166"/>
      <c r="I16" s="166"/>
      <c r="J16" s="183"/>
    </row>
    <row r="17" spans="1:10" s="167" customFormat="1" ht="20.100000000000001" customHeight="1" thickBot="1" x14ac:dyDescent="0.3">
      <c r="B17" s="152"/>
      <c r="C17" s="181">
        <f>SUM(C13:C16)</f>
        <v>21248615.509999998</v>
      </c>
      <c r="D17" s="159" t="s">
        <v>24</v>
      </c>
      <c r="E17" s="166"/>
      <c r="F17" s="166"/>
      <c r="G17" s="166"/>
      <c r="H17" s="168"/>
      <c r="I17" s="166"/>
      <c r="J17" s="166"/>
    </row>
    <row r="18" spans="1:10" s="167" customFormat="1" ht="20.100000000000001" customHeight="1" thickTop="1" x14ac:dyDescent="0.25">
      <c r="B18" s="152"/>
      <c r="C18" s="159"/>
      <c r="D18" s="159"/>
      <c r="E18" s="166"/>
      <c r="F18" s="166"/>
      <c r="G18" s="166"/>
      <c r="H18" s="168"/>
      <c r="I18" s="166"/>
      <c r="J18" s="166"/>
    </row>
    <row r="19" spans="1:10" s="167" customFormat="1" ht="20.100000000000001" customHeight="1" x14ac:dyDescent="0.25">
      <c r="A19" s="273" t="s">
        <v>89</v>
      </c>
      <c r="B19" s="93" t="s">
        <v>120</v>
      </c>
      <c r="C19" s="29" t="s">
        <v>79</v>
      </c>
      <c r="D19" s="159"/>
      <c r="F19" s="166"/>
      <c r="G19" s="166"/>
      <c r="H19" s="168"/>
      <c r="I19" s="159"/>
      <c r="J19" s="37"/>
    </row>
    <row r="20" spans="1:10" s="167" customFormat="1" ht="20.100000000000001" customHeight="1" x14ac:dyDescent="0.25">
      <c r="A20" s="298"/>
      <c r="B20" s="302" t="s">
        <v>121</v>
      </c>
      <c r="C20" s="166">
        <v>1658.91</v>
      </c>
      <c r="D20" s="166" t="s">
        <v>24</v>
      </c>
      <c r="E20" s="183" t="s">
        <v>122</v>
      </c>
      <c r="F20" s="183"/>
      <c r="G20" s="183"/>
      <c r="H20" s="183"/>
      <c r="I20" s="183"/>
      <c r="J20" s="301"/>
    </row>
    <row r="21" spans="1:10" s="167" customFormat="1" ht="20.100000000000001" customHeight="1" x14ac:dyDescent="0.25">
      <c r="B21" s="302" t="s">
        <v>121</v>
      </c>
      <c r="C21" s="166">
        <v>221469.59000000003</v>
      </c>
      <c r="D21" s="166" t="s">
        <v>24</v>
      </c>
      <c r="E21" s="183" t="s">
        <v>123</v>
      </c>
      <c r="F21" s="166"/>
      <c r="G21" s="166"/>
      <c r="H21" s="168"/>
      <c r="I21" s="166"/>
      <c r="J21" s="166"/>
    </row>
    <row r="22" spans="1:10" ht="20.100000000000001" customHeight="1" thickBot="1" x14ac:dyDescent="0.3">
      <c r="C22" s="181">
        <f>SUM(C20:C21)</f>
        <v>223128.50000000003</v>
      </c>
      <c r="D22" s="159" t="s">
        <v>24</v>
      </c>
    </row>
    <row r="23" spans="1:10" ht="20.100000000000001" customHeight="1" thickTop="1" x14ac:dyDescent="0.25"/>
  </sheetData>
  <mergeCells count="1">
    <mergeCell ref="A1:J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7" sqref="F17"/>
    </sheetView>
  </sheetViews>
  <sheetFormatPr defaultRowHeight="20.100000000000001" customHeight="1" x14ac:dyDescent="0.3"/>
  <cols>
    <col min="1" max="1" width="26" style="187" customWidth="1"/>
    <col min="2" max="10" width="20.7109375" style="187" customWidth="1"/>
    <col min="11" max="16384" width="9.140625" style="187"/>
  </cols>
  <sheetData>
    <row r="1" spans="1:10" s="272" customFormat="1" ht="21.75" customHeight="1" x14ac:dyDescent="0.25">
      <c r="A1" s="535" t="s">
        <v>124</v>
      </c>
      <c r="B1" s="535"/>
      <c r="C1" s="535"/>
      <c r="D1" s="535"/>
      <c r="E1" s="535"/>
      <c r="F1" s="535"/>
      <c r="G1" s="535"/>
      <c r="H1" s="535"/>
      <c r="I1" s="535"/>
      <c r="J1" s="535"/>
    </row>
    <row r="2" spans="1:10" s="167" customFormat="1" ht="21.75" customHeight="1" thickBot="1" x14ac:dyDescent="0.3">
      <c r="A2" s="536"/>
      <c r="B2" s="536"/>
      <c r="C2" s="536"/>
      <c r="D2" s="536"/>
      <c r="E2" s="536"/>
      <c r="F2" s="536"/>
      <c r="G2" s="536"/>
      <c r="H2" s="536"/>
      <c r="I2" s="536"/>
      <c r="J2" s="536"/>
    </row>
    <row r="3" spans="1:10" s="167" customFormat="1" ht="50.25" thickBot="1" x14ac:dyDescent="0.3">
      <c r="A3" s="169" t="s">
        <v>85</v>
      </c>
      <c r="B3" s="150" t="s">
        <v>69</v>
      </c>
      <c r="C3" s="216" t="s">
        <v>125</v>
      </c>
      <c r="D3" s="216" t="s">
        <v>71</v>
      </c>
      <c r="E3" s="216" t="s">
        <v>72</v>
      </c>
      <c r="F3" s="150" t="s">
        <v>73</v>
      </c>
      <c r="G3" s="150" t="s">
        <v>16</v>
      </c>
      <c r="H3" s="150" t="s">
        <v>88</v>
      </c>
      <c r="I3" s="170" t="s">
        <v>27</v>
      </c>
      <c r="J3" s="216" t="s">
        <v>75</v>
      </c>
    </row>
    <row r="4" spans="1:10" s="167" customFormat="1" ht="21.75" customHeight="1" x14ac:dyDescent="0.25">
      <c r="A4" s="172" t="s">
        <v>126</v>
      </c>
      <c r="B4" s="303">
        <v>16147415.890018463</v>
      </c>
      <c r="C4" s="259">
        <f>324518120.02+34494610.8</f>
        <v>359012730.81999999</v>
      </c>
      <c r="D4" s="174">
        <v>46413776.289999999</v>
      </c>
      <c r="E4" s="174">
        <v>1022834.7899999999</v>
      </c>
      <c r="F4" s="259">
        <f>B4+C4-D4-E4</f>
        <v>327723535.63001841</v>
      </c>
      <c r="G4" s="259">
        <v>293003409.06</v>
      </c>
      <c r="H4" s="175">
        <f>G4/F4*100</f>
        <v>89.405665814244259</v>
      </c>
      <c r="I4" s="304">
        <f>F4-G4</f>
        <v>34720126.570018411</v>
      </c>
      <c r="J4" s="175">
        <f>I4/F4*100</f>
        <v>10.594334185755732</v>
      </c>
    </row>
    <row r="5" spans="1:10" s="167" customFormat="1" ht="20.100000000000001" customHeight="1" x14ac:dyDescent="0.25">
      <c r="A5" s="305" t="s">
        <v>23</v>
      </c>
      <c r="B5" s="303">
        <v>12960185.210000694</v>
      </c>
      <c r="C5" s="306">
        <f>284497118.28+37693372.42</f>
        <v>322190490.69999999</v>
      </c>
      <c r="D5" s="197">
        <v>20837228.77</v>
      </c>
      <c r="E5" s="197">
        <v>4607.12</v>
      </c>
      <c r="F5" s="259">
        <f>B5+C5-D5-E5</f>
        <v>314308840.0200007</v>
      </c>
      <c r="G5" s="178">
        <v>276615467.60000002</v>
      </c>
      <c r="H5" s="175">
        <f>G5/F5*100</f>
        <v>88.007536658020143</v>
      </c>
      <c r="I5" s="174">
        <f>F5-G5</f>
        <v>37693372.420000672</v>
      </c>
      <c r="J5" s="175">
        <f>I5/F5*100</f>
        <v>11.99246334197985</v>
      </c>
    </row>
    <row r="6" spans="1:10" s="27" customFormat="1" ht="20.100000000000001" customHeight="1" thickBot="1" x14ac:dyDescent="0.3">
      <c r="A6" s="307" t="s">
        <v>20</v>
      </c>
      <c r="B6" s="268">
        <f t="shared" ref="B6" si="0">SUM(B4:B5)</f>
        <v>29107601.100019157</v>
      </c>
      <c r="C6" s="268">
        <f>SUM(C4:C5)</f>
        <v>681203221.51999998</v>
      </c>
      <c r="D6" s="156">
        <f t="shared" ref="D6:G6" si="1">SUM(D4:D5)</f>
        <v>67251005.060000002</v>
      </c>
      <c r="E6" s="156">
        <f t="shared" si="1"/>
        <v>1027441.9099999999</v>
      </c>
      <c r="F6" s="268">
        <f t="shared" si="1"/>
        <v>642032375.65001917</v>
      </c>
      <c r="G6" s="156">
        <f t="shared" si="1"/>
        <v>569618876.66000009</v>
      </c>
      <c r="H6" s="156">
        <f>G6/F6*100</f>
        <v>88.721207568901065</v>
      </c>
      <c r="I6" s="155">
        <f>SUM(I4:I5)</f>
        <v>72413498.990019083</v>
      </c>
      <c r="J6" s="156">
        <f>I6/F6*100</f>
        <v>11.278792431098941</v>
      </c>
    </row>
    <row r="7" spans="1:10" s="167" customFormat="1" ht="20.100000000000001" customHeight="1" thickTop="1" x14ac:dyDescent="0.25">
      <c r="A7" s="179"/>
      <c r="B7" s="28"/>
      <c r="C7" s="28"/>
      <c r="D7" s="128"/>
      <c r="E7" s="128"/>
      <c r="F7" s="28"/>
      <c r="G7" s="128"/>
      <c r="H7" s="128"/>
      <c r="I7" s="126"/>
      <c r="J7" s="128"/>
    </row>
    <row r="8" spans="1:10" s="167" customFormat="1" ht="20.100000000000001" customHeight="1" x14ac:dyDescent="0.25">
      <c r="A8" s="157" t="s">
        <v>21</v>
      </c>
      <c r="B8" s="184"/>
      <c r="C8" s="183"/>
      <c r="D8" s="183"/>
      <c r="E8" s="183"/>
      <c r="F8" s="183"/>
      <c r="G8" s="183"/>
      <c r="H8" s="183"/>
      <c r="I8" s="168"/>
      <c r="J8" s="152"/>
    </row>
    <row r="9" spans="1:10" s="167" customFormat="1" ht="20.100000000000001" customHeight="1" x14ac:dyDescent="0.25">
      <c r="A9" s="273" t="s">
        <v>89</v>
      </c>
      <c r="B9" s="29" t="s">
        <v>79</v>
      </c>
      <c r="D9" s="183"/>
      <c r="E9" s="183"/>
      <c r="F9" s="183"/>
      <c r="G9" s="183"/>
      <c r="H9" s="183"/>
      <c r="I9" s="168"/>
      <c r="J9" s="152"/>
    </row>
    <row r="10" spans="1:10" s="167" customFormat="1" ht="20.100000000000001" customHeight="1" x14ac:dyDescent="0.25">
      <c r="B10" s="152" t="s">
        <v>22</v>
      </c>
      <c r="C10" s="183">
        <v>225515.77</v>
      </c>
      <c r="D10" s="183" t="s">
        <v>91</v>
      </c>
      <c r="E10" s="183" t="s">
        <v>127</v>
      </c>
      <c r="F10" s="183"/>
      <c r="G10" s="183"/>
      <c r="H10" s="151"/>
      <c r="J10" s="152"/>
    </row>
    <row r="11" spans="1:10" s="167" customFormat="1" ht="20.100000000000001" customHeight="1" x14ac:dyDescent="0.25">
      <c r="B11" s="152" t="s">
        <v>22</v>
      </c>
      <c r="C11" s="183">
        <v>34494610.800000004</v>
      </c>
      <c r="D11" s="183" t="s">
        <v>91</v>
      </c>
      <c r="E11" s="183" t="s">
        <v>128</v>
      </c>
      <c r="F11" s="183"/>
      <c r="G11" s="183"/>
      <c r="H11" s="151"/>
      <c r="J11" s="152"/>
    </row>
    <row r="12" spans="1:10" s="167" customFormat="1" ht="20.100000000000001" customHeight="1" x14ac:dyDescent="0.25">
      <c r="B12" s="152" t="s">
        <v>23</v>
      </c>
      <c r="C12" s="183">
        <v>37693372.420000002</v>
      </c>
      <c r="D12" s="183" t="s">
        <v>91</v>
      </c>
      <c r="E12" s="183" t="s">
        <v>129</v>
      </c>
      <c r="G12" s="183"/>
      <c r="H12" s="151"/>
      <c r="J12" s="152"/>
    </row>
    <row r="13" spans="1:10" s="167" customFormat="1" ht="20.100000000000001" customHeight="1" thickBot="1" x14ac:dyDescent="0.3">
      <c r="B13" s="152"/>
      <c r="C13" s="308">
        <f>SUM(C10:C12)</f>
        <v>72413498.99000001</v>
      </c>
      <c r="D13" s="29" t="s">
        <v>91</v>
      </c>
      <c r="E13" s="183"/>
      <c r="F13" s="183"/>
      <c r="G13" s="183"/>
      <c r="H13" s="151"/>
      <c r="J13" s="152"/>
    </row>
    <row r="14" spans="1:10" ht="20.100000000000001" customHeight="1" thickTop="1" x14ac:dyDescent="0.3"/>
  </sheetData>
  <mergeCells count="1">
    <mergeCell ref="A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topLeftCell="A13" zoomScaleNormal="100" workbookViewId="0">
      <selection activeCell="C18" sqref="C18"/>
    </sheetView>
  </sheetViews>
  <sheetFormatPr defaultRowHeight="24" customHeight="1" x14ac:dyDescent="0.3"/>
  <cols>
    <col min="1" max="1" width="29.5703125" style="60" customWidth="1"/>
    <col min="2" max="10" width="20.7109375" style="60" customWidth="1"/>
    <col min="11" max="11" width="28.140625" style="60" bestFit="1" customWidth="1"/>
    <col min="12" max="16384" width="9.140625" style="60"/>
  </cols>
  <sheetData>
    <row r="1" spans="1:14" s="167" customFormat="1" ht="30" customHeight="1" x14ac:dyDescent="0.25">
      <c r="A1" s="213"/>
      <c r="B1" s="190"/>
      <c r="C1" s="214" t="s">
        <v>56</v>
      </c>
      <c r="D1" s="214"/>
      <c r="E1" s="214"/>
      <c r="F1" s="214"/>
      <c r="G1" s="214"/>
      <c r="H1" s="215"/>
      <c r="I1" s="213"/>
      <c r="J1" s="213"/>
      <c r="K1" s="191"/>
      <c r="L1" s="192"/>
      <c r="M1" s="166"/>
    </row>
    <row r="2" spans="1:14" s="166" customFormat="1" ht="20.100000000000001" customHeight="1" thickBot="1" x14ac:dyDescent="0.3">
      <c r="K2" s="191"/>
      <c r="L2" s="191"/>
    </row>
    <row r="3" spans="1:14" s="167" customFormat="1" ht="50.25" thickBot="1" x14ac:dyDescent="0.3">
      <c r="A3" s="169" t="s">
        <v>47</v>
      </c>
      <c r="B3" s="170" t="s">
        <v>12</v>
      </c>
      <c r="C3" s="171" t="s">
        <v>57</v>
      </c>
      <c r="D3" s="171" t="s">
        <v>13</v>
      </c>
      <c r="E3" s="171" t="s">
        <v>14</v>
      </c>
      <c r="F3" s="170" t="s">
        <v>15</v>
      </c>
      <c r="G3" s="170" t="s">
        <v>25</v>
      </c>
      <c r="H3" s="170" t="s">
        <v>26</v>
      </c>
      <c r="I3" s="170" t="s">
        <v>27</v>
      </c>
      <c r="J3" s="171" t="s">
        <v>19</v>
      </c>
      <c r="K3" s="193"/>
      <c r="L3" s="192"/>
      <c r="M3" s="166"/>
    </row>
    <row r="4" spans="1:14" s="167" customFormat="1" ht="20.100000000000001" customHeight="1" x14ac:dyDescent="0.25">
      <c r="A4" s="172" t="s">
        <v>22</v>
      </c>
      <c r="B4" s="174">
        <v>2480912.1900000712</v>
      </c>
      <c r="C4" s="173">
        <v>12524378.73</v>
      </c>
      <c r="D4" s="185">
        <v>2247698.2200000002</v>
      </c>
      <c r="E4" s="254">
        <v>552131.68999999994</v>
      </c>
      <c r="F4" s="173">
        <f>B4+C4-D4-E4</f>
        <v>12205461.010000072</v>
      </c>
      <c r="G4" s="175">
        <f>10966037.2000001-D4-E4</f>
        <v>8166207.2900000997</v>
      </c>
      <c r="H4" s="175">
        <f t="shared" ref="H4:H6" si="0">G4/F4*100</f>
        <v>66.906176532860442</v>
      </c>
      <c r="I4" s="174">
        <f>F4-G4</f>
        <v>4039253.7199999727</v>
      </c>
      <c r="J4" s="175">
        <f t="shared" ref="J4:J6" si="1">I4/F4*100</f>
        <v>33.093823467139558</v>
      </c>
      <c r="K4" s="194"/>
      <c r="L4" s="192"/>
      <c r="M4" s="166"/>
      <c r="N4" s="194"/>
    </row>
    <row r="5" spans="1:14" s="167" customFormat="1" ht="20.100000000000001" customHeight="1" thickBot="1" x14ac:dyDescent="0.3">
      <c r="A5" s="176" t="s">
        <v>23</v>
      </c>
      <c r="B5" s="197">
        <v>1302394.9200000109</v>
      </c>
      <c r="C5" s="177">
        <v>4804914.24</v>
      </c>
      <c r="D5" s="185"/>
      <c r="E5" s="178">
        <v>0</v>
      </c>
      <c r="F5" s="177">
        <f>B5+C5-D5-E5</f>
        <v>6107309.1600000113</v>
      </c>
      <c r="G5" s="198">
        <f>5831720.22-E5-D5</f>
        <v>5831720.2199999997</v>
      </c>
      <c r="H5" s="178">
        <f t="shared" si="0"/>
        <v>95.487555439226995</v>
      </c>
      <c r="I5" s="197">
        <f t="shared" ref="I5" si="2">F5-G5</f>
        <v>275588.94000001159</v>
      </c>
      <c r="J5" s="178">
        <f t="shared" si="1"/>
        <v>4.5124445607729982</v>
      </c>
      <c r="K5" s="191"/>
      <c r="L5" s="192"/>
      <c r="M5" s="166"/>
    </row>
    <row r="6" spans="1:14" s="167" customFormat="1" ht="20.100000000000001" customHeight="1" thickTop="1" thickBot="1" x14ac:dyDescent="0.3">
      <c r="A6" s="199" t="s">
        <v>20</v>
      </c>
      <c r="B6" s="210">
        <f t="shared" ref="B6" si="3">SUM(B4:B5)</f>
        <v>3783307.1100000823</v>
      </c>
      <c r="C6" s="201">
        <f>SUM(C4:C5)</f>
        <v>17329292.969999999</v>
      </c>
      <c r="D6" s="202">
        <f t="shared" ref="D6:G6" si="4">SUM(D4:D5)</f>
        <v>2247698.2200000002</v>
      </c>
      <c r="E6" s="202">
        <f t="shared" si="4"/>
        <v>552131.68999999994</v>
      </c>
      <c r="F6" s="201">
        <f t="shared" si="4"/>
        <v>18312770.170000084</v>
      </c>
      <c r="G6" s="202">
        <f t="shared" si="4"/>
        <v>13997927.510000098</v>
      </c>
      <c r="H6" s="202">
        <f t="shared" si="0"/>
        <v>76.438066879316025</v>
      </c>
      <c r="I6" s="200">
        <f>SUM(I4:I5)</f>
        <v>4314842.6599999843</v>
      </c>
      <c r="J6" s="202">
        <f t="shared" si="1"/>
        <v>23.561933120683971</v>
      </c>
      <c r="K6" s="196"/>
      <c r="L6" s="192"/>
      <c r="M6" s="166"/>
    </row>
    <row r="7" spans="1:14" s="111" customFormat="1" ht="15.75" thickTop="1" x14ac:dyDescent="0.25">
      <c r="K7" s="133"/>
      <c r="L7" s="133"/>
    </row>
    <row r="8" spans="1:14" s="167" customFormat="1" ht="20.100000000000001" customHeight="1" x14ac:dyDescent="0.25">
      <c r="A8" s="203" t="s">
        <v>21</v>
      </c>
      <c r="B8" s="184"/>
      <c r="C8" s="166"/>
      <c r="D8" s="166"/>
      <c r="E8" s="166"/>
      <c r="F8" s="186"/>
      <c r="G8" s="186"/>
      <c r="H8" s="168"/>
      <c r="K8" s="191"/>
      <c r="L8" s="192"/>
      <c r="M8" s="166"/>
    </row>
    <row r="9" spans="1:14" s="167" customFormat="1" ht="20.100000000000001" customHeight="1" x14ac:dyDescent="0.25">
      <c r="B9" s="204" t="s">
        <v>28</v>
      </c>
      <c r="C9" s="205"/>
      <c r="D9" s="166"/>
      <c r="E9" s="166"/>
      <c r="F9" s="186"/>
      <c r="G9" s="186"/>
      <c r="H9" s="168"/>
      <c r="K9" s="191"/>
      <c r="L9" s="192"/>
      <c r="M9" s="166"/>
    </row>
    <row r="10" spans="1:14" s="167" customFormat="1" ht="20.100000000000001" customHeight="1" x14ac:dyDescent="0.25">
      <c r="A10" s="167" t="s">
        <v>29</v>
      </c>
      <c r="B10" s="167" t="s">
        <v>58</v>
      </c>
      <c r="D10" s="166">
        <v>344735.99</v>
      </c>
      <c r="E10" s="166" t="s">
        <v>24</v>
      </c>
      <c r="F10" s="166" t="s">
        <v>42</v>
      </c>
      <c r="H10" s="166"/>
      <c r="K10" s="191"/>
      <c r="L10" s="191"/>
      <c r="M10" s="166"/>
    </row>
    <row r="11" spans="1:14" s="167" customFormat="1" ht="20.100000000000001" customHeight="1" x14ac:dyDescent="0.25">
      <c r="B11" s="167" t="s">
        <v>59</v>
      </c>
      <c r="D11" s="166">
        <v>2319301.38</v>
      </c>
      <c r="E11" s="166" t="s">
        <v>24</v>
      </c>
      <c r="F11" s="166" t="s">
        <v>30</v>
      </c>
      <c r="H11" s="166"/>
      <c r="K11" s="191"/>
      <c r="L11" s="191"/>
      <c r="M11" s="166"/>
    </row>
    <row r="12" spans="1:14" s="167" customFormat="1" ht="20.100000000000001" customHeight="1" x14ac:dyDescent="0.25">
      <c r="B12" s="167" t="s">
        <v>60</v>
      </c>
      <c r="D12" s="166">
        <v>1277605.92</v>
      </c>
      <c r="E12" s="166" t="s">
        <v>24</v>
      </c>
      <c r="F12" s="166" t="s">
        <v>41</v>
      </c>
      <c r="H12" s="166"/>
      <c r="K12" s="191"/>
      <c r="L12" s="192"/>
      <c r="M12" s="166"/>
    </row>
    <row r="13" spans="1:14" s="167" customFormat="1" ht="20.100000000000001" customHeight="1" x14ac:dyDescent="0.25">
      <c r="B13" s="167" t="s">
        <v>295</v>
      </c>
      <c r="D13" s="166">
        <v>58095.24</v>
      </c>
      <c r="E13" s="166" t="s">
        <v>24</v>
      </c>
      <c r="F13" s="166" t="s">
        <v>44</v>
      </c>
      <c r="H13" s="166"/>
      <c r="K13" s="191"/>
      <c r="L13" s="192"/>
      <c r="M13" s="166"/>
    </row>
    <row r="14" spans="1:14" s="167" customFormat="1" ht="20.100000000000001" customHeight="1" x14ac:dyDescent="0.25">
      <c r="B14" s="167" t="s">
        <v>61</v>
      </c>
      <c r="D14" s="166">
        <v>439.64</v>
      </c>
      <c r="E14" s="166" t="s">
        <v>24</v>
      </c>
      <c r="F14" s="183" t="s">
        <v>43</v>
      </c>
      <c r="H14" s="166"/>
      <c r="J14" s="182"/>
      <c r="K14" s="191"/>
      <c r="L14" s="191"/>
      <c r="M14" s="166"/>
    </row>
    <row r="15" spans="1:14" s="167" customFormat="1" ht="20.100000000000001" customHeight="1" x14ac:dyDescent="0.25">
      <c r="B15" s="167" t="s">
        <v>62</v>
      </c>
      <c r="D15" s="166">
        <v>1015.39</v>
      </c>
      <c r="E15" s="166" t="s">
        <v>24</v>
      </c>
      <c r="F15" s="183" t="s">
        <v>45</v>
      </c>
      <c r="H15" s="166"/>
      <c r="J15" s="182"/>
      <c r="K15" s="191"/>
      <c r="L15" s="191"/>
      <c r="M15" s="166"/>
    </row>
    <row r="16" spans="1:14" s="167" customFormat="1" ht="20.100000000000001" customHeight="1" x14ac:dyDescent="0.25">
      <c r="B16" s="167" t="s">
        <v>63</v>
      </c>
      <c r="D16" s="166">
        <v>38060.160000000003</v>
      </c>
      <c r="E16" s="166" t="s">
        <v>24</v>
      </c>
      <c r="F16" s="183" t="s">
        <v>64</v>
      </c>
      <c r="H16" s="166"/>
      <c r="J16" s="182"/>
      <c r="K16" s="191"/>
      <c r="L16" s="191"/>
      <c r="M16" s="166"/>
    </row>
    <row r="17" spans="1:14" s="179" customFormat="1" ht="20.100000000000001" customHeight="1" x14ac:dyDescent="0.25">
      <c r="B17" s="179" t="s">
        <v>31</v>
      </c>
      <c r="D17" s="206">
        <f>SUM(D10:D16)</f>
        <v>4039253.7200000007</v>
      </c>
      <c r="E17" s="180"/>
      <c r="F17" s="180"/>
      <c r="H17" s="180"/>
      <c r="K17" s="207"/>
      <c r="L17" s="208"/>
      <c r="M17" s="180"/>
    </row>
    <row r="18" spans="1:14" s="111" customFormat="1" ht="15" x14ac:dyDescent="0.25">
      <c r="K18" s="133"/>
      <c r="L18" s="133"/>
    </row>
    <row r="19" spans="1:14" s="167" customFormat="1" ht="20.100000000000001" customHeight="1" x14ac:dyDescent="0.25">
      <c r="B19" s="204" t="s">
        <v>32</v>
      </c>
      <c r="C19" s="209"/>
      <c r="D19" s="166"/>
      <c r="E19" s="166"/>
      <c r="F19" s="166"/>
      <c r="H19" s="166"/>
      <c r="K19" s="191"/>
      <c r="L19" s="192"/>
      <c r="M19" s="166"/>
    </row>
    <row r="20" spans="1:14" s="187" customFormat="1" ht="16.5" x14ac:dyDescent="0.3">
      <c r="A20" s="167"/>
      <c r="B20" s="167" t="s">
        <v>65</v>
      </c>
      <c r="D20" s="188">
        <v>275588.94</v>
      </c>
      <c r="E20" s="166" t="s">
        <v>24</v>
      </c>
      <c r="F20" s="166" t="s">
        <v>66</v>
      </c>
      <c r="K20" s="195"/>
      <c r="L20" s="195"/>
      <c r="M20" s="188"/>
    </row>
    <row r="21" spans="1:14" s="167" customFormat="1" ht="20.100000000000001" customHeight="1" thickBot="1" x14ac:dyDescent="0.3">
      <c r="D21" s="181">
        <f>SUM(D20:D20)</f>
        <v>275588.94</v>
      </c>
      <c r="E21" s="166"/>
      <c r="F21" s="166"/>
      <c r="G21" s="166"/>
      <c r="H21" s="166"/>
      <c r="K21" s="191"/>
      <c r="L21" s="192"/>
      <c r="M21" s="166"/>
    </row>
    <row r="22" spans="1:14" ht="24" customHeight="1" thickTop="1" x14ac:dyDescent="0.3"/>
    <row r="24" spans="1:14" s="167" customFormat="1" ht="30" customHeight="1" x14ac:dyDescent="0.25">
      <c r="A24" s="213"/>
      <c r="B24" s="190"/>
      <c r="C24" s="214" t="s">
        <v>293</v>
      </c>
      <c r="D24" s="214"/>
      <c r="E24" s="214"/>
      <c r="F24" s="214"/>
      <c r="G24" s="214"/>
      <c r="H24" s="215"/>
      <c r="I24" s="213"/>
      <c r="J24" s="213"/>
      <c r="K24" s="191"/>
      <c r="L24" s="192"/>
      <c r="M24" s="166"/>
    </row>
    <row r="25" spans="1:14" s="166" customFormat="1" ht="20.100000000000001" customHeight="1" thickBot="1" x14ac:dyDescent="0.3">
      <c r="K25" s="191"/>
      <c r="L25" s="191"/>
    </row>
    <row r="26" spans="1:14" s="167" customFormat="1" ht="50.25" thickBot="1" x14ac:dyDescent="0.3">
      <c r="A26" s="169" t="s">
        <v>284</v>
      </c>
      <c r="B26" s="170" t="s">
        <v>12</v>
      </c>
      <c r="C26" s="171" t="s">
        <v>294</v>
      </c>
      <c r="D26" s="171" t="s">
        <v>13</v>
      </c>
      <c r="E26" s="171" t="s">
        <v>14</v>
      </c>
      <c r="F26" s="170" t="s">
        <v>15</v>
      </c>
      <c r="G26" s="170" t="s">
        <v>25</v>
      </c>
      <c r="H26" s="170" t="s">
        <v>26</v>
      </c>
      <c r="I26" s="170" t="s">
        <v>27</v>
      </c>
      <c r="J26" s="171" t="s">
        <v>19</v>
      </c>
      <c r="K26" s="193"/>
      <c r="L26" s="192"/>
      <c r="M26" s="166"/>
    </row>
    <row r="27" spans="1:14" s="167" customFormat="1" ht="20.100000000000001" customHeight="1" x14ac:dyDescent="0.25">
      <c r="A27" s="172" t="s">
        <v>22</v>
      </c>
      <c r="B27" s="174">
        <v>4039253.7199999727</v>
      </c>
      <c r="C27" s="173">
        <v>10665655.07</v>
      </c>
      <c r="D27" s="185">
        <v>3678393.02</v>
      </c>
      <c r="E27" s="254">
        <v>486290.92</v>
      </c>
      <c r="F27" s="173">
        <f>B27+C27-D27-E27</f>
        <v>10540224.849999974</v>
      </c>
      <c r="G27" s="175">
        <f>12812908.36-D27-E27+1784.24</f>
        <v>8650008.6600000001</v>
      </c>
      <c r="H27" s="175">
        <f t="shared" ref="H27:H29" si="5">G27/F27*100</f>
        <v>82.066642629545257</v>
      </c>
      <c r="I27" s="174">
        <f>F27-G27</f>
        <v>1890216.1899999734</v>
      </c>
      <c r="J27" s="175">
        <f t="shared" ref="J27:J29" si="6">I27/F27*100</f>
        <v>17.93335737045475</v>
      </c>
      <c r="K27" s="194"/>
      <c r="L27" s="192"/>
      <c r="M27" s="166"/>
      <c r="N27" s="194"/>
    </row>
    <row r="28" spans="1:14" s="167" customFormat="1" ht="20.100000000000001" customHeight="1" thickBot="1" x14ac:dyDescent="0.3">
      <c r="A28" s="176" t="s">
        <v>23</v>
      </c>
      <c r="B28" s="197">
        <v>275588.94000001159</v>
      </c>
      <c r="C28" s="177">
        <v>5746147.2000000002</v>
      </c>
      <c r="D28" s="185"/>
      <c r="E28" s="178">
        <v>0</v>
      </c>
      <c r="F28" s="177">
        <f>B28+C28-D28-E28</f>
        <v>6021736.1400000118</v>
      </c>
      <c r="G28" s="198">
        <f>5746147.2-E28-D28</f>
        <v>5746147.2000000002</v>
      </c>
      <c r="H28" s="178">
        <f t="shared" si="5"/>
        <v>95.423430492588622</v>
      </c>
      <c r="I28" s="197">
        <f t="shared" ref="I28" si="7">F28-G28</f>
        <v>275588.94000001159</v>
      </c>
      <c r="J28" s="178">
        <f t="shared" si="6"/>
        <v>4.5765695074113797</v>
      </c>
      <c r="K28" s="191"/>
      <c r="L28" s="192"/>
      <c r="M28" s="166"/>
    </row>
    <row r="29" spans="1:14" s="167" customFormat="1" ht="20.100000000000001" customHeight="1" thickTop="1" thickBot="1" x14ac:dyDescent="0.3">
      <c r="A29" s="199" t="s">
        <v>20</v>
      </c>
      <c r="B29" s="210">
        <f t="shared" ref="B29" si="8">SUM(B27:B28)</f>
        <v>4314842.6599999843</v>
      </c>
      <c r="C29" s="201">
        <f>SUM(C27:C28)</f>
        <v>16411802.27</v>
      </c>
      <c r="D29" s="202">
        <f t="shared" ref="D29:G29" si="9">SUM(D27:D28)</f>
        <v>3678393.02</v>
      </c>
      <c r="E29" s="202">
        <f t="shared" si="9"/>
        <v>486290.92</v>
      </c>
      <c r="F29" s="201">
        <f t="shared" si="9"/>
        <v>16561960.989999985</v>
      </c>
      <c r="G29" s="202">
        <f t="shared" si="9"/>
        <v>14396155.859999999</v>
      </c>
      <c r="H29" s="202">
        <f t="shared" si="5"/>
        <v>86.923015147133327</v>
      </c>
      <c r="I29" s="200">
        <f>SUM(I27:I28)</f>
        <v>2165805.129999985</v>
      </c>
      <c r="J29" s="202">
        <f t="shared" si="6"/>
        <v>13.076984852866671</v>
      </c>
      <c r="K29" s="196"/>
      <c r="L29" s="192"/>
      <c r="M29" s="166"/>
    </row>
    <row r="30" spans="1:14" s="111" customFormat="1" ht="15.75" thickTop="1" x14ac:dyDescent="0.25">
      <c r="K30" s="133"/>
      <c r="L30" s="133"/>
    </row>
    <row r="31" spans="1:14" s="167" customFormat="1" ht="20.100000000000001" customHeight="1" x14ac:dyDescent="0.25">
      <c r="A31" s="203" t="s">
        <v>21</v>
      </c>
      <c r="B31" s="184"/>
      <c r="C31" s="166"/>
      <c r="D31" s="166"/>
      <c r="E31" s="166"/>
      <c r="F31" s="186"/>
      <c r="G31" s="186"/>
      <c r="H31" s="168"/>
      <c r="K31" s="191"/>
      <c r="L31" s="192"/>
      <c r="M31" s="166"/>
    </row>
    <row r="32" spans="1:14" s="167" customFormat="1" ht="20.100000000000001" customHeight="1" x14ac:dyDescent="0.25">
      <c r="B32" s="204" t="s">
        <v>28</v>
      </c>
      <c r="C32" s="205"/>
      <c r="D32" s="166"/>
      <c r="E32" s="166"/>
      <c r="F32" s="186"/>
      <c r="G32" s="186"/>
      <c r="H32" s="168"/>
      <c r="K32" s="191"/>
      <c r="L32" s="192"/>
      <c r="M32" s="166"/>
    </row>
    <row r="33" spans="1:13" s="167" customFormat="1" ht="20.100000000000001" customHeight="1" x14ac:dyDescent="0.25">
      <c r="A33" s="167" t="s">
        <v>29</v>
      </c>
      <c r="B33" s="167" t="s">
        <v>58</v>
      </c>
      <c r="D33" s="166">
        <v>340261.26</v>
      </c>
      <c r="E33" s="166" t="s">
        <v>24</v>
      </c>
      <c r="F33" s="166" t="s">
        <v>42</v>
      </c>
      <c r="H33" s="166"/>
      <c r="K33" s="191"/>
      <c r="L33" s="191"/>
      <c r="M33" s="166"/>
    </row>
    <row r="34" spans="1:13" s="167" customFormat="1" ht="20.100000000000001" customHeight="1" x14ac:dyDescent="0.25">
      <c r="B34" s="167" t="s">
        <v>59</v>
      </c>
      <c r="D34" s="166">
        <v>127858.71</v>
      </c>
      <c r="E34" s="166" t="s">
        <v>24</v>
      </c>
      <c r="F34" s="166" t="s">
        <v>30</v>
      </c>
      <c r="H34" s="166"/>
      <c r="K34" s="191"/>
      <c r="L34" s="191"/>
      <c r="M34" s="166"/>
    </row>
    <row r="35" spans="1:13" s="167" customFormat="1" ht="20.100000000000001" customHeight="1" x14ac:dyDescent="0.25">
      <c r="B35" s="167" t="s">
        <v>60</v>
      </c>
      <c r="D35" s="166">
        <v>1187508.3199999998</v>
      </c>
      <c r="E35" s="166" t="s">
        <v>24</v>
      </c>
      <c r="F35" s="166" t="s">
        <v>41</v>
      </c>
      <c r="H35" s="166"/>
      <c r="K35" s="191"/>
      <c r="L35" s="192"/>
      <c r="M35" s="166"/>
    </row>
    <row r="36" spans="1:13" s="167" customFormat="1" ht="20.100000000000001" customHeight="1" x14ac:dyDescent="0.25">
      <c r="B36" s="167" t="s">
        <v>295</v>
      </c>
      <c r="D36" s="166">
        <v>58095.24</v>
      </c>
      <c r="E36" s="166" t="s">
        <v>24</v>
      </c>
      <c r="F36" s="166" t="s">
        <v>44</v>
      </c>
      <c r="H36" s="166"/>
      <c r="K36" s="191"/>
      <c r="L36" s="192"/>
      <c r="M36" s="166"/>
    </row>
    <row r="37" spans="1:13" s="167" customFormat="1" ht="20.100000000000001" customHeight="1" x14ac:dyDescent="0.25">
      <c r="B37" s="167" t="s">
        <v>61</v>
      </c>
      <c r="D37" s="166">
        <v>439.64</v>
      </c>
      <c r="E37" s="166" t="s">
        <v>24</v>
      </c>
      <c r="F37" s="183" t="s">
        <v>43</v>
      </c>
      <c r="H37" s="166"/>
      <c r="J37" s="182"/>
      <c r="K37" s="191"/>
      <c r="L37" s="191"/>
      <c r="M37" s="166"/>
    </row>
    <row r="38" spans="1:13" s="167" customFormat="1" ht="20.100000000000001" customHeight="1" x14ac:dyDescent="0.25">
      <c r="B38" s="167" t="s">
        <v>62</v>
      </c>
      <c r="D38" s="166">
        <v>1015.39</v>
      </c>
      <c r="E38" s="166" t="s">
        <v>24</v>
      </c>
      <c r="F38" s="183" t="s">
        <v>45</v>
      </c>
      <c r="H38" s="166"/>
      <c r="J38" s="182"/>
      <c r="K38" s="191"/>
      <c r="L38" s="191"/>
      <c r="M38" s="166"/>
    </row>
    <row r="39" spans="1:13" s="167" customFormat="1" ht="20.100000000000001" customHeight="1" x14ac:dyDescent="0.25">
      <c r="B39" s="167" t="s">
        <v>63</v>
      </c>
      <c r="D39" s="166">
        <v>38060.160000000003</v>
      </c>
      <c r="E39" s="166" t="s">
        <v>24</v>
      </c>
      <c r="F39" s="183" t="s">
        <v>64</v>
      </c>
      <c r="H39" s="166"/>
      <c r="J39" s="182"/>
      <c r="K39" s="191"/>
      <c r="L39" s="191"/>
      <c r="M39" s="166"/>
    </row>
    <row r="40" spans="1:13" s="167" customFormat="1" ht="20.100000000000001" customHeight="1" x14ac:dyDescent="0.25">
      <c r="B40" s="167" t="s">
        <v>296</v>
      </c>
      <c r="D40" s="166">
        <v>7237.83</v>
      </c>
      <c r="E40" s="166" t="s">
        <v>24</v>
      </c>
      <c r="F40" s="183" t="s">
        <v>297</v>
      </c>
      <c r="H40" s="166"/>
      <c r="J40" s="182"/>
      <c r="K40" s="191"/>
      <c r="L40" s="191"/>
      <c r="M40" s="166"/>
    </row>
    <row r="41" spans="1:13" s="167" customFormat="1" ht="20.100000000000001" customHeight="1" x14ac:dyDescent="0.25">
      <c r="B41" s="167" t="s">
        <v>298</v>
      </c>
      <c r="D41" s="166">
        <v>129739.64</v>
      </c>
      <c r="E41" s="166" t="s">
        <v>24</v>
      </c>
      <c r="F41" s="183" t="s">
        <v>299</v>
      </c>
      <c r="H41" s="166"/>
      <c r="J41" s="182"/>
      <c r="K41" s="191"/>
      <c r="L41" s="191"/>
      <c r="M41" s="166"/>
    </row>
    <row r="42" spans="1:13" s="179" customFormat="1" ht="20.100000000000001" customHeight="1" x14ac:dyDescent="0.25">
      <c r="B42" s="179" t="s">
        <v>31</v>
      </c>
      <c r="D42" s="206">
        <f>SUM(D33:D41)</f>
        <v>1890216.1899999995</v>
      </c>
      <c r="E42" s="180"/>
      <c r="F42" s="180"/>
      <c r="H42" s="180"/>
      <c r="I42" s="530">
        <f>K27-D42</f>
        <v>-1890216.1899999995</v>
      </c>
      <c r="K42" s="207"/>
      <c r="L42" s="208"/>
      <c r="M42" s="180"/>
    </row>
    <row r="43" spans="1:13" s="111" customFormat="1" ht="15" x14ac:dyDescent="0.25">
      <c r="K43" s="133"/>
      <c r="L43" s="133"/>
    </row>
    <row r="44" spans="1:13" s="167" customFormat="1" ht="20.100000000000001" customHeight="1" x14ac:dyDescent="0.25">
      <c r="B44" s="204" t="s">
        <v>32</v>
      </c>
      <c r="C44" s="209"/>
      <c r="D44" s="166"/>
      <c r="E44" s="166"/>
      <c r="F44" s="166"/>
      <c r="H44" s="166"/>
      <c r="K44" s="191"/>
      <c r="L44" s="192"/>
      <c r="M44" s="166"/>
    </row>
    <row r="45" spans="1:13" s="187" customFormat="1" ht="16.5" x14ac:dyDescent="0.3">
      <c r="A45" s="167"/>
      <c r="B45" s="167" t="s">
        <v>65</v>
      </c>
      <c r="D45" s="188">
        <v>275588.94</v>
      </c>
      <c r="E45" s="166" t="s">
        <v>24</v>
      </c>
      <c r="F45" s="166" t="s">
        <v>66</v>
      </c>
      <c r="K45" s="195"/>
      <c r="L45" s="195"/>
      <c r="M45" s="188"/>
    </row>
    <row r="46" spans="1:13" s="167" customFormat="1" ht="20.100000000000001" customHeight="1" thickBot="1" x14ac:dyDescent="0.3">
      <c r="D46" s="181">
        <f>SUM(D45:D45)</f>
        <v>275588.94</v>
      </c>
      <c r="E46" s="166"/>
      <c r="F46" s="166"/>
      <c r="G46" s="166"/>
      <c r="H46" s="166"/>
      <c r="K46" s="191"/>
      <c r="L46" s="192"/>
      <c r="M46" s="166"/>
    </row>
    <row r="47" spans="1:13" ht="24" customHeight="1" thickTop="1" x14ac:dyDescent="0.3"/>
  </sheetData>
  <printOptions horizontalCentered="1"/>
  <pageMargins left="0.3" right="0.3" top="0.7" bottom="0.7" header="0.3" footer="0.3"/>
  <pageSetup scale="75" fitToHeight="0" orientation="landscape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5"/>
  <sheetViews>
    <sheetView zoomScale="96" zoomScaleNormal="96" workbookViewId="0">
      <selection activeCell="C17" sqref="C17"/>
    </sheetView>
  </sheetViews>
  <sheetFormatPr defaultColWidth="13.85546875" defaultRowHeight="24.95" customHeight="1" x14ac:dyDescent="0.25"/>
  <cols>
    <col min="1" max="1" width="37.5703125" style="117" customWidth="1"/>
    <col min="2" max="2" width="36.28515625" style="112" customWidth="1"/>
    <col min="3" max="3" width="20.85546875" style="108" customWidth="1"/>
    <col min="4" max="6" width="20.85546875" style="112" customWidth="1"/>
    <col min="7" max="8" width="15" style="112" bestFit="1" customWidth="1"/>
    <col min="9" max="250" width="13.85546875" style="112"/>
    <col min="251" max="251" width="40.7109375" style="112" customWidth="1"/>
    <col min="252" max="252" width="42.85546875" style="112" customWidth="1"/>
    <col min="253" max="254" width="17.140625" style="112" customWidth="1"/>
    <col min="255" max="255" width="18.85546875" style="112" customWidth="1"/>
    <col min="256" max="256" width="18.42578125" style="112" customWidth="1"/>
    <col min="257" max="257" width="26.28515625" style="112" customWidth="1"/>
    <col min="258" max="258" width="24.85546875" style="112" bestFit="1" customWidth="1"/>
    <col min="259" max="259" width="18.5703125" style="112" bestFit="1" customWidth="1"/>
    <col min="260" max="261" width="20" style="112" customWidth="1"/>
    <col min="262" max="506" width="13.85546875" style="112"/>
    <col min="507" max="507" width="40.7109375" style="112" customWidth="1"/>
    <col min="508" max="508" width="42.85546875" style="112" customWidth="1"/>
    <col min="509" max="510" width="17.140625" style="112" customWidth="1"/>
    <col min="511" max="511" width="18.85546875" style="112" customWidth="1"/>
    <col min="512" max="512" width="18.42578125" style="112" customWidth="1"/>
    <col min="513" max="513" width="26.28515625" style="112" customWidth="1"/>
    <col min="514" max="514" width="24.85546875" style="112" bestFit="1" customWidth="1"/>
    <col min="515" max="515" width="18.5703125" style="112" bestFit="1" customWidth="1"/>
    <col min="516" max="517" width="20" style="112" customWidth="1"/>
    <col min="518" max="762" width="13.85546875" style="112"/>
    <col min="763" max="763" width="40.7109375" style="112" customWidth="1"/>
    <col min="764" max="764" width="42.85546875" style="112" customWidth="1"/>
    <col min="765" max="766" width="17.140625" style="112" customWidth="1"/>
    <col min="767" max="767" width="18.85546875" style="112" customWidth="1"/>
    <col min="768" max="768" width="18.42578125" style="112" customWidth="1"/>
    <col min="769" max="769" width="26.28515625" style="112" customWidth="1"/>
    <col min="770" max="770" width="24.85546875" style="112" bestFit="1" customWidth="1"/>
    <col min="771" max="771" width="18.5703125" style="112" bestFit="1" customWidth="1"/>
    <col min="772" max="773" width="20" style="112" customWidth="1"/>
    <col min="774" max="1018" width="13.85546875" style="112"/>
    <col min="1019" max="1019" width="40.7109375" style="112" customWidth="1"/>
    <col min="1020" max="1020" width="42.85546875" style="112" customWidth="1"/>
    <col min="1021" max="1022" width="17.140625" style="112" customWidth="1"/>
    <col min="1023" max="1023" width="18.85546875" style="112" customWidth="1"/>
    <col min="1024" max="1024" width="18.42578125" style="112" customWidth="1"/>
    <col min="1025" max="1025" width="26.28515625" style="112" customWidth="1"/>
    <col min="1026" max="1026" width="24.85546875" style="112" bestFit="1" customWidth="1"/>
    <col min="1027" max="1027" width="18.5703125" style="112" bestFit="1" customWidth="1"/>
    <col min="1028" max="1029" width="20" style="112" customWidth="1"/>
    <col min="1030" max="1274" width="13.85546875" style="112"/>
    <col min="1275" max="1275" width="40.7109375" style="112" customWidth="1"/>
    <col min="1276" max="1276" width="42.85546875" style="112" customWidth="1"/>
    <col min="1277" max="1278" width="17.140625" style="112" customWidth="1"/>
    <col min="1279" max="1279" width="18.85546875" style="112" customWidth="1"/>
    <col min="1280" max="1280" width="18.42578125" style="112" customWidth="1"/>
    <col min="1281" max="1281" width="26.28515625" style="112" customWidth="1"/>
    <col min="1282" max="1282" width="24.85546875" style="112" bestFit="1" customWidth="1"/>
    <col min="1283" max="1283" width="18.5703125" style="112" bestFit="1" customWidth="1"/>
    <col min="1284" max="1285" width="20" style="112" customWidth="1"/>
    <col min="1286" max="1530" width="13.85546875" style="112"/>
    <col min="1531" max="1531" width="40.7109375" style="112" customWidth="1"/>
    <col min="1532" max="1532" width="42.85546875" style="112" customWidth="1"/>
    <col min="1533" max="1534" width="17.140625" style="112" customWidth="1"/>
    <col min="1535" max="1535" width="18.85546875" style="112" customWidth="1"/>
    <col min="1536" max="1536" width="18.42578125" style="112" customWidth="1"/>
    <col min="1537" max="1537" width="26.28515625" style="112" customWidth="1"/>
    <col min="1538" max="1538" width="24.85546875" style="112" bestFit="1" customWidth="1"/>
    <col min="1539" max="1539" width="18.5703125" style="112" bestFit="1" customWidth="1"/>
    <col min="1540" max="1541" width="20" style="112" customWidth="1"/>
    <col min="1542" max="1786" width="13.85546875" style="112"/>
    <col min="1787" max="1787" width="40.7109375" style="112" customWidth="1"/>
    <col min="1788" max="1788" width="42.85546875" style="112" customWidth="1"/>
    <col min="1789" max="1790" width="17.140625" style="112" customWidth="1"/>
    <col min="1791" max="1791" width="18.85546875" style="112" customWidth="1"/>
    <col min="1792" max="1792" width="18.42578125" style="112" customWidth="1"/>
    <col min="1793" max="1793" width="26.28515625" style="112" customWidth="1"/>
    <col min="1794" max="1794" width="24.85546875" style="112" bestFit="1" customWidth="1"/>
    <col min="1795" max="1795" width="18.5703125" style="112" bestFit="1" customWidth="1"/>
    <col min="1796" max="1797" width="20" style="112" customWidth="1"/>
    <col min="1798" max="2042" width="13.85546875" style="112"/>
    <col min="2043" max="2043" width="40.7109375" style="112" customWidth="1"/>
    <col min="2044" max="2044" width="42.85546875" style="112" customWidth="1"/>
    <col min="2045" max="2046" width="17.140625" style="112" customWidth="1"/>
    <col min="2047" max="2047" width="18.85546875" style="112" customWidth="1"/>
    <col min="2048" max="2048" width="18.42578125" style="112" customWidth="1"/>
    <col min="2049" max="2049" width="26.28515625" style="112" customWidth="1"/>
    <col min="2050" max="2050" width="24.85546875" style="112" bestFit="1" customWidth="1"/>
    <col min="2051" max="2051" width="18.5703125" style="112" bestFit="1" customWidth="1"/>
    <col min="2052" max="2053" width="20" style="112" customWidth="1"/>
    <col min="2054" max="2298" width="13.85546875" style="112"/>
    <col min="2299" max="2299" width="40.7109375" style="112" customWidth="1"/>
    <col min="2300" max="2300" width="42.85546875" style="112" customWidth="1"/>
    <col min="2301" max="2302" width="17.140625" style="112" customWidth="1"/>
    <col min="2303" max="2303" width="18.85546875" style="112" customWidth="1"/>
    <col min="2304" max="2304" width="18.42578125" style="112" customWidth="1"/>
    <col min="2305" max="2305" width="26.28515625" style="112" customWidth="1"/>
    <col min="2306" max="2306" width="24.85546875" style="112" bestFit="1" customWidth="1"/>
    <col min="2307" max="2307" width="18.5703125" style="112" bestFit="1" customWidth="1"/>
    <col min="2308" max="2309" width="20" style="112" customWidth="1"/>
    <col min="2310" max="2554" width="13.85546875" style="112"/>
    <col min="2555" max="2555" width="40.7109375" style="112" customWidth="1"/>
    <col min="2556" max="2556" width="42.85546875" style="112" customWidth="1"/>
    <col min="2557" max="2558" width="17.140625" style="112" customWidth="1"/>
    <col min="2559" max="2559" width="18.85546875" style="112" customWidth="1"/>
    <col min="2560" max="2560" width="18.42578125" style="112" customWidth="1"/>
    <col min="2561" max="2561" width="26.28515625" style="112" customWidth="1"/>
    <col min="2562" max="2562" width="24.85546875" style="112" bestFit="1" customWidth="1"/>
    <col min="2563" max="2563" width="18.5703125" style="112" bestFit="1" customWidth="1"/>
    <col min="2564" max="2565" width="20" style="112" customWidth="1"/>
    <col min="2566" max="2810" width="13.85546875" style="112"/>
    <col min="2811" max="2811" width="40.7109375" style="112" customWidth="1"/>
    <col min="2812" max="2812" width="42.85546875" style="112" customWidth="1"/>
    <col min="2813" max="2814" width="17.140625" style="112" customWidth="1"/>
    <col min="2815" max="2815" width="18.85546875" style="112" customWidth="1"/>
    <col min="2816" max="2816" width="18.42578125" style="112" customWidth="1"/>
    <col min="2817" max="2817" width="26.28515625" style="112" customWidth="1"/>
    <col min="2818" max="2818" width="24.85546875" style="112" bestFit="1" customWidth="1"/>
    <col min="2819" max="2819" width="18.5703125" style="112" bestFit="1" customWidth="1"/>
    <col min="2820" max="2821" width="20" style="112" customWidth="1"/>
    <col min="2822" max="3066" width="13.85546875" style="112"/>
    <col min="3067" max="3067" width="40.7109375" style="112" customWidth="1"/>
    <col min="3068" max="3068" width="42.85546875" style="112" customWidth="1"/>
    <col min="3069" max="3070" width="17.140625" style="112" customWidth="1"/>
    <col min="3071" max="3071" width="18.85546875" style="112" customWidth="1"/>
    <col min="3072" max="3072" width="18.42578125" style="112" customWidth="1"/>
    <col min="3073" max="3073" width="26.28515625" style="112" customWidth="1"/>
    <col min="3074" max="3074" width="24.85546875" style="112" bestFit="1" customWidth="1"/>
    <col min="3075" max="3075" width="18.5703125" style="112" bestFit="1" customWidth="1"/>
    <col min="3076" max="3077" width="20" style="112" customWidth="1"/>
    <col min="3078" max="3322" width="13.85546875" style="112"/>
    <col min="3323" max="3323" width="40.7109375" style="112" customWidth="1"/>
    <col min="3324" max="3324" width="42.85546875" style="112" customWidth="1"/>
    <col min="3325" max="3326" width="17.140625" style="112" customWidth="1"/>
    <col min="3327" max="3327" width="18.85546875" style="112" customWidth="1"/>
    <col min="3328" max="3328" width="18.42578125" style="112" customWidth="1"/>
    <col min="3329" max="3329" width="26.28515625" style="112" customWidth="1"/>
    <col min="3330" max="3330" width="24.85546875" style="112" bestFit="1" customWidth="1"/>
    <col min="3331" max="3331" width="18.5703125" style="112" bestFit="1" customWidth="1"/>
    <col min="3332" max="3333" width="20" style="112" customWidth="1"/>
    <col min="3334" max="3578" width="13.85546875" style="112"/>
    <col min="3579" max="3579" width="40.7109375" style="112" customWidth="1"/>
    <col min="3580" max="3580" width="42.85546875" style="112" customWidth="1"/>
    <col min="3581" max="3582" width="17.140625" style="112" customWidth="1"/>
    <col min="3583" max="3583" width="18.85546875" style="112" customWidth="1"/>
    <col min="3584" max="3584" width="18.42578125" style="112" customWidth="1"/>
    <col min="3585" max="3585" width="26.28515625" style="112" customWidth="1"/>
    <col min="3586" max="3586" width="24.85546875" style="112" bestFit="1" customWidth="1"/>
    <col min="3587" max="3587" width="18.5703125" style="112" bestFit="1" customWidth="1"/>
    <col min="3588" max="3589" width="20" style="112" customWidth="1"/>
    <col min="3590" max="3834" width="13.85546875" style="112"/>
    <col min="3835" max="3835" width="40.7109375" style="112" customWidth="1"/>
    <col min="3836" max="3836" width="42.85546875" style="112" customWidth="1"/>
    <col min="3837" max="3838" width="17.140625" style="112" customWidth="1"/>
    <col min="3839" max="3839" width="18.85546875" style="112" customWidth="1"/>
    <col min="3840" max="3840" width="18.42578125" style="112" customWidth="1"/>
    <col min="3841" max="3841" width="26.28515625" style="112" customWidth="1"/>
    <col min="3842" max="3842" width="24.85546875" style="112" bestFit="1" customWidth="1"/>
    <col min="3843" max="3843" width="18.5703125" style="112" bestFit="1" customWidth="1"/>
    <col min="3844" max="3845" width="20" style="112" customWidth="1"/>
    <col min="3846" max="4090" width="13.85546875" style="112"/>
    <col min="4091" max="4091" width="40.7109375" style="112" customWidth="1"/>
    <col min="4092" max="4092" width="42.85546875" style="112" customWidth="1"/>
    <col min="4093" max="4094" width="17.140625" style="112" customWidth="1"/>
    <col min="4095" max="4095" width="18.85546875" style="112" customWidth="1"/>
    <col min="4096" max="4096" width="18.42578125" style="112" customWidth="1"/>
    <col min="4097" max="4097" width="26.28515625" style="112" customWidth="1"/>
    <col min="4098" max="4098" width="24.85546875" style="112" bestFit="1" customWidth="1"/>
    <col min="4099" max="4099" width="18.5703125" style="112" bestFit="1" customWidth="1"/>
    <col min="4100" max="4101" width="20" style="112" customWidth="1"/>
    <col min="4102" max="4346" width="13.85546875" style="112"/>
    <col min="4347" max="4347" width="40.7109375" style="112" customWidth="1"/>
    <col min="4348" max="4348" width="42.85546875" style="112" customWidth="1"/>
    <col min="4349" max="4350" width="17.140625" style="112" customWidth="1"/>
    <col min="4351" max="4351" width="18.85546875" style="112" customWidth="1"/>
    <col min="4352" max="4352" width="18.42578125" style="112" customWidth="1"/>
    <col min="4353" max="4353" width="26.28515625" style="112" customWidth="1"/>
    <col min="4354" max="4354" width="24.85546875" style="112" bestFit="1" customWidth="1"/>
    <col min="4355" max="4355" width="18.5703125" style="112" bestFit="1" customWidth="1"/>
    <col min="4356" max="4357" width="20" style="112" customWidth="1"/>
    <col min="4358" max="4602" width="13.85546875" style="112"/>
    <col min="4603" max="4603" width="40.7109375" style="112" customWidth="1"/>
    <col min="4604" max="4604" width="42.85546875" style="112" customWidth="1"/>
    <col min="4605" max="4606" width="17.140625" style="112" customWidth="1"/>
    <col min="4607" max="4607" width="18.85546875" style="112" customWidth="1"/>
    <col min="4608" max="4608" width="18.42578125" style="112" customWidth="1"/>
    <col min="4609" max="4609" width="26.28515625" style="112" customWidth="1"/>
    <col min="4610" max="4610" width="24.85546875" style="112" bestFit="1" customWidth="1"/>
    <col min="4611" max="4611" width="18.5703125" style="112" bestFit="1" customWidth="1"/>
    <col min="4612" max="4613" width="20" style="112" customWidth="1"/>
    <col min="4614" max="4858" width="13.85546875" style="112"/>
    <col min="4859" max="4859" width="40.7109375" style="112" customWidth="1"/>
    <col min="4860" max="4860" width="42.85546875" style="112" customWidth="1"/>
    <col min="4861" max="4862" width="17.140625" style="112" customWidth="1"/>
    <col min="4863" max="4863" width="18.85546875" style="112" customWidth="1"/>
    <col min="4864" max="4864" width="18.42578125" style="112" customWidth="1"/>
    <col min="4865" max="4865" width="26.28515625" style="112" customWidth="1"/>
    <col min="4866" max="4866" width="24.85546875" style="112" bestFit="1" customWidth="1"/>
    <col min="4867" max="4867" width="18.5703125" style="112" bestFit="1" customWidth="1"/>
    <col min="4868" max="4869" width="20" style="112" customWidth="1"/>
    <col min="4870" max="5114" width="13.85546875" style="112"/>
    <col min="5115" max="5115" width="40.7109375" style="112" customWidth="1"/>
    <col min="5116" max="5116" width="42.85546875" style="112" customWidth="1"/>
    <col min="5117" max="5118" width="17.140625" style="112" customWidth="1"/>
    <col min="5119" max="5119" width="18.85546875" style="112" customWidth="1"/>
    <col min="5120" max="5120" width="18.42578125" style="112" customWidth="1"/>
    <col min="5121" max="5121" width="26.28515625" style="112" customWidth="1"/>
    <col min="5122" max="5122" width="24.85546875" style="112" bestFit="1" customWidth="1"/>
    <col min="5123" max="5123" width="18.5703125" style="112" bestFit="1" customWidth="1"/>
    <col min="5124" max="5125" width="20" style="112" customWidth="1"/>
    <col min="5126" max="5370" width="13.85546875" style="112"/>
    <col min="5371" max="5371" width="40.7109375" style="112" customWidth="1"/>
    <col min="5372" max="5372" width="42.85546875" style="112" customWidth="1"/>
    <col min="5373" max="5374" width="17.140625" style="112" customWidth="1"/>
    <col min="5375" max="5375" width="18.85546875" style="112" customWidth="1"/>
    <col min="5376" max="5376" width="18.42578125" style="112" customWidth="1"/>
    <col min="5377" max="5377" width="26.28515625" style="112" customWidth="1"/>
    <col min="5378" max="5378" width="24.85546875" style="112" bestFit="1" customWidth="1"/>
    <col min="5379" max="5379" width="18.5703125" style="112" bestFit="1" customWidth="1"/>
    <col min="5380" max="5381" width="20" style="112" customWidth="1"/>
    <col min="5382" max="5626" width="13.85546875" style="112"/>
    <col min="5627" max="5627" width="40.7109375" style="112" customWidth="1"/>
    <col min="5628" max="5628" width="42.85546875" style="112" customWidth="1"/>
    <col min="5629" max="5630" width="17.140625" style="112" customWidth="1"/>
    <col min="5631" max="5631" width="18.85546875" style="112" customWidth="1"/>
    <col min="5632" max="5632" width="18.42578125" style="112" customWidth="1"/>
    <col min="5633" max="5633" width="26.28515625" style="112" customWidth="1"/>
    <col min="5634" max="5634" width="24.85546875" style="112" bestFit="1" customWidth="1"/>
    <col min="5635" max="5635" width="18.5703125" style="112" bestFit="1" customWidth="1"/>
    <col min="5636" max="5637" width="20" style="112" customWidth="1"/>
    <col min="5638" max="5882" width="13.85546875" style="112"/>
    <col min="5883" max="5883" width="40.7109375" style="112" customWidth="1"/>
    <col min="5884" max="5884" width="42.85546875" style="112" customWidth="1"/>
    <col min="5885" max="5886" width="17.140625" style="112" customWidth="1"/>
    <col min="5887" max="5887" width="18.85546875" style="112" customWidth="1"/>
    <col min="5888" max="5888" width="18.42578125" style="112" customWidth="1"/>
    <col min="5889" max="5889" width="26.28515625" style="112" customWidth="1"/>
    <col min="5890" max="5890" width="24.85546875" style="112" bestFit="1" customWidth="1"/>
    <col min="5891" max="5891" width="18.5703125" style="112" bestFit="1" customWidth="1"/>
    <col min="5892" max="5893" width="20" style="112" customWidth="1"/>
    <col min="5894" max="6138" width="13.85546875" style="112"/>
    <col min="6139" max="6139" width="40.7109375" style="112" customWidth="1"/>
    <col min="6140" max="6140" width="42.85546875" style="112" customWidth="1"/>
    <col min="6141" max="6142" width="17.140625" style="112" customWidth="1"/>
    <col min="6143" max="6143" width="18.85546875" style="112" customWidth="1"/>
    <col min="6144" max="6144" width="18.42578125" style="112" customWidth="1"/>
    <col min="6145" max="6145" width="26.28515625" style="112" customWidth="1"/>
    <col min="6146" max="6146" width="24.85546875" style="112" bestFit="1" customWidth="1"/>
    <col min="6147" max="6147" width="18.5703125" style="112" bestFit="1" customWidth="1"/>
    <col min="6148" max="6149" width="20" style="112" customWidth="1"/>
    <col min="6150" max="6394" width="13.85546875" style="112"/>
    <col min="6395" max="6395" width="40.7109375" style="112" customWidth="1"/>
    <col min="6396" max="6396" width="42.85546875" style="112" customWidth="1"/>
    <col min="6397" max="6398" width="17.140625" style="112" customWidth="1"/>
    <col min="6399" max="6399" width="18.85546875" style="112" customWidth="1"/>
    <col min="6400" max="6400" width="18.42578125" style="112" customWidth="1"/>
    <col min="6401" max="6401" width="26.28515625" style="112" customWidth="1"/>
    <col min="6402" max="6402" width="24.85546875" style="112" bestFit="1" customWidth="1"/>
    <col min="6403" max="6403" width="18.5703125" style="112" bestFit="1" customWidth="1"/>
    <col min="6404" max="6405" width="20" style="112" customWidth="1"/>
    <col min="6406" max="6650" width="13.85546875" style="112"/>
    <col min="6651" max="6651" width="40.7109375" style="112" customWidth="1"/>
    <col min="6652" max="6652" width="42.85546875" style="112" customWidth="1"/>
    <col min="6653" max="6654" width="17.140625" style="112" customWidth="1"/>
    <col min="6655" max="6655" width="18.85546875" style="112" customWidth="1"/>
    <col min="6656" max="6656" width="18.42578125" style="112" customWidth="1"/>
    <col min="6657" max="6657" width="26.28515625" style="112" customWidth="1"/>
    <col min="6658" max="6658" width="24.85546875" style="112" bestFit="1" customWidth="1"/>
    <col min="6659" max="6659" width="18.5703125" style="112" bestFit="1" customWidth="1"/>
    <col min="6660" max="6661" width="20" style="112" customWidth="1"/>
    <col min="6662" max="6906" width="13.85546875" style="112"/>
    <col min="6907" max="6907" width="40.7109375" style="112" customWidth="1"/>
    <col min="6908" max="6908" width="42.85546875" style="112" customWidth="1"/>
    <col min="6909" max="6910" width="17.140625" style="112" customWidth="1"/>
    <col min="6911" max="6911" width="18.85546875" style="112" customWidth="1"/>
    <col min="6912" max="6912" width="18.42578125" style="112" customWidth="1"/>
    <col min="6913" max="6913" width="26.28515625" style="112" customWidth="1"/>
    <col min="6914" max="6914" width="24.85546875" style="112" bestFit="1" customWidth="1"/>
    <col min="6915" max="6915" width="18.5703125" style="112" bestFit="1" customWidth="1"/>
    <col min="6916" max="6917" width="20" style="112" customWidth="1"/>
    <col min="6918" max="7162" width="13.85546875" style="112"/>
    <col min="7163" max="7163" width="40.7109375" style="112" customWidth="1"/>
    <col min="7164" max="7164" width="42.85546875" style="112" customWidth="1"/>
    <col min="7165" max="7166" width="17.140625" style="112" customWidth="1"/>
    <col min="7167" max="7167" width="18.85546875" style="112" customWidth="1"/>
    <col min="7168" max="7168" width="18.42578125" style="112" customWidth="1"/>
    <col min="7169" max="7169" width="26.28515625" style="112" customWidth="1"/>
    <col min="7170" max="7170" width="24.85546875" style="112" bestFit="1" customWidth="1"/>
    <col min="7171" max="7171" width="18.5703125" style="112" bestFit="1" customWidth="1"/>
    <col min="7172" max="7173" width="20" style="112" customWidth="1"/>
    <col min="7174" max="7418" width="13.85546875" style="112"/>
    <col min="7419" max="7419" width="40.7109375" style="112" customWidth="1"/>
    <col min="7420" max="7420" width="42.85546875" style="112" customWidth="1"/>
    <col min="7421" max="7422" width="17.140625" style="112" customWidth="1"/>
    <col min="7423" max="7423" width="18.85546875" style="112" customWidth="1"/>
    <col min="7424" max="7424" width="18.42578125" style="112" customWidth="1"/>
    <col min="7425" max="7425" width="26.28515625" style="112" customWidth="1"/>
    <col min="7426" max="7426" width="24.85546875" style="112" bestFit="1" customWidth="1"/>
    <col min="7427" max="7427" width="18.5703125" style="112" bestFit="1" customWidth="1"/>
    <col min="7428" max="7429" width="20" style="112" customWidth="1"/>
    <col min="7430" max="7674" width="13.85546875" style="112"/>
    <col min="7675" max="7675" width="40.7109375" style="112" customWidth="1"/>
    <col min="7676" max="7676" width="42.85546875" style="112" customWidth="1"/>
    <col min="7677" max="7678" width="17.140625" style="112" customWidth="1"/>
    <col min="7679" max="7679" width="18.85546875" style="112" customWidth="1"/>
    <col min="7680" max="7680" width="18.42578125" style="112" customWidth="1"/>
    <col min="7681" max="7681" width="26.28515625" style="112" customWidth="1"/>
    <col min="7682" max="7682" width="24.85546875" style="112" bestFit="1" customWidth="1"/>
    <col min="7683" max="7683" width="18.5703125" style="112" bestFit="1" customWidth="1"/>
    <col min="7684" max="7685" width="20" style="112" customWidth="1"/>
    <col min="7686" max="7930" width="13.85546875" style="112"/>
    <col min="7931" max="7931" width="40.7109375" style="112" customWidth="1"/>
    <col min="7932" max="7932" width="42.85546875" style="112" customWidth="1"/>
    <col min="7933" max="7934" width="17.140625" style="112" customWidth="1"/>
    <col min="7935" max="7935" width="18.85546875" style="112" customWidth="1"/>
    <col min="7936" max="7936" width="18.42578125" style="112" customWidth="1"/>
    <col min="7937" max="7937" width="26.28515625" style="112" customWidth="1"/>
    <col min="7938" max="7938" width="24.85546875" style="112" bestFit="1" customWidth="1"/>
    <col min="7939" max="7939" width="18.5703125" style="112" bestFit="1" customWidth="1"/>
    <col min="7940" max="7941" width="20" style="112" customWidth="1"/>
    <col min="7942" max="8186" width="13.85546875" style="112"/>
    <col min="8187" max="8187" width="40.7109375" style="112" customWidth="1"/>
    <col min="8188" max="8188" width="42.85546875" style="112" customWidth="1"/>
    <col min="8189" max="8190" width="17.140625" style="112" customWidth="1"/>
    <col min="8191" max="8191" width="18.85546875" style="112" customWidth="1"/>
    <col min="8192" max="8192" width="18.42578125" style="112" customWidth="1"/>
    <col min="8193" max="8193" width="26.28515625" style="112" customWidth="1"/>
    <col min="8194" max="8194" width="24.85546875" style="112" bestFit="1" customWidth="1"/>
    <col min="8195" max="8195" width="18.5703125" style="112" bestFit="1" customWidth="1"/>
    <col min="8196" max="8197" width="20" style="112" customWidth="1"/>
    <col min="8198" max="8442" width="13.85546875" style="112"/>
    <col min="8443" max="8443" width="40.7109375" style="112" customWidth="1"/>
    <col min="8444" max="8444" width="42.85546875" style="112" customWidth="1"/>
    <col min="8445" max="8446" width="17.140625" style="112" customWidth="1"/>
    <col min="8447" max="8447" width="18.85546875" style="112" customWidth="1"/>
    <col min="8448" max="8448" width="18.42578125" style="112" customWidth="1"/>
    <col min="8449" max="8449" width="26.28515625" style="112" customWidth="1"/>
    <col min="8450" max="8450" width="24.85546875" style="112" bestFit="1" customWidth="1"/>
    <col min="8451" max="8451" width="18.5703125" style="112" bestFit="1" customWidth="1"/>
    <col min="8452" max="8453" width="20" style="112" customWidth="1"/>
    <col min="8454" max="8698" width="13.85546875" style="112"/>
    <col min="8699" max="8699" width="40.7109375" style="112" customWidth="1"/>
    <col min="8700" max="8700" width="42.85546875" style="112" customWidth="1"/>
    <col min="8701" max="8702" width="17.140625" style="112" customWidth="1"/>
    <col min="8703" max="8703" width="18.85546875" style="112" customWidth="1"/>
    <col min="8704" max="8704" width="18.42578125" style="112" customWidth="1"/>
    <col min="8705" max="8705" width="26.28515625" style="112" customWidth="1"/>
    <col min="8706" max="8706" width="24.85546875" style="112" bestFit="1" customWidth="1"/>
    <col min="8707" max="8707" width="18.5703125" style="112" bestFit="1" customWidth="1"/>
    <col min="8708" max="8709" width="20" style="112" customWidth="1"/>
    <col min="8710" max="8954" width="13.85546875" style="112"/>
    <col min="8955" max="8955" width="40.7109375" style="112" customWidth="1"/>
    <col min="8956" max="8956" width="42.85546875" style="112" customWidth="1"/>
    <col min="8957" max="8958" width="17.140625" style="112" customWidth="1"/>
    <col min="8959" max="8959" width="18.85546875" style="112" customWidth="1"/>
    <col min="8960" max="8960" width="18.42578125" style="112" customWidth="1"/>
    <col min="8961" max="8961" width="26.28515625" style="112" customWidth="1"/>
    <col min="8962" max="8962" width="24.85546875" style="112" bestFit="1" customWidth="1"/>
    <col min="8963" max="8963" width="18.5703125" style="112" bestFit="1" customWidth="1"/>
    <col min="8964" max="8965" width="20" style="112" customWidth="1"/>
    <col min="8966" max="9210" width="13.85546875" style="112"/>
    <col min="9211" max="9211" width="40.7109375" style="112" customWidth="1"/>
    <col min="9212" max="9212" width="42.85546875" style="112" customWidth="1"/>
    <col min="9213" max="9214" width="17.140625" style="112" customWidth="1"/>
    <col min="9215" max="9215" width="18.85546875" style="112" customWidth="1"/>
    <col min="9216" max="9216" width="18.42578125" style="112" customWidth="1"/>
    <col min="9217" max="9217" width="26.28515625" style="112" customWidth="1"/>
    <col min="9218" max="9218" width="24.85546875" style="112" bestFit="1" customWidth="1"/>
    <col min="9219" max="9219" width="18.5703125" style="112" bestFit="1" customWidth="1"/>
    <col min="9220" max="9221" width="20" style="112" customWidth="1"/>
    <col min="9222" max="9466" width="13.85546875" style="112"/>
    <col min="9467" max="9467" width="40.7109375" style="112" customWidth="1"/>
    <col min="9468" max="9468" width="42.85546875" style="112" customWidth="1"/>
    <col min="9469" max="9470" width="17.140625" style="112" customWidth="1"/>
    <col min="9471" max="9471" width="18.85546875" style="112" customWidth="1"/>
    <col min="9472" max="9472" width="18.42578125" style="112" customWidth="1"/>
    <col min="9473" max="9473" width="26.28515625" style="112" customWidth="1"/>
    <col min="9474" max="9474" width="24.85546875" style="112" bestFit="1" customWidth="1"/>
    <col min="9475" max="9475" width="18.5703125" style="112" bestFit="1" customWidth="1"/>
    <col min="9476" max="9477" width="20" style="112" customWidth="1"/>
    <col min="9478" max="9722" width="13.85546875" style="112"/>
    <col min="9723" max="9723" width="40.7109375" style="112" customWidth="1"/>
    <col min="9724" max="9724" width="42.85546875" style="112" customWidth="1"/>
    <col min="9725" max="9726" width="17.140625" style="112" customWidth="1"/>
    <col min="9727" max="9727" width="18.85546875" style="112" customWidth="1"/>
    <col min="9728" max="9728" width="18.42578125" style="112" customWidth="1"/>
    <col min="9729" max="9729" width="26.28515625" style="112" customWidth="1"/>
    <col min="9730" max="9730" width="24.85546875" style="112" bestFit="1" customWidth="1"/>
    <col min="9731" max="9731" width="18.5703125" style="112" bestFit="1" customWidth="1"/>
    <col min="9732" max="9733" width="20" style="112" customWidth="1"/>
    <col min="9734" max="9978" width="13.85546875" style="112"/>
    <col min="9979" max="9979" width="40.7109375" style="112" customWidth="1"/>
    <col min="9980" max="9980" width="42.85546875" style="112" customWidth="1"/>
    <col min="9981" max="9982" width="17.140625" style="112" customWidth="1"/>
    <col min="9983" max="9983" width="18.85546875" style="112" customWidth="1"/>
    <col min="9984" max="9984" width="18.42578125" style="112" customWidth="1"/>
    <col min="9985" max="9985" width="26.28515625" style="112" customWidth="1"/>
    <col min="9986" max="9986" width="24.85546875" style="112" bestFit="1" customWidth="1"/>
    <col min="9987" max="9987" width="18.5703125" style="112" bestFit="1" customWidth="1"/>
    <col min="9988" max="9989" width="20" style="112" customWidth="1"/>
    <col min="9990" max="10234" width="13.85546875" style="112"/>
    <col min="10235" max="10235" width="40.7109375" style="112" customWidth="1"/>
    <col min="10236" max="10236" width="42.85546875" style="112" customWidth="1"/>
    <col min="10237" max="10238" width="17.140625" style="112" customWidth="1"/>
    <col min="10239" max="10239" width="18.85546875" style="112" customWidth="1"/>
    <col min="10240" max="10240" width="18.42578125" style="112" customWidth="1"/>
    <col min="10241" max="10241" width="26.28515625" style="112" customWidth="1"/>
    <col min="10242" max="10242" width="24.85546875" style="112" bestFit="1" customWidth="1"/>
    <col min="10243" max="10243" width="18.5703125" style="112" bestFit="1" customWidth="1"/>
    <col min="10244" max="10245" width="20" style="112" customWidth="1"/>
    <col min="10246" max="10490" width="13.85546875" style="112"/>
    <col min="10491" max="10491" width="40.7109375" style="112" customWidth="1"/>
    <col min="10492" max="10492" width="42.85546875" style="112" customWidth="1"/>
    <col min="10493" max="10494" width="17.140625" style="112" customWidth="1"/>
    <col min="10495" max="10495" width="18.85546875" style="112" customWidth="1"/>
    <col min="10496" max="10496" width="18.42578125" style="112" customWidth="1"/>
    <col min="10497" max="10497" width="26.28515625" style="112" customWidth="1"/>
    <col min="10498" max="10498" width="24.85546875" style="112" bestFit="1" customWidth="1"/>
    <col min="10499" max="10499" width="18.5703125" style="112" bestFit="1" customWidth="1"/>
    <col min="10500" max="10501" width="20" style="112" customWidth="1"/>
    <col min="10502" max="10746" width="13.85546875" style="112"/>
    <col min="10747" max="10747" width="40.7109375" style="112" customWidth="1"/>
    <col min="10748" max="10748" width="42.85546875" style="112" customWidth="1"/>
    <col min="10749" max="10750" width="17.140625" style="112" customWidth="1"/>
    <col min="10751" max="10751" width="18.85546875" style="112" customWidth="1"/>
    <col min="10752" max="10752" width="18.42578125" style="112" customWidth="1"/>
    <col min="10753" max="10753" width="26.28515625" style="112" customWidth="1"/>
    <col min="10754" max="10754" width="24.85546875" style="112" bestFit="1" customWidth="1"/>
    <col min="10755" max="10755" width="18.5703125" style="112" bestFit="1" customWidth="1"/>
    <col min="10756" max="10757" width="20" style="112" customWidth="1"/>
    <col min="10758" max="11002" width="13.85546875" style="112"/>
    <col min="11003" max="11003" width="40.7109375" style="112" customWidth="1"/>
    <col min="11004" max="11004" width="42.85546875" style="112" customWidth="1"/>
    <col min="11005" max="11006" width="17.140625" style="112" customWidth="1"/>
    <col min="11007" max="11007" width="18.85546875" style="112" customWidth="1"/>
    <col min="11008" max="11008" width="18.42578125" style="112" customWidth="1"/>
    <col min="11009" max="11009" width="26.28515625" style="112" customWidth="1"/>
    <col min="11010" max="11010" width="24.85546875" style="112" bestFit="1" customWidth="1"/>
    <col min="11011" max="11011" width="18.5703125" style="112" bestFit="1" customWidth="1"/>
    <col min="11012" max="11013" width="20" style="112" customWidth="1"/>
    <col min="11014" max="11258" width="13.85546875" style="112"/>
    <col min="11259" max="11259" width="40.7109375" style="112" customWidth="1"/>
    <col min="11260" max="11260" width="42.85546875" style="112" customWidth="1"/>
    <col min="11261" max="11262" width="17.140625" style="112" customWidth="1"/>
    <col min="11263" max="11263" width="18.85546875" style="112" customWidth="1"/>
    <col min="11264" max="11264" width="18.42578125" style="112" customWidth="1"/>
    <col min="11265" max="11265" width="26.28515625" style="112" customWidth="1"/>
    <col min="11266" max="11266" width="24.85546875" style="112" bestFit="1" customWidth="1"/>
    <col min="11267" max="11267" width="18.5703125" style="112" bestFit="1" customWidth="1"/>
    <col min="11268" max="11269" width="20" style="112" customWidth="1"/>
    <col min="11270" max="11514" width="13.85546875" style="112"/>
    <col min="11515" max="11515" width="40.7109375" style="112" customWidth="1"/>
    <col min="11516" max="11516" width="42.85546875" style="112" customWidth="1"/>
    <col min="11517" max="11518" width="17.140625" style="112" customWidth="1"/>
    <col min="11519" max="11519" width="18.85546875" style="112" customWidth="1"/>
    <col min="11520" max="11520" width="18.42578125" style="112" customWidth="1"/>
    <col min="11521" max="11521" width="26.28515625" style="112" customWidth="1"/>
    <col min="11522" max="11522" width="24.85546875" style="112" bestFit="1" customWidth="1"/>
    <col min="11523" max="11523" width="18.5703125" style="112" bestFit="1" customWidth="1"/>
    <col min="11524" max="11525" width="20" style="112" customWidth="1"/>
    <col min="11526" max="11770" width="13.85546875" style="112"/>
    <col min="11771" max="11771" width="40.7109375" style="112" customWidth="1"/>
    <col min="11772" max="11772" width="42.85546875" style="112" customWidth="1"/>
    <col min="11773" max="11774" width="17.140625" style="112" customWidth="1"/>
    <col min="11775" max="11775" width="18.85546875" style="112" customWidth="1"/>
    <col min="11776" max="11776" width="18.42578125" style="112" customWidth="1"/>
    <col min="11777" max="11777" width="26.28515625" style="112" customWidth="1"/>
    <col min="11778" max="11778" width="24.85546875" style="112" bestFit="1" customWidth="1"/>
    <col min="11779" max="11779" width="18.5703125" style="112" bestFit="1" customWidth="1"/>
    <col min="11780" max="11781" width="20" style="112" customWidth="1"/>
    <col min="11782" max="12026" width="13.85546875" style="112"/>
    <col min="12027" max="12027" width="40.7109375" style="112" customWidth="1"/>
    <col min="12028" max="12028" width="42.85546875" style="112" customWidth="1"/>
    <col min="12029" max="12030" width="17.140625" style="112" customWidth="1"/>
    <col min="12031" max="12031" width="18.85546875" style="112" customWidth="1"/>
    <col min="12032" max="12032" width="18.42578125" style="112" customWidth="1"/>
    <col min="12033" max="12033" width="26.28515625" style="112" customWidth="1"/>
    <col min="12034" max="12034" width="24.85546875" style="112" bestFit="1" customWidth="1"/>
    <col min="12035" max="12035" width="18.5703125" style="112" bestFit="1" customWidth="1"/>
    <col min="12036" max="12037" width="20" style="112" customWidth="1"/>
    <col min="12038" max="12282" width="13.85546875" style="112"/>
    <col min="12283" max="12283" width="40.7109375" style="112" customWidth="1"/>
    <col min="12284" max="12284" width="42.85546875" style="112" customWidth="1"/>
    <col min="12285" max="12286" width="17.140625" style="112" customWidth="1"/>
    <col min="12287" max="12287" width="18.85546875" style="112" customWidth="1"/>
    <col min="12288" max="12288" width="18.42578125" style="112" customWidth="1"/>
    <col min="12289" max="12289" width="26.28515625" style="112" customWidth="1"/>
    <col min="12290" max="12290" width="24.85546875" style="112" bestFit="1" customWidth="1"/>
    <col min="12291" max="12291" width="18.5703125" style="112" bestFit="1" customWidth="1"/>
    <col min="12292" max="12293" width="20" style="112" customWidth="1"/>
    <col min="12294" max="12538" width="13.85546875" style="112"/>
    <col min="12539" max="12539" width="40.7109375" style="112" customWidth="1"/>
    <col min="12540" max="12540" width="42.85546875" style="112" customWidth="1"/>
    <col min="12541" max="12542" width="17.140625" style="112" customWidth="1"/>
    <col min="12543" max="12543" width="18.85546875" style="112" customWidth="1"/>
    <col min="12544" max="12544" width="18.42578125" style="112" customWidth="1"/>
    <col min="12545" max="12545" width="26.28515625" style="112" customWidth="1"/>
    <col min="12546" max="12546" width="24.85546875" style="112" bestFit="1" customWidth="1"/>
    <col min="12547" max="12547" width="18.5703125" style="112" bestFit="1" customWidth="1"/>
    <col min="12548" max="12549" width="20" style="112" customWidth="1"/>
    <col min="12550" max="12794" width="13.85546875" style="112"/>
    <col min="12795" max="12795" width="40.7109375" style="112" customWidth="1"/>
    <col min="12796" max="12796" width="42.85546875" style="112" customWidth="1"/>
    <col min="12797" max="12798" width="17.140625" style="112" customWidth="1"/>
    <col min="12799" max="12799" width="18.85546875" style="112" customWidth="1"/>
    <col min="12800" max="12800" width="18.42578125" style="112" customWidth="1"/>
    <col min="12801" max="12801" width="26.28515625" style="112" customWidth="1"/>
    <col min="12802" max="12802" width="24.85546875" style="112" bestFit="1" customWidth="1"/>
    <col min="12803" max="12803" width="18.5703125" style="112" bestFit="1" customWidth="1"/>
    <col min="12804" max="12805" width="20" style="112" customWidth="1"/>
    <col min="12806" max="13050" width="13.85546875" style="112"/>
    <col min="13051" max="13051" width="40.7109375" style="112" customWidth="1"/>
    <col min="13052" max="13052" width="42.85546875" style="112" customWidth="1"/>
    <col min="13053" max="13054" width="17.140625" style="112" customWidth="1"/>
    <col min="13055" max="13055" width="18.85546875" style="112" customWidth="1"/>
    <col min="13056" max="13056" width="18.42578125" style="112" customWidth="1"/>
    <col min="13057" max="13057" width="26.28515625" style="112" customWidth="1"/>
    <col min="13058" max="13058" width="24.85546875" style="112" bestFit="1" customWidth="1"/>
    <col min="13059" max="13059" width="18.5703125" style="112" bestFit="1" customWidth="1"/>
    <col min="13060" max="13061" width="20" style="112" customWidth="1"/>
    <col min="13062" max="13306" width="13.85546875" style="112"/>
    <col min="13307" max="13307" width="40.7109375" style="112" customWidth="1"/>
    <col min="13308" max="13308" width="42.85546875" style="112" customWidth="1"/>
    <col min="13309" max="13310" width="17.140625" style="112" customWidth="1"/>
    <col min="13311" max="13311" width="18.85546875" style="112" customWidth="1"/>
    <col min="13312" max="13312" width="18.42578125" style="112" customWidth="1"/>
    <col min="13313" max="13313" width="26.28515625" style="112" customWidth="1"/>
    <col min="13314" max="13314" width="24.85546875" style="112" bestFit="1" customWidth="1"/>
    <col min="13315" max="13315" width="18.5703125" style="112" bestFit="1" customWidth="1"/>
    <col min="13316" max="13317" width="20" style="112" customWidth="1"/>
    <col min="13318" max="13562" width="13.85546875" style="112"/>
    <col min="13563" max="13563" width="40.7109375" style="112" customWidth="1"/>
    <col min="13564" max="13564" width="42.85546875" style="112" customWidth="1"/>
    <col min="13565" max="13566" width="17.140625" style="112" customWidth="1"/>
    <col min="13567" max="13567" width="18.85546875" style="112" customWidth="1"/>
    <col min="13568" max="13568" width="18.42578125" style="112" customWidth="1"/>
    <col min="13569" max="13569" width="26.28515625" style="112" customWidth="1"/>
    <col min="13570" max="13570" width="24.85546875" style="112" bestFit="1" customWidth="1"/>
    <col min="13571" max="13571" width="18.5703125" style="112" bestFit="1" customWidth="1"/>
    <col min="13572" max="13573" width="20" style="112" customWidth="1"/>
    <col min="13574" max="13818" width="13.85546875" style="112"/>
    <col min="13819" max="13819" width="40.7109375" style="112" customWidth="1"/>
    <col min="13820" max="13820" width="42.85546875" style="112" customWidth="1"/>
    <col min="13821" max="13822" width="17.140625" style="112" customWidth="1"/>
    <col min="13823" max="13823" width="18.85546875" style="112" customWidth="1"/>
    <col min="13824" max="13824" width="18.42578125" style="112" customWidth="1"/>
    <col min="13825" max="13825" width="26.28515625" style="112" customWidth="1"/>
    <col min="13826" max="13826" width="24.85546875" style="112" bestFit="1" customWidth="1"/>
    <col min="13827" max="13827" width="18.5703125" style="112" bestFit="1" customWidth="1"/>
    <col min="13828" max="13829" width="20" style="112" customWidth="1"/>
    <col min="13830" max="14074" width="13.85546875" style="112"/>
    <col min="14075" max="14075" width="40.7109375" style="112" customWidth="1"/>
    <col min="14076" max="14076" width="42.85546875" style="112" customWidth="1"/>
    <col min="14077" max="14078" width="17.140625" style="112" customWidth="1"/>
    <col min="14079" max="14079" width="18.85546875" style="112" customWidth="1"/>
    <col min="14080" max="14080" width="18.42578125" style="112" customWidth="1"/>
    <col min="14081" max="14081" width="26.28515625" style="112" customWidth="1"/>
    <col min="14082" max="14082" width="24.85546875" style="112" bestFit="1" customWidth="1"/>
    <col min="14083" max="14083" width="18.5703125" style="112" bestFit="1" customWidth="1"/>
    <col min="14084" max="14085" width="20" style="112" customWidth="1"/>
    <col min="14086" max="14330" width="13.85546875" style="112"/>
    <col min="14331" max="14331" width="40.7109375" style="112" customWidth="1"/>
    <col min="14332" max="14332" width="42.85546875" style="112" customWidth="1"/>
    <col min="14333" max="14334" width="17.140625" style="112" customWidth="1"/>
    <col min="14335" max="14335" width="18.85546875" style="112" customWidth="1"/>
    <col min="14336" max="14336" width="18.42578125" style="112" customWidth="1"/>
    <col min="14337" max="14337" width="26.28515625" style="112" customWidth="1"/>
    <col min="14338" max="14338" width="24.85546875" style="112" bestFit="1" customWidth="1"/>
    <col min="14339" max="14339" width="18.5703125" style="112" bestFit="1" customWidth="1"/>
    <col min="14340" max="14341" width="20" style="112" customWidth="1"/>
    <col min="14342" max="14586" width="13.85546875" style="112"/>
    <col min="14587" max="14587" width="40.7109375" style="112" customWidth="1"/>
    <col min="14588" max="14588" width="42.85546875" style="112" customWidth="1"/>
    <col min="14589" max="14590" width="17.140625" style="112" customWidth="1"/>
    <col min="14591" max="14591" width="18.85546875" style="112" customWidth="1"/>
    <col min="14592" max="14592" width="18.42578125" style="112" customWidth="1"/>
    <col min="14593" max="14593" width="26.28515625" style="112" customWidth="1"/>
    <col min="14594" max="14594" width="24.85546875" style="112" bestFit="1" customWidth="1"/>
    <col min="14595" max="14595" width="18.5703125" style="112" bestFit="1" customWidth="1"/>
    <col min="14596" max="14597" width="20" style="112" customWidth="1"/>
    <col min="14598" max="14842" width="13.85546875" style="112"/>
    <col min="14843" max="14843" width="40.7109375" style="112" customWidth="1"/>
    <col min="14844" max="14844" width="42.85546875" style="112" customWidth="1"/>
    <col min="14845" max="14846" width="17.140625" style="112" customWidth="1"/>
    <col min="14847" max="14847" width="18.85546875" style="112" customWidth="1"/>
    <col min="14848" max="14848" width="18.42578125" style="112" customWidth="1"/>
    <col min="14849" max="14849" width="26.28515625" style="112" customWidth="1"/>
    <col min="14850" max="14850" width="24.85546875" style="112" bestFit="1" customWidth="1"/>
    <col min="14851" max="14851" width="18.5703125" style="112" bestFit="1" customWidth="1"/>
    <col min="14852" max="14853" width="20" style="112" customWidth="1"/>
    <col min="14854" max="15098" width="13.85546875" style="112"/>
    <col min="15099" max="15099" width="40.7109375" style="112" customWidth="1"/>
    <col min="15100" max="15100" width="42.85546875" style="112" customWidth="1"/>
    <col min="15101" max="15102" width="17.140625" style="112" customWidth="1"/>
    <col min="15103" max="15103" width="18.85546875" style="112" customWidth="1"/>
    <col min="15104" max="15104" width="18.42578125" style="112" customWidth="1"/>
    <col min="15105" max="15105" width="26.28515625" style="112" customWidth="1"/>
    <col min="15106" max="15106" width="24.85546875" style="112" bestFit="1" customWidth="1"/>
    <col min="15107" max="15107" width="18.5703125" style="112" bestFit="1" customWidth="1"/>
    <col min="15108" max="15109" width="20" style="112" customWidth="1"/>
    <col min="15110" max="15354" width="13.85546875" style="112"/>
    <col min="15355" max="15355" width="40.7109375" style="112" customWidth="1"/>
    <col min="15356" max="15356" width="42.85546875" style="112" customWidth="1"/>
    <col min="15357" max="15358" width="17.140625" style="112" customWidth="1"/>
    <col min="15359" max="15359" width="18.85546875" style="112" customWidth="1"/>
    <col min="15360" max="15360" width="18.42578125" style="112" customWidth="1"/>
    <col min="15361" max="15361" width="26.28515625" style="112" customWidth="1"/>
    <col min="15362" max="15362" width="24.85546875" style="112" bestFit="1" customWidth="1"/>
    <col min="15363" max="15363" width="18.5703125" style="112" bestFit="1" customWidth="1"/>
    <col min="15364" max="15365" width="20" style="112" customWidth="1"/>
    <col min="15366" max="15610" width="13.85546875" style="112"/>
    <col min="15611" max="15611" width="40.7109375" style="112" customWidth="1"/>
    <col min="15612" max="15612" width="42.85546875" style="112" customWidth="1"/>
    <col min="15613" max="15614" width="17.140625" style="112" customWidth="1"/>
    <col min="15615" max="15615" width="18.85546875" style="112" customWidth="1"/>
    <col min="15616" max="15616" width="18.42578125" style="112" customWidth="1"/>
    <col min="15617" max="15617" width="26.28515625" style="112" customWidth="1"/>
    <col min="15618" max="15618" width="24.85546875" style="112" bestFit="1" customWidth="1"/>
    <col min="15619" max="15619" width="18.5703125" style="112" bestFit="1" customWidth="1"/>
    <col min="15620" max="15621" width="20" style="112" customWidth="1"/>
    <col min="15622" max="15866" width="13.85546875" style="112"/>
    <col min="15867" max="15867" width="40.7109375" style="112" customWidth="1"/>
    <col min="15868" max="15868" width="42.85546875" style="112" customWidth="1"/>
    <col min="15869" max="15870" width="17.140625" style="112" customWidth="1"/>
    <col min="15871" max="15871" width="18.85546875" style="112" customWidth="1"/>
    <col min="15872" max="15872" width="18.42578125" style="112" customWidth="1"/>
    <col min="15873" max="15873" width="26.28515625" style="112" customWidth="1"/>
    <col min="15874" max="15874" width="24.85546875" style="112" bestFit="1" customWidth="1"/>
    <col min="15875" max="15875" width="18.5703125" style="112" bestFit="1" customWidth="1"/>
    <col min="15876" max="15877" width="20" style="112" customWidth="1"/>
    <col min="15878" max="16122" width="13.85546875" style="112"/>
    <col min="16123" max="16123" width="40.7109375" style="112" customWidth="1"/>
    <col min="16124" max="16124" width="42.85546875" style="112" customWidth="1"/>
    <col min="16125" max="16126" width="17.140625" style="112" customWidth="1"/>
    <col min="16127" max="16127" width="18.85546875" style="112" customWidth="1"/>
    <col min="16128" max="16128" width="18.42578125" style="112" customWidth="1"/>
    <col min="16129" max="16129" width="26.28515625" style="112" customWidth="1"/>
    <col min="16130" max="16130" width="24.85546875" style="112" bestFit="1" customWidth="1"/>
    <col min="16131" max="16131" width="18.5703125" style="112" bestFit="1" customWidth="1"/>
    <col min="16132" max="16133" width="20" style="112" customWidth="1"/>
    <col min="16134" max="16384" width="13.85546875" style="112"/>
  </cols>
  <sheetData>
    <row r="1" spans="1:11" s="167" customFormat="1" ht="22.5" customHeight="1" x14ac:dyDescent="0.25">
      <c r="A1" s="27"/>
      <c r="B1" s="537" t="s">
        <v>170</v>
      </c>
      <c r="C1" s="537"/>
      <c r="D1" s="537"/>
      <c r="E1" s="537"/>
      <c r="F1" s="537"/>
      <c r="G1" s="537"/>
      <c r="H1" s="537"/>
      <c r="I1" s="537"/>
      <c r="J1" s="537"/>
      <c r="K1" s="537"/>
    </row>
    <row r="2" spans="1:11" s="167" customFormat="1" ht="17.25" thickBot="1" x14ac:dyDescent="0.3">
      <c r="B2" s="166"/>
      <c r="C2" s="166"/>
      <c r="D2" s="166"/>
      <c r="E2" s="166"/>
      <c r="F2" s="166"/>
      <c r="G2" s="166"/>
      <c r="H2" s="368"/>
      <c r="I2" s="182"/>
      <c r="J2" s="166"/>
      <c r="K2" s="33"/>
    </row>
    <row r="3" spans="1:11" s="167" customFormat="1" ht="66.75" thickBot="1" x14ac:dyDescent="0.3">
      <c r="A3" s="169" t="s">
        <v>47</v>
      </c>
      <c r="B3" s="369" t="s">
        <v>171</v>
      </c>
      <c r="C3" s="370" t="s">
        <v>172</v>
      </c>
      <c r="D3" s="370" t="s">
        <v>173</v>
      </c>
      <c r="E3" s="370" t="s">
        <v>174</v>
      </c>
      <c r="F3" s="370" t="s">
        <v>175</v>
      </c>
      <c r="G3" s="369" t="s">
        <v>176</v>
      </c>
      <c r="H3" s="369" t="s">
        <v>177</v>
      </c>
      <c r="I3" s="369" t="s">
        <v>178</v>
      </c>
      <c r="J3" s="369" t="s">
        <v>179</v>
      </c>
      <c r="K3" s="370" t="s">
        <v>180</v>
      </c>
    </row>
    <row r="4" spans="1:11" s="167" customFormat="1" ht="20.100000000000001" customHeight="1" x14ac:dyDescent="0.25">
      <c r="A4" s="371" t="s">
        <v>22</v>
      </c>
      <c r="B4" s="372">
        <v>2664835.2600000501</v>
      </c>
      <c r="C4" s="373" t="s">
        <v>181</v>
      </c>
      <c r="D4" s="374">
        <f>275902411.020004+56118890.43+1374724.61</f>
        <v>333396026.060004</v>
      </c>
      <c r="E4" s="375">
        <f>35796435.96+20242428.96</f>
        <v>56038864.920000002</v>
      </c>
      <c r="F4" s="375">
        <f>28259.57+517839.289999943</f>
        <v>546098.85999994294</v>
      </c>
      <c r="G4" s="374">
        <f>B4+D4-E4-F4</f>
        <v>279475897.54000407</v>
      </c>
      <c r="H4" s="376">
        <f>35848201.9+239698403.2</f>
        <v>275546605.09999996</v>
      </c>
      <c r="I4" s="377">
        <f t="shared" ref="I4:I9" si="0">H4/G4*100</f>
        <v>98.594049621240885</v>
      </c>
      <c r="J4" s="378">
        <f>G4-H4</f>
        <v>3929292.4400041103</v>
      </c>
      <c r="K4" s="379">
        <f t="shared" ref="K4:K9" si="1">J4/G4*100</f>
        <v>1.4059503787591103</v>
      </c>
    </row>
    <row r="5" spans="1:11" s="167" customFormat="1" ht="20.100000000000001" customHeight="1" thickBot="1" x14ac:dyDescent="0.3">
      <c r="A5" s="380" t="s">
        <v>182</v>
      </c>
      <c r="B5" s="381">
        <v>14094.189999999478</v>
      </c>
      <c r="C5" s="382" t="s">
        <v>181</v>
      </c>
      <c r="D5" s="383">
        <v>1595461.5399999917</v>
      </c>
      <c r="E5" s="384">
        <v>210601.26</v>
      </c>
      <c r="F5" s="384">
        <v>71097.31</v>
      </c>
      <c r="G5" s="385">
        <f>B5+D5-E5-F5</f>
        <v>1327857.1599999911</v>
      </c>
      <c r="H5" s="386">
        <v>1300608.4099999913</v>
      </c>
      <c r="I5" s="387">
        <f t="shared" si="0"/>
        <v>97.947915572485229</v>
      </c>
      <c r="J5" s="388">
        <f>G5-H5</f>
        <v>27248.749999999767</v>
      </c>
      <c r="K5" s="384">
        <f t="shared" si="1"/>
        <v>2.0520844275147754</v>
      </c>
    </row>
    <row r="6" spans="1:11" s="167" customFormat="1" ht="20.100000000000001" customHeight="1" thickTop="1" thickBot="1" x14ac:dyDescent="0.3">
      <c r="A6" s="389" t="s">
        <v>183</v>
      </c>
      <c r="B6" s="390">
        <f>SUM(B4:B5)</f>
        <v>2678929.4500000495</v>
      </c>
      <c r="C6" s="390"/>
      <c r="D6" s="390">
        <f>SUM(D4:D5)</f>
        <v>334991487.60000396</v>
      </c>
      <c r="E6" s="390">
        <f>SUM(E4:E5)</f>
        <v>56249466.18</v>
      </c>
      <c r="F6" s="390">
        <f>SUM(F4:F5)</f>
        <v>617196.16999994288</v>
      </c>
      <c r="G6" s="390">
        <f>B6+D6-E6-F6</f>
        <v>280803754.70000404</v>
      </c>
      <c r="H6" s="390">
        <f>H4+H5</f>
        <v>276847213.50999993</v>
      </c>
      <c r="I6" s="391">
        <f t="shared" si="0"/>
        <v>98.590994200119908</v>
      </c>
      <c r="J6" s="390">
        <f>J4+J5</f>
        <v>3956541.1900041103</v>
      </c>
      <c r="K6" s="392">
        <f t="shared" si="1"/>
        <v>1.4090057998800873</v>
      </c>
    </row>
    <row r="7" spans="1:11" s="167" customFormat="1" ht="20.100000000000001" customHeight="1" thickTop="1" thickBot="1" x14ac:dyDescent="0.3">
      <c r="A7" s="380" t="s">
        <v>184</v>
      </c>
      <c r="B7" s="383">
        <v>5782099.5100000054</v>
      </c>
      <c r="C7" s="393" t="s">
        <v>185</v>
      </c>
      <c r="D7" s="383">
        <f>99101926.35-B7</f>
        <v>93319826.839999989</v>
      </c>
      <c r="E7" s="384">
        <v>28154867.030000001</v>
      </c>
      <c r="F7" s="394">
        <v>28897.74</v>
      </c>
      <c r="G7" s="395">
        <f>B7+D7-E7-F7</f>
        <v>70918161.579999998</v>
      </c>
      <c r="H7" s="386">
        <f>70918161.58</f>
        <v>70918161.579999998</v>
      </c>
      <c r="I7" s="387">
        <f t="shared" si="0"/>
        <v>100</v>
      </c>
      <c r="J7" s="388">
        <f>G7-H7</f>
        <v>0</v>
      </c>
      <c r="K7" s="384">
        <f t="shared" si="1"/>
        <v>0</v>
      </c>
    </row>
    <row r="8" spans="1:11" s="167" customFormat="1" ht="20.100000000000001" customHeight="1" thickTop="1" thickBot="1" x14ac:dyDescent="0.3">
      <c r="A8" s="389" t="s">
        <v>186</v>
      </c>
      <c r="B8" s="390">
        <f>SUM(B7)</f>
        <v>5782099.5100000054</v>
      </c>
      <c r="C8" s="390"/>
      <c r="D8" s="390">
        <f>SUM(D7:D7)</f>
        <v>93319826.839999989</v>
      </c>
      <c r="E8" s="390">
        <f>SUM(E7:E7)</f>
        <v>28154867.030000001</v>
      </c>
      <c r="F8" s="390">
        <f>SUM(F7:F7)</f>
        <v>28897.74</v>
      </c>
      <c r="G8" s="390">
        <f>SUM(G7:G7)</f>
        <v>70918161.579999998</v>
      </c>
      <c r="H8" s="390">
        <f>SUM(H7)</f>
        <v>70918161.579999998</v>
      </c>
      <c r="I8" s="391">
        <f t="shared" si="0"/>
        <v>100</v>
      </c>
      <c r="J8" s="390">
        <f>SUM(J7:J7)</f>
        <v>0</v>
      </c>
      <c r="K8" s="392">
        <f t="shared" si="1"/>
        <v>0</v>
      </c>
    </row>
    <row r="9" spans="1:11" s="167" customFormat="1" ht="20.100000000000001" customHeight="1" thickTop="1" thickBot="1" x14ac:dyDescent="0.3">
      <c r="A9" s="396" t="s">
        <v>20</v>
      </c>
      <c r="B9" s="397">
        <f>SUM(B7:B8)</f>
        <v>11564199.020000011</v>
      </c>
      <c r="C9" s="397"/>
      <c r="D9" s="397">
        <f>SUM(D8,D6)</f>
        <v>428311314.44000393</v>
      </c>
      <c r="E9" s="397">
        <f>SUM(E8,E6)</f>
        <v>84404333.210000008</v>
      </c>
      <c r="F9" s="397">
        <f>SUM(F8,F6)</f>
        <v>646093.90999994287</v>
      </c>
      <c r="G9" s="397">
        <f>SUM(G8,G6)</f>
        <v>351721916.28000402</v>
      </c>
      <c r="H9" s="397">
        <f>SUM(H8,H6)</f>
        <v>347765375.08999991</v>
      </c>
      <c r="I9" s="398">
        <f t="shared" si="0"/>
        <v>98.875093928791642</v>
      </c>
      <c r="J9" s="397">
        <f>SUM(J8,J6)</f>
        <v>3956541.1900041103</v>
      </c>
      <c r="K9" s="399">
        <f t="shared" si="1"/>
        <v>1.1249060712083485</v>
      </c>
    </row>
    <row r="10" spans="1:11" s="167" customFormat="1" ht="17.25" thickTop="1" x14ac:dyDescent="0.25">
      <c r="A10" s="123"/>
      <c r="B10" s="166"/>
      <c r="C10" s="166"/>
      <c r="D10" s="166"/>
      <c r="E10" s="400"/>
      <c r="F10" s="400"/>
      <c r="G10" s="166"/>
      <c r="H10" s="166"/>
      <c r="I10" s="168"/>
    </row>
    <row r="11" spans="1:11" s="167" customFormat="1" ht="16.5" x14ac:dyDescent="0.25">
      <c r="A11" s="401" t="s">
        <v>21</v>
      </c>
      <c r="C11" s="166"/>
      <c r="D11" s="166"/>
      <c r="E11" s="166"/>
      <c r="F11" s="166"/>
      <c r="G11" s="166"/>
      <c r="H11" s="166"/>
      <c r="I11" s="168"/>
      <c r="J11" s="402"/>
    </row>
    <row r="12" spans="1:11" s="167" customFormat="1" ht="16.5" x14ac:dyDescent="0.25">
      <c r="A12" s="403" t="s">
        <v>187</v>
      </c>
      <c r="C12" s="166"/>
      <c r="D12" s="166"/>
      <c r="E12" s="166"/>
      <c r="F12" s="166"/>
      <c r="G12" s="166"/>
      <c r="H12" s="166"/>
      <c r="I12" s="168"/>
      <c r="J12" s="402"/>
    </row>
    <row r="13" spans="1:11" s="167" customFormat="1" ht="16.5" x14ac:dyDescent="0.25">
      <c r="A13" s="403"/>
      <c r="B13" s="167" t="s">
        <v>188</v>
      </c>
      <c r="C13" s="166">
        <v>3929292.44</v>
      </c>
      <c r="D13" s="166" t="s">
        <v>189</v>
      </c>
      <c r="E13" s="166"/>
      <c r="F13" s="166"/>
      <c r="G13" s="166"/>
      <c r="H13" s="166"/>
      <c r="I13" s="168"/>
    </row>
    <row r="14" spans="1:11" s="167" customFormat="1" ht="16.5" x14ac:dyDescent="0.25">
      <c r="A14" s="123"/>
      <c r="B14" s="167" t="s">
        <v>190</v>
      </c>
      <c r="C14" s="166">
        <v>2119.67</v>
      </c>
      <c r="D14" s="166" t="s">
        <v>191</v>
      </c>
      <c r="E14" s="166"/>
      <c r="F14" s="166"/>
      <c r="G14" s="166"/>
      <c r="H14" s="166"/>
      <c r="I14" s="168"/>
    </row>
    <row r="15" spans="1:11" s="167" customFormat="1" ht="16.5" x14ac:dyDescent="0.25">
      <c r="A15" s="123"/>
      <c r="B15" s="167" t="s">
        <v>192</v>
      </c>
      <c r="C15" s="166">
        <v>3777.23</v>
      </c>
      <c r="D15" s="166" t="s">
        <v>191</v>
      </c>
      <c r="E15" s="166"/>
      <c r="F15" s="166"/>
      <c r="G15" s="166"/>
      <c r="H15" s="166"/>
      <c r="I15" s="168"/>
    </row>
    <row r="16" spans="1:11" s="167" customFormat="1" ht="16.5" x14ac:dyDescent="0.25">
      <c r="A16" s="123"/>
      <c r="B16" s="167" t="s">
        <v>193</v>
      </c>
      <c r="C16" s="166">
        <v>1566.02</v>
      </c>
      <c r="D16" s="166" t="s">
        <v>91</v>
      </c>
      <c r="E16" s="166"/>
      <c r="F16" s="166"/>
      <c r="G16" s="166"/>
      <c r="H16" s="166"/>
      <c r="I16" s="168"/>
    </row>
    <row r="17" spans="1:9" s="167" customFormat="1" ht="16.5" x14ac:dyDescent="0.25">
      <c r="A17" s="123"/>
      <c r="B17" s="167" t="s">
        <v>195</v>
      </c>
      <c r="C17" s="166">
        <v>3921829.52</v>
      </c>
      <c r="D17" s="166" t="s">
        <v>300</v>
      </c>
      <c r="E17" s="166"/>
      <c r="F17" s="166"/>
      <c r="G17" s="166"/>
      <c r="H17" s="166"/>
      <c r="I17" s="168"/>
    </row>
    <row r="18" spans="1:9" s="167" customFormat="1" ht="16.5" x14ac:dyDescent="0.25">
      <c r="A18" s="123"/>
      <c r="C18" s="166"/>
      <c r="D18" s="166"/>
      <c r="E18" s="166"/>
      <c r="F18" s="166"/>
      <c r="G18" s="166"/>
      <c r="H18" s="166"/>
      <c r="I18" s="168"/>
    </row>
    <row r="19" spans="1:9" s="167" customFormat="1" ht="16.5" x14ac:dyDescent="0.25">
      <c r="A19" s="123"/>
      <c r="C19" s="166"/>
      <c r="D19" s="166"/>
      <c r="E19" s="166"/>
      <c r="F19" s="166"/>
      <c r="G19" s="166"/>
      <c r="H19" s="166"/>
      <c r="I19" s="168"/>
    </row>
    <row r="20" spans="1:9" s="167" customFormat="1" ht="16.5" x14ac:dyDescent="0.25">
      <c r="A20" s="403" t="s">
        <v>194</v>
      </c>
      <c r="B20" s="167" t="s">
        <v>188</v>
      </c>
      <c r="C20" s="166">
        <v>27248.75</v>
      </c>
      <c r="D20" s="166" t="s">
        <v>91</v>
      </c>
      <c r="E20" s="166"/>
      <c r="F20" s="166"/>
      <c r="G20" s="166"/>
      <c r="H20" s="166"/>
      <c r="I20" s="168"/>
    </row>
    <row r="21" spans="1:9" s="167" customFormat="1" ht="16.5" x14ac:dyDescent="0.25">
      <c r="A21" s="123"/>
      <c r="B21" s="167" t="s">
        <v>301</v>
      </c>
      <c r="C21" s="166">
        <v>27248.75</v>
      </c>
      <c r="D21" s="166" t="s">
        <v>302</v>
      </c>
      <c r="E21" s="166"/>
      <c r="F21" s="166"/>
      <c r="G21" s="166"/>
      <c r="H21" s="168"/>
    </row>
    <row r="22" spans="1:9" s="167" customFormat="1" ht="16.5" x14ac:dyDescent="0.25">
      <c r="A22" s="123"/>
      <c r="C22" s="166"/>
      <c r="D22" s="166"/>
      <c r="E22" s="166"/>
      <c r="F22" s="166"/>
      <c r="G22" s="166"/>
      <c r="H22" s="166"/>
      <c r="I22" s="168"/>
    </row>
    <row r="24" spans="1:9" ht="24.95" customHeight="1" x14ac:dyDescent="0.25">
      <c r="A24" s="146"/>
      <c r="C24" s="112"/>
    </row>
    <row r="25" spans="1:9" ht="24.95" customHeight="1" x14ac:dyDescent="0.25">
      <c r="A25" s="147"/>
    </row>
    <row r="31" spans="1:9" ht="24.95" customHeight="1" x14ac:dyDescent="0.25">
      <c r="A31" s="147"/>
    </row>
    <row r="38" spans="1:7" ht="24.95" customHeight="1" x14ac:dyDescent="0.25">
      <c r="A38" s="134"/>
      <c r="B38" s="106"/>
      <c r="C38" s="107"/>
      <c r="D38" s="106"/>
      <c r="E38" s="110"/>
    </row>
    <row r="40" spans="1:7" ht="24.95" customHeight="1" x14ac:dyDescent="0.25">
      <c r="A40" s="135"/>
      <c r="B40" s="136"/>
      <c r="C40" s="136"/>
      <c r="D40" s="136"/>
      <c r="E40" s="136"/>
      <c r="F40" s="137"/>
    </row>
    <row r="41" spans="1:7" ht="24.95" customHeight="1" x14ac:dyDescent="0.25">
      <c r="B41" s="108"/>
      <c r="D41" s="138"/>
      <c r="E41" s="139"/>
      <c r="F41" s="139"/>
    </row>
    <row r="42" spans="1:7" ht="24.95" customHeight="1" x14ac:dyDescent="0.25">
      <c r="B42" s="108"/>
      <c r="D42" s="138"/>
      <c r="E42" s="118"/>
      <c r="F42" s="139"/>
    </row>
    <row r="43" spans="1:7" ht="24.95" customHeight="1" x14ac:dyDescent="0.25">
      <c r="A43" s="142"/>
      <c r="B43" s="108"/>
      <c r="D43" s="138"/>
      <c r="E43" s="139"/>
      <c r="F43" s="139"/>
      <c r="G43" s="108"/>
    </row>
    <row r="44" spans="1:7" ht="24.95" customHeight="1" x14ac:dyDescent="0.25">
      <c r="A44" s="142"/>
      <c r="B44" s="108"/>
      <c r="D44" s="138"/>
      <c r="E44" s="139"/>
      <c r="F44" s="139"/>
    </row>
    <row r="45" spans="1:7" ht="24.95" customHeight="1" x14ac:dyDescent="0.25">
      <c r="A45" s="142"/>
      <c r="B45" s="143"/>
      <c r="C45" s="143"/>
      <c r="D45" s="144"/>
      <c r="E45" s="145"/>
      <c r="F45" s="145"/>
    </row>
    <row r="46" spans="1:7" ht="24.95" customHeight="1" x14ac:dyDescent="0.25">
      <c r="A46" s="142"/>
      <c r="B46" s="143"/>
      <c r="C46" s="143"/>
      <c r="D46" s="145"/>
      <c r="E46" s="145"/>
    </row>
    <row r="47" spans="1:7" ht="24.95" customHeight="1" x14ac:dyDescent="0.25">
      <c r="A47" s="146"/>
      <c r="C47" s="112"/>
      <c r="D47" s="114"/>
      <c r="E47" s="115"/>
    </row>
    <row r="48" spans="1:7" ht="24.95" customHeight="1" x14ac:dyDescent="0.25">
      <c r="A48" s="147"/>
      <c r="D48" s="114"/>
    </row>
    <row r="49" spans="1:4" ht="24.95" customHeight="1" x14ac:dyDescent="0.25">
      <c r="D49" s="114"/>
    </row>
    <row r="50" spans="1:4" ht="24.95" customHeight="1" x14ac:dyDescent="0.25">
      <c r="D50" s="114"/>
    </row>
    <row r="51" spans="1:4" ht="24.95" customHeight="1" x14ac:dyDescent="0.25">
      <c r="D51" s="114"/>
    </row>
    <row r="52" spans="1:4" ht="24.95" customHeight="1" x14ac:dyDescent="0.25">
      <c r="D52" s="114"/>
    </row>
    <row r="53" spans="1:4" ht="24.95" customHeight="1" x14ac:dyDescent="0.25">
      <c r="D53" s="114"/>
    </row>
    <row r="54" spans="1:4" ht="24.95" customHeight="1" x14ac:dyDescent="0.25">
      <c r="D54" s="114"/>
    </row>
    <row r="55" spans="1:4" ht="24.95" customHeight="1" x14ac:dyDescent="0.25">
      <c r="D55" s="114"/>
    </row>
    <row r="56" spans="1:4" ht="24.95" customHeight="1" x14ac:dyDescent="0.25">
      <c r="D56" s="114"/>
    </row>
    <row r="57" spans="1:4" ht="24.95" customHeight="1" x14ac:dyDescent="0.25">
      <c r="A57" s="147"/>
      <c r="D57" s="114"/>
    </row>
    <row r="58" spans="1:4" ht="24.95" customHeight="1" x14ac:dyDescent="0.25">
      <c r="D58" s="114"/>
    </row>
    <row r="59" spans="1:4" ht="24.95" customHeight="1" x14ac:dyDescent="0.25">
      <c r="D59" s="114"/>
    </row>
    <row r="61" spans="1:4" ht="24.95" customHeight="1" x14ac:dyDescent="0.25">
      <c r="A61" s="146"/>
      <c r="C61" s="112"/>
    </row>
    <row r="62" spans="1:4" ht="24.95" customHeight="1" x14ac:dyDescent="0.25">
      <c r="A62" s="147"/>
    </row>
    <row r="66" spans="1:7" ht="24.95" customHeight="1" x14ac:dyDescent="0.25">
      <c r="A66" s="147"/>
    </row>
    <row r="70" spans="1:7" ht="24.95" customHeight="1" x14ac:dyDescent="0.25">
      <c r="A70" s="134"/>
      <c r="B70" s="106"/>
      <c r="C70" s="107"/>
      <c r="D70" s="106"/>
      <c r="E70" s="110"/>
    </row>
    <row r="72" spans="1:7" ht="24.95" customHeight="1" x14ac:dyDescent="0.25">
      <c r="A72" s="135"/>
      <c r="B72" s="136"/>
      <c r="C72" s="136"/>
      <c r="D72" s="136"/>
      <c r="E72" s="136"/>
      <c r="F72" s="137"/>
    </row>
    <row r="73" spans="1:7" ht="24.95" customHeight="1" x14ac:dyDescent="0.25">
      <c r="B73" s="108"/>
      <c r="D73" s="138"/>
      <c r="E73" s="139"/>
      <c r="F73" s="139"/>
    </row>
    <row r="74" spans="1:7" ht="24.95" customHeight="1" x14ac:dyDescent="0.25">
      <c r="B74" s="108"/>
      <c r="D74" s="138"/>
      <c r="E74" s="118"/>
      <c r="F74" s="139"/>
    </row>
    <row r="75" spans="1:7" ht="24.95" customHeight="1" x14ac:dyDescent="0.25">
      <c r="B75" s="108"/>
      <c r="D75" s="138"/>
      <c r="E75" s="139"/>
      <c r="F75" s="139"/>
      <c r="G75" s="108"/>
    </row>
    <row r="76" spans="1:7" ht="24.95" customHeight="1" x14ac:dyDescent="0.25">
      <c r="B76" s="108"/>
      <c r="D76" s="138"/>
      <c r="E76" s="139"/>
      <c r="F76" s="139"/>
    </row>
    <row r="77" spans="1:7" ht="24.95" customHeight="1" x14ac:dyDescent="0.25">
      <c r="B77" s="108"/>
      <c r="D77" s="140"/>
      <c r="E77" s="139"/>
      <c r="F77" s="139"/>
    </row>
    <row r="78" spans="1:7" ht="24.95" customHeight="1" x14ac:dyDescent="0.25">
      <c r="B78" s="108"/>
      <c r="D78" s="139"/>
      <c r="E78" s="141"/>
    </row>
    <row r="79" spans="1:7" ht="24.95" customHeight="1" x14ac:dyDescent="0.25">
      <c r="A79" s="113"/>
      <c r="C79" s="112"/>
      <c r="D79" s="114"/>
      <c r="E79" s="115"/>
    </row>
    <row r="80" spans="1:7" ht="24.95" customHeight="1" x14ac:dyDescent="0.25">
      <c r="A80" s="116"/>
      <c r="D80" s="114"/>
    </row>
    <row r="81" spans="1:4" ht="24.95" customHeight="1" x14ac:dyDescent="0.25">
      <c r="D81" s="114"/>
    </row>
    <row r="82" spans="1:4" ht="24.95" customHeight="1" x14ac:dyDescent="0.25">
      <c r="D82" s="114"/>
    </row>
    <row r="83" spans="1:4" ht="24.95" customHeight="1" x14ac:dyDescent="0.25">
      <c r="D83" s="114"/>
    </row>
    <row r="84" spans="1:4" ht="24.95" customHeight="1" x14ac:dyDescent="0.25">
      <c r="D84" s="114"/>
    </row>
    <row r="85" spans="1:4" ht="24.95" customHeight="1" x14ac:dyDescent="0.25">
      <c r="D85" s="114"/>
    </row>
    <row r="86" spans="1:4" ht="24.95" customHeight="1" x14ac:dyDescent="0.25">
      <c r="D86" s="114"/>
    </row>
    <row r="87" spans="1:4" ht="24.95" customHeight="1" x14ac:dyDescent="0.25">
      <c r="D87" s="114"/>
    </row>
    <row r="88" spans="1:4" ht="24.95" customHeight="1" x14ac:dyDescent="0.25">
      <c r="D88" s="114"/>
    </row>
    <row r="89" spans="1:4" ht="24.95" customHeight="1" x14ac:dyDescent="0.25">
      <c r="D89" s="114"/>
    </row>
    <row r="90" spans="1:4" ht="24.95" customHeight="1" x14ac:dyDescent="0.25">
      <c r="A90" s="116"/>
      <c r="D90" s="114"/>
    </row>
    <row r="91" spans="1:4" ht="24.95" customHeight="1" x14ac:dyDescent="0.25">
      <c r="D91" s="114"/>
    </row>
    <row r="92" spans="1:4" ht="24.95" customHeight="1" x14ac:dyDescent="0.25">
      <c r="D92" s="114"/>
    </row>
    <row r="94" spans="1:4" ht="24.95" customHeight="1" x14ac:dyDescent="0.25">
      <c r="A94" s="113"/>
      <c r="C94" s="112"/>
    </row>
    <row r="95" spans="1:4" ht="24.95" customHeight="1" x14ac:dyDescent="0.25">
      <c r="A95" s="116"/>
    </row>
    <row r="100" spans="1:7" ht="24.95" customHeight="1" x14ac:dyDescent="0.25">
      <c r="A100" s="116"/>
    </row>
    <row r="104" spans="1:7" ht="24.95" customHeight="1" x14ac:dyDescent="0.25">
      <c r="A104" s="134"/>
      <c r="B104" s="106"/>
      <c r="C104" s="107"/>
      <c r="D104" s="106"/>
      <c r="E104" s="110"/>
    </row>
    <row r="106" spans="1:7" ht="24.95" customHeight="1" x14ac:dyDescent="0.25">
      <c r="A106" s="135"/>
      <c r="B106" s="136"/>
      <c r="C106" s="136"/>
      <c r="D106" s="136"/>
      <c r="E106" s="136"/>
      <c r="F106" s="137"/>
    </row>
    <row r="107" spans="1:7" ht="24.95" customHeight="1" x14ac:dyDescent="0.25">
      <c r="B107" s="108"/>
      <c r="D107" s="138"/>
      <c r="E107" s="139"/>
      <c r="F107" s="139"/>
    </row>
    <row r="108" spans="1:7" ht="24.95" customHeight="1" x14ac:dyDescent="0.25">
      <c r="B108" s="108"/>
      <c r="D108" s="138"/>
      <c r="E108" s="118"/>
      <c r="F108" s="139"/>
    </row>
    <row r="109" spans="1:7" ht="24.95" customHeight="1" x14ac:dyDescent="0.25">
      <c r="B109" s="108"/>
      <c r="D109" s="138"/>
      <c r="E109" s="139"/>
      <c r="F109" s="139"/>
      <c r="G109" s="108"/>
    </row>
    <row r="110" spans="1:7" ht="24.95" customHeight="1" x14ac:dyDescent="0.25">
      <c r="B110" s="108"/>
      <c r="D110" s="138"/>
      <c r="E110" s="139"/>
      <c r="F110" s="139"/>
    </row>
    <row r="111" spans="1:7" ht="24.95" customHeight="1" x14ac:dyDescent="0.25">
      <c r="B111" s="108"/>
      <c r="D111" s="140"/>
      <c r="E111" s="139"/>
      <c r="F111" s="139"/>
    </row>
    <row r="112" spans="1:7" ht="24.95" customHeight="1" x14ac:dyDescent="0.25">
      <c r="B112" s="108"/>
      <c r="D112" s="139"/>
      <c r="E112" s="141"/>
    </row>
    <row r="113" spans="1:5" ht="24.95" customHeight="1" x14ac:dyDescent="0.25">
      <c r="A113" s="113"/>
      <c r="C113" s="112"/>
      <c r="D113" s="114"/>
      <c r="E113" s="115"/>
    </row>
    <row r="114" spans="1:5" ht="24.95" customHeight="1" x14ac:dyDescent="0.25">
      <c r="A114" s="116"/>
      <c r="D114" s="114"/>
    </row>
    <row r="115" spans="1:5" ht="24.95" customHeight="1" x14ac:dyDescent="0.25">
      <c r="D115" s="114"/>
    </row>
    <row r="116" spans="1:5" ht="24.95" customHeight="1" x14ac:dyDescent="0.25">
      <c r="D116" s="114"/>
    </row>
    <row r="117" spans="1:5" ht="24.95" customHeight="1" x14ac:dyDescent="0.25">
      <c r="D117" s="114"/>
    </row>
    <row r="118" spans="1:5" ht="24.95" customHeight="1" x14ac:dyDescent="0.25">
      <c r="D118" s="114"/>
    </row>
    <row r="119" spans="1:5" ht="24.95" customHeight="1" x14ac:dyDescent="0.25">
      <c r="D119" s="114"/>
    </row>
    <row r="120" spans="1:5" ht="24.95" customHeight="1" x14ac:dyDescent="0.25">
      <c r="D120" s="114"/>
    </row>
    <row r="121" spans="1:5" ht="24.95" customHeight="1" x14ac:dyDescent="0.25">
      <c r="D121" s="114"/>
    </row>
    <row r="122" spans="1:5" ht="24.95" customHeight="1" x14ac:dyDescent="0.25">
      <c r="D122" s="114"/>
    </row>
    <row r="123" spans="1:5" ht="24.95" customHeight="1" x14ac:dyDescent="0.25">
      <c r="D123" s="114"/>
    </row>
    <row r="124" spans="1:5" ht="24.95" customHeight="1" x14ac:dyDescent="0.25">
      <c r="A124" s="116"/>
      <c r="D124" s="114"/>
    </row>
    <row r="125" spans="1:5" ht="24.95" customHeight="1" x14ac:dyDescent="0.25">
      <c r="D125" s="114"/>
    </row>
    <row r="126" spans="1:5" ht="24.95" customHeight="1" x14ac:dyDescent="0.25">
      <c r="D126" s="114"/>
    </row>
    <row r="128" spans="1:5" ht="24.95" customHeight="1" x14ac:dyDescent="0.25">
      <c r="A128" s="113"/>
      <c r="C128" s="112"/>
    </row>
    <row r="129" spans="1:7" ht="24.95" customHeight="1" x14ac:dyDescent="0.25">
      <c r="A129" s="116"/>
    </row>
    <row r="135" spans="1:7" ht="24.95" customHeight="1" x14ac:dyDescent="0.25">
      <c r="A135" s="116"/>
    </row>
    <row r="138" spans="1:7" ht="24.95" customHeight="1" x14ac:dyDescent="0.25">
      <c r="A138" s="134"/>
      <c r="B138" s="106"/>
      <c r="C138" s="107"/>
      <c r="D138" s="106"/>
      <c r="E138" s="110"/>
    </row>
    <row r="140" spans="1:7" ht="24.95" customHeight="1" x14ac:dyDescent="0.25">
      <c r="A140" s="135"/>
      <c r="B140" s="136"/>
      <c r="C140" s="136"/>
      <c r="D140" s="136"/>
      <c r="E140" s="136"/>
      <c r="F140" s="137"/>
    </row>
    <row r="141" spans="1:7" ht="24.95" customHeight="1" x14ac:dyDescent="0.25">
      <c r="B141" s="108"/>
      <c r="D141" s="138"/>
      <c r="E141" s="139"/>
      <c r="F141" s="139"/>
    </row>
    <row r="142" spans="1:7" ht="24.95" customHeight="1" x14ac:dyDescent="0.25">
      <c r="B142" s="108"/>
      <c r="D142" s="138"/>
      <c r="E142" s="118"/>
      <c r="F142" s="139"/>
    </row>
    <row r="143" spans="1:7" ht="24.95" customHeight="1" x14ac:dyDescent="0.25">
      <c r="B143" s="108"/>
      <c r="D143" s="138"/>
      <c r="E143" s="139"/>
      <c r="F143" s="139"/>
      <c r="G143" s="108"/>
    </row>
    <row r="144" spans="1:7" ht="24.95" customHeight="1" x14ac:dyDescent="0.25">
      <c r="B144" s="108"/>
      <c r="D144" s="138"/>
      <c r="E144" s="139"/>
      <c r="F144" s="139"/>
    </row>
    <row r="145" spans="1:6" ht="24.95" customHeight="1" x14ac:dyDescent="0.25">
      <c r="B145" s="108"/>
      <c r="D145" s="140"/>
      <c r="E145" s="139"/>
      <c r="F145" s="139"/>
    </row>
    <row r="146" spans="1:6" ht="24.95" customHeight="1" x14ac:dyDescent="0.25">
      <c r="B146" s="108"/>
      <c r="D146" s="139"/>
      <c r="E146" s="141"/>
    </row>
    <row r="147" spans="1:6" ht="24.95" customHeight="1" x14ac:dyDescent="0.25">
      <c r="A147" s="113"/>
      <c r="C147" s="112"/>
      <c r="D147" s="114"/>
      <c r="E147" s="115"/>
    </row>
    <row r="148" spans="1:6" ht="24.95" customHeight="1" x14ac:dyDescent="0.25">
      <c r="A148" s="116"/>
      <c r="D148" s="114"/>
    </row>
    <row r="149" spans="1:6" ht="24.95" customHeight="1" x14ac:dyDescent="0.25">
      <c r="D149" s="114"/>
    </row>
    <row r="150" spans="1:6" ht="24.95" customHeight="1" x14ac:dyDescent="0.25">
      <c r="D150" s="114"/>
    </row>
    <row r="151" spans="1:6" ht="24.95" customHeight="1" x14ac:dyDescent="0.25">
      <c r="D151" s="114"/>
    </row>
    <row r="152" spans="1:6" ht="24.95" customHeight="1" x14ac:dyDescent="0.25">
      <c r="D152" s="114"/>
    </row>
    <row r="153" spans="1:6" ht="24.95" customHeight="1" x14ac:dyDescent="0.25">
      <c r="D153" s="114"/>
    </row>
    <row r="154" spans="1:6" ht="24.95" customHeight="1" x14ac:dyDescent="0.25">
      <c r="D154" s="114"/>
    </row>
    <row r="155" spans="1:6" ht="24.95" customHeight="1" x14ac:dyDescent="0.25">
      <c r="D155" s="114"/>
    </row>
    <row r="156" spans="1:6" ht="24.95" customHeight="1" x14ac:dyDescent="0.25">
      <c r="D156" s="114"/>
    </row>
    <row r="157" spans="1:6" ht="24.95" customHeight="1" x14ac:dyDescent="0.25">
      <c r="D157" s="114"/>
    </row>
    <row r="158" spans="1:6" ht="24.95" customHeight="1" x14ac:dyDescent="0.25">
      <c r="A158" s="116"/>
      <c r="D158" s="114"/>
    </row>
    <row r="159" spans="1:6" ht="24.95" customHeight="1" x14ac:dyDescent="0.25">
      <c r="D159" s="114"/>
    </row>
    <row r="160" spans="1:6" ht="24.95" customHeight="1" x14ac:dyDescent="0.25">
      <c r="D160" s="114"/>
    </row>
    <row r="162" spans="1:3" ht="24.95" customHeight="1" x14ac:dyDescent="0.25">
      <c r="A162" s="113"/>
      <c r="C162" s="112"/>
    </row>
    <row r="163" spans="1:3" ht="24.95" customHeight="1" x14ac:dyDescent="0.25">
      <c r="A163" s="116"/>
    </row>
    <row r="165" spans="1:3" ht="24.95" customHeight="1" x14ac:dyDescent="0.25">
      <c r="A165" s="116"/>
    </row>
  </sheetData>
  <mergeCells count="1">
    <mergeCell ref="B1:K1"/>
  </mergeCells>
  <printOptions horizontalCentered="1"/>
  <pageMargins left="0.3" right="0.3" top="0.7" bottom="0.7" header="0.3" footer="0.3"/>
  <pageSetup scale="57" fitToHeight="0" orientation="landscape" r:id="rId1"/>
  <headerFooter>
    <oddHeader>&amp;F</oddHeader>
    <oddFooter>&amp;A&amp;RPage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5"/>
  <sheetViews>
    <sheetView topLeftCell="A10" zoomScaleNormal="100" workbookViewId="0">
      <selection activeCell="F31" sqref="F31"/>
    </sheetView>
  </sheetViews>
  <sheetFormatPr defaultColWidth="13.85546875" defaultRowHeight="20.100000000000001" customHeight="1" x14ac:dyDescent="0.3"/>
  <cols>
    <col min="1" max="1" width="29.140625" style="89" customWidth="1"/>
    <col min="2" max="2" width="32.5703125" style="90" bestFit="1" customWidth="1"/>
    <col min="3" max="3" width="20.7109375" style="17" customWidth="1"/>
    <col min="4" max="10" width="20.7109375" style="89" customWidth="1"/>
    <col min="11" max="16384" width="13.85546875" style="89"/>
  </cols>
  <sheetData>
    <row r="1" spans="1:12" s="211" customFormat="1" ht="18" customHeight="1" x14ac:dyDescent="0.3">
      <c r="A1" s="213"/>
      <c r="B1" s="213"/>
      <c r="C1" s="214" t="s">
        <v>50</v>
      </c>
      <c r="D1" s="214"/>
      <c r="E1" s="214"/>
      <c r="F1" s="214"/>
      <c r="G1" s="214"/>
      <c r="H1" s="215"/>
      <c r="I1" s="241"/>
      <c r="J1" s="213"/>
    </row>
    <row r="2" spans="1:12" s="211" customFormat="1" ht="18" customHeight="1" thickBot="1" x14ac:dyDescent="0.35">
      <c r="B2" s="212"/>
      <c r="C2" s="212"/>
      <c r="D2" s="212"/>
      <c r="E2" s="212"/>
      <c r="F2" s="212"/>
      <c r="G2" s="212"/>
      <c r="H2" s="17"/>
      <c r="I2" s="242"/>
    </row>
    <row r="3" spans="1:12" s="211" customFormat="1" ht="50.25" thickBot="1" x14ac:dyDescent="0.35">
      <c r="A3" s="225" t="s">
        <v>47</v>
      </c>
      <c r="B3" s="247" t="s">
        <v>12</v>
      </c>
      <c r="C3" s="227" t="s">
        <v>51</v>
      </c>
      <c r="D3" s="227" t="s">
        <v>13</v>
      </c>
      <c r="E3" s="227" t="s">
        <v>14</v>
      </c>
      <c r="F3" s="226" t="s">
        <v>15</v>
      </c>
      <c r="G3" s="226" t="s">
        <v>25</v>
      </c>
      <c r="H3" s="226" t="s">
        <v>26</v>
      </c>
      <c r="I3" s="226" t="s">
        <v>27</v>
      </c>
      <c r="J3" s="216" t="s">
        <v>33</v>
      </c>
      <c r="K3" s="250"/>
    </row>
    <row r="4" spans="1:12" s="211" customFormat="1" ht="18" customHeight="1" x14ac:dyDescent="0.3">
      <c r="A4" s="218" t="s">
        <v>22</v>
      </c>
      <c r="B4" s="222">
        <v>4159794.3400000036</v>
      </c>
      <c r="C4" s="220">
        <v>44752820.939999998</v>
      </c>
      <c r="D4" s="221"/>
      <c r="E4" s="221">
        <v>442682.71</v>
      </c>
      <c r="F4" s="219">
        <f>B4+C4-D4-E4</f>
        <v>48469932.57</v>
      </c>
      <c r="G4" s="222">
        <f>47101331.36-E4</f>
        <v>46658648.649999999</v>
      </c>
      <c r="H4" s="222">
        <f>G4/F4*100</f>
        <v>96.263077285316712</v>
      </c>
      <c r="I4" s="222">
        <f>F4-G4</f>
        <v>1811283.9200000018</v>
      </c>
      <c r="J4" s="222">
        <f>I4/F4*100</f>
        <v>3.7369227146832849</v>
      </c>
      <c r="K4" s="217"/>
      <c r="L4" s="249"/>
    </row>
    <row r="5" spans="1:12" s="211" customFormat="1" ht="18" customHeight="1" thickBot="1" x14ac:dyDescent="0.35">
      <c r="A5" s="233" t="s">
        <v>23</v>
      </c>
      <c r="B5" s="222">
        <v>15264.089999999851</v>
      </c>
      <c r="C5" s="234">
        <v>9635196.1699999999</v>
      </c>
      <c r="D5" s="228"/>
      <c r="E5" s="223">
        <v>41119.120000000003</v>
      </c>
      <c r="F5" s="219">
        <f>B5+C5-D5-E5</f>
        <v>9609341.1400000006</v>
      </c>
      <c r="G5" s="228">
        <f>8972170.81-E5</f>
        <v>8931051.6900000013</v>
      </c>
      <c r="H5" s="253">
        <f>G5/F5*100</f>
        <v>92.94135320915457</v>
      </c>
      <c r="I5" s="222">
        <f>F5-G5</f>
        <v>678289.44999999925</v>
      </c>
      <c r="J5" s="240">
        <f>I5/F5*100</f>
        <v>7.058646790845426</v>
      </c>
      <c r="K5" s="217"/>
      <c r="L5" s="249"/>
    </row>
    <row r="6" spans="1:12" s="211" customFormat="1" ht="18" customHeight="1" thickTop="1" thickBot="1" x14ac:dyDescent="0.35">
      <c r="A6" s="235" t="s">
        <v>20</v>
      </c>
      <c r="B6" s="236">
        <f>B4+B5</f>
        <v>4175058.4300000034</v>
      </c>
      <c r="C6" s="236">
        <f>SUM(C4:C5)</f>
        <v>54388017.109999999</v>
      </c>
      <c r="D6" s="237"/>
      <c r="E6" s="236">
        <f>SUM(E4:E5)</f>
        <v>483801.83</v>
      </c>
      <c r="F6" s="238">
        <f>SUM(F4:F5)</f>
        <v>58079273.710000001</v>
      </c>
      <c r="G6" s="239">
        <f>SUM(G4:G5)</f>
        <v>55589700.340000004</v>
      </c>
      <c r="H6" s="252">
        <f>G6/F6*100</f>
        <v>95.713490870373349</v>
      </c>
      <c r="I6" s="238">
        <f>SUM(I4:I5)</f>
        <v>2489573.370000001</v>
      </c>
      <c r="J6" s="251">
        <f>I6/F6*100</f>
        <v>4.2865091296266504</v>
      </c>
    </row>
    <row r="7" spans="1:12" s="211" customFormat="1" ht="18" customHeight="1" thickTop="1" x14ac:dyDescent="0.3">
      <c r="C7" s="212"/>
      <c r="D7" s="212"/>
      <c r="E7" s="212"/>
      <c r="F7" s="212"/>
      <c r="G7" s="212"/>
      <c r="H7" s="17"/>
      <c r="I7" s="229"/>
    </row>
    <row r="8" spans="1:12" s="211" customFormat="1" ht="18" customHeight="1" x14ac:dyDescent="0.3">
      <c r="A8" s="230" t="s">
        <v>34</v>
      </c>
      <c r="C8" s="232"/>
      <c r="D8" s="212"/>
      <c r="E8" s="212"/>
      <c r="F8" s="212"/>
      <c r="G8" s="212"/>
      <c r="H8" s="17"/>
      <c r="I8" s="243"/>
      <c r="J8" s="245"/>
      <c r="K8" s="243"/>
      <c r="L8" s="249"/>
    </row>
    <row r="9" spans="1:12" s="211" customFormat="1" ht="18" customHeight="1" x14ac:dyDescent="0.3">
      <c r="A9" s="231" t="s">
        <v>22</v>
      </c>
      <c r="B9" s="211" t="s">
        <v>52</v>
      </c>
      <c r="C9" s="224">
        <f>I4</f>
        <v>1811283.9200000018</v>
      </c>
      <c r="D9" s="212" t="s">
        <v>35</v>
      </c>
      <c r="E9" s="212"/>
      <c r="F9" s="246"/>
      <c r="G9" s="212"/>
      <c r="H9" s="17"/>
      <c r="I9" s="217"/>
      <c r="L9" s="249"/>
    </row>
    <row r="10" spans="1:12" s="211" customFormat="1" ht="18" customHeight="1" x14ac:dyDescent="0.3">
      <c r="A10" s="211">
        <v>1</v>
      </c>
      <c r="B10" s="211" t="s">
        <v>36</v>
      </c>
      <c r="C10" s="232">
        <v>315600.39</v>
      </c>
      <c r="D10" s="212" t="s">
        <v>37</v>
      </c>
      <c r="E10" s="212"/>
      <c r="F10" s="248"/>
      <c r="G10" s="244"/>
      <c r="H10" s="17"/>
      <c r="I10" s="217"/>
    </row>
    <row r="11" spans="1:12" s="211" customFormat="1" ht="16.5" x14ac:dyDescent="0.3">
      <c r="A11" s="211">
        <v>2</v>
      </c>
      <c r="B11" s="211" t="s">
        <v>53</v>
      </c>
      <c r="C11" s="212">
        <v>1495683.53</v>
      </c>
      <c r="D11" s="211" t="s">
        <v>54</v>
      </c>
      <c r="E11" s="212"/>
      <c r="F11" s="212"/>
      <c r="G11" s="212"/>
      <c r="H11" s="17"/>
    </row>
    <row r="12" spans="1:12" s="211" customFormat="1" ht="16.5" x14ac:dyDescent="0.3">
      <c r="C12" s="212"/>
      <c r="D12" s="212"/>
      <c r="E12" s="212"/>
      <c r="F12" s="212"/>
      <c r="G12" s="212"/>
      <c r="H12" s="17"/>
    </row>
    <row r="13" spans="1:12" s="211" customFormat="1" ht="16.5" x14ac:dyDescent="0.3">
      <c r="A13" s="231" t="s">
        <v>23</v>
      </c>
      <c r="B13" s="211" t="s">
        <v>52</v>
      </c>
      <c r="C13" s="224">
        <f>I5</f>
        <v>678289.44999999925</v>
      </c>
      <c r="D13" s="212" t="s">
        <v>35</v>
      </c>
      <c r="E13" s="212"/>
      <c r="F13" s="212"/>
      <c r="G13" s="212"/>
      <c r="H13" s="17"/>
    </row>
    <row r="14" spans="1:12" s="211" customFormat="1" ht="16.5" x14ac:dyDescent="0.3">
      <c r="A14" s="211">
        <v>1</v>
      </c>
      <c r="B14" s="211" t="s">
        <v>53</v>
      </c>
      <c r="C14" s="212">
        <v>666821.22</v>
      </c>
      <c r="D14" s="211" t="s">
        <v>54</v>
      </c>
      <c r="E14" s="212"/>
      <c r="F14" s="212"/>
      <c r="G14" s="212"/>
      <c r="H14" s="17"/>
    </row>
    <row r="15" spans="1:12" s="211" customFormat="1" ht="16.5" x14ac:dyDescent="0.3">
      <c r="A15" s="211">
        <v>2</v>
      </c>
      <c r="B15" s="211" t="s">
        <v>55</v>
      </c>
      <c r="C15" s="212">
        <v>11468.23</v>
      </c>
      <c r="D15" s="212" t="s">
        <v>292</v>
      </c>
      <c r="E15" s="212"/>
      <c r="F15" s="212"/>
      <c r="G15" s="212"/>
      <c r="H15" s="17"/>
    </row>
    <row r="16" spans="1:12" s="211" customFormat="1" ht="16.5" x14ac:dyDescent="0.3">
      <c r="C16" s="212"/>
      <c r="D16" s="212"/>
      <c r="E16" s="212"/>
      <c r="F16" s="212"/>
      <c r="G16" s="212"/>
      <c r="H16" s="17"/>
    </row>
    <row r="17" spans="1:12" s="211" customFormat="1" ht="16.5" x14ac:dyDescent="0.3">
      <c r="C17" s="212"/>
      <c r="D17" s="212"/>
      <c r="E17" s="212"/>
      <c r="F17" s="212"/>
      <c r="G17" s="212"/>
      <c r="H17" s="17"/>
    </row>
    <row r="18" spans="1:12" s="211" customFormat="1" ht="18" customHeight="1" x14ac:dyDescent="0.3">
      <c r="A18" s="213"/>
      <c r="B18" s="213"/>
      <c r="C18" s="214" t="s">
        <v>283</v>
      </c>
      <c r="D18" s="214"/>
      <c r="E18" s="214"/>
      <c r="F18" s="214"/>
      <c r="G18" s="214"/>
      <c r="H18" s="215"/>
      <c r="I18" s="241"/>
      <c r="J18" s="213"/>
    </row>
    <row r="19" spans="1:12" s="211" customFormat="1" ht="18" customHeight="1" thickBot="1" x14ac:dyDescent="0.35">
      <c r="B19" s="212"/>
      <c r="C19" s="212"/>
      <c r="D19" s="212"/>
      <c r="E19" s="212"/>
      <c r="F19" s="212"/>
      <c r="G19" s="212"/>
      <c r="H19" s="17"/>
      <c r="I19" s="242"/>
    </row>
    <row r="20" spans="1:12" s="211" customFormat="1" ht="50.25" thickBot="1" x14ac:dyDescent="0.35">
      <c r="A20" s="225" t="s">
        <v>284</v>
      </c>
      <c r="B20" s="247" t="s">
        <v>12</v>
      </c>
      <c r="C20" s="227" t="s">
        <v>285</v>
      </c>
      <c r="D20" s="227" t="s">
        <v>13</v>
      </c>
      <c r="E20" s="227" t="s">
        <v>14</v>
      </c>
      <c r="F20" s="226" t="s">
        <v>15</v>
      </c>
      <c r="G20" s="226" t="s">
        <v>25</v>
      </c>
      <c r="H20" s="226" t="s">
        <v>26</v>
      </c>
      <c r="I20" s="226" t="s">
        <v>27</v>
      </c>
      <c r="J20" s="216" t="s">
        <v>33</v>
      </c>
      <c r="K20" s="250"/>
    </row>
    <row r="21" spans="1:12" s="211" customFormat="1" ht="18" customHeight="1" x14ac:dyDescent="0.3">
      <c r="A21" s="218" t="s">
        <v>22</v>
      </c>
      <c r="B21" s="222">
        <v>1811283.9200000018</v>
      </c>
      <c r="C21" s="220">
        <v>56424062.729999997</v>
      </c>
      <c r="D21" s="221"/>
      <c r="E21" s="221">
        <v>1654721.84</v>
      </c>
      <c r="F21" s="219">
        <f>B21+C21-D21-E21</f>
        <v>56580624.809999995</v>
      </c>
      <c r="G21" s="222">
        <f>52102259.32-E21</f>
        <v>50447537.479999997</v>
      </c>
      <c r="H21" s="222">
        <f>G21/F21*100</f>
        <v>89.160446088046655</v>
      </c>
      <c r="I21" s="222">
        <f>F21-G21</f>
        <v>6133087.3299999982</v>
      </c>
      <c r="J21" s="222">
        <f>I21/F21*100</f>
        <v>10.839553911953342</v>
      </c>
      <c r="K21" s="217"/>
      <c r="L21" s="249"/>
    </row>
    <row r="22" spans="1:12" s="211" customFormat="1" ht="18" customHeight="1" thickBot="1" x14ac:dyDescent="0.35">
      <c r="A22" s="233" t="s">
        <v>23</v>
      </c>
      <c r="B22" s="222">
        <v>678289.44999999925</v>
      </c>
      <c r="C22" s="234">
        <v>13548199.880000001</v>
      </c>
      <c r="D22" s="228"/>
      <c r="E22" s="223">
        <v>119698.71</v>
      </c>
      <c r="F22" s="219">
        <f>B22+C22-D22-E22</f>
        <v>14106790.619999999</v>
      </c>
      <c r="G22" s="228">
        <f>13935484.91-E22</f>
        <v>13815786.199999999</v>
      </c>
      <c r="H22" s="253">
        <f>G22/F22*100</f>
        <v>97.937132351086106</v>
      </c>
      <c r="I22" s="222">
        <f>F22-G22</f>
        <v>291004.41999999993</v>
      </c>
      <c r="J22" s="240">
        <f>I22/F22*100</f>
        <v>2.0628676489138953</v>
      </c>
      <c r="K22" s="217"/>
      <c r="L22" s="249"/>
    </row>
    <row r="23" spans="1:12" s="211" customFormat="1" ht="18" customHeight="1" thickTop="1" thickBot="1" x14ac:dyDescent="0.35">
      <c r="A23" s="235" t="s">
        <v>20</v>
      </c>
      <c r="B23" s="236">
        <f>B21+B22</f>
        <v>2489573.370000001</v>
      </c>
      <c r="C23" s="236">
        <f>SUM(C21:C22)</f>
        <v>69972262.609999999</v>
      </c>
      <c r="D23" s="237"/>
      <c r="E23" s="236">
        <f>SUM(E21:E22)</f>
        <v>1774420.55</v>
      </c>
      <c r="F23" s="238">
        <f>SUM(F21:F22)</f>
        <v>70687415.429999992</v>
      </c>
      <c r="G23" s="239">
        <f>SUM(G21:G22)</f>
        <v>64263323.679999992</v>
      </c>
      <c r="H23" s="252">
        <f>G23/F23*100</f>
        <v>90.911972504693395</v>
      </c>
      <c r="I23" s="238">
        <f>SUM(I21:I22)</f>
        <v>6424091.7499999981</v>
      </c>
      <c r="J23" s="251">
        <f>I23/F23*100</f>
        <v>9.0880274953065978</v>
      </c>
    </row>
    <row r="24" spans="1:12" s="211" customFormat="1" ht="18" customHeight="1" thickTop="1" x14ac:dyDescent="0.3">
      <c r="C24" s="212"/>
      <c r="D24" s="212"/>
      <c r="E24" s="212"/>
      <c r="F24" s="212"/>
      <c r="G24" s="212"/>
      <c r="H24" s="17"/>
      <c r="I24" s="229"/>
    </row>
    <row r="25" spans="1:12" s="211" customFormat="1" ht="18" customHeight="1" x14ac:dyDescent="0.3">
      <c r="A25" s="230" t="s">
        <v>34</v>
      </c>
      <c r="C25" s="232"/>
      <c r="D25" s="212"/>
      <c r="E25" s="212"/>
      <c r="F25" s="212"/>
      <c r="G25" s="212"/>
      <c r="H25" s="17"/>
      <c r="I25" s="243"/>
      <c r="J25" s="245"/>
      <c r="K25" s="243"/>
      <c r="L25" s="249"/>
    </row>
    <row r="26" spans="1:12" s="211" customFormat="1" ht="18" customHeight="1" x14ac:dyDescent="0.3">
      <c r="A26" s="231" t="s">
        <v>22</v>
      </c>
      <c r="B26" s="211" t="s">
        <v>286</v>
      </c>
      <c r="C26" s="224">
        <f>I21</f>
        <v>6133087.3299999982</v>
      </c>
      <c r="D26" s="212" t="s">
        <v>35</v>
      </c>
      <c r="E26" s="212"/>
      <c r="F26" s="246"/>
      <c r="G26" s="212"/>
      <c r="H26" s="17"/>
      <c r="I26" s="217"/>
      <c r="L26" s="249"/>
    </row>
    <row r="27" spans="1:12" s="211" customFormat="1" ht="18" customHeight="1" x14ac:dyDescent="0.3">
      <c r="A27" s="211">
        <v>1</v>
      </c>
      <c r="B27" s="211" t="s">
        <v>36</v>
      </c>
      <c r="C27" s="232">
        <v>315600.39</v>
      </c>
      <c r="D27" s="212" t="s">
        <v>37</v>
      </c>
      <c r="E27" s="212"/>
      <c r="F27" s="248"/>
      <c r="G27" s="244"/>
      <c r="H27" s="17"/>
      <c r="I27" s="217"/>
    </row>
    <row r="28" spans="1:12" s="211" customFormat="1" ht="18" customHeight="1" x14ac:dyDescent="0.3">
      <c r="A28" s="211">
        <v>2</v>
      </c>
      <c r="B28" s="211" t="s">
        <v>287</v>
      </c>
      <c r="C28" s="232">
        <v>3120.34</v>
      </c>
      <c r="D28" s="212" t="s">
        <v>288</v>
      </c>
      <c r="E28" s="212"/>
      <c r="F28" s="248"/>
      <c r="G28" s="244"/>
      <c r="H28" s="17"/>
      <c r="I28" s="217"/>
    </row>
    <row r="29" spans="1:12" s="211" customFormat="1" ht="16.5" x14ac:dyDescent="0.3">
      <c r="A29" s="211">
        <v>2</v>
      </c>
      <c r="B29" s="211" t="s">
        <v>289</v>
      </c>
      <c r="C29" s="212">
        <v>5814366.5999999996</v>
      </c>
      <c r="D29" s="211" t="s">
        <v>290</v>
      </c>
      <c r="E29" s="212"/>
      <c r="F29" s="212"/>
      <c r="G29" s="212"/>
      <c r="H29" s="17"/>
    </row>
    <row r="30" spans="1:12" s="211" customFormat="1" ht="16.5" x14ac:dyDescent="0.3">
      <c r="C30" s="212"/>
      <c r="D30" s="212"/>
      <c r="E30" s="212"/>
      <c r="F30" s="212"/>
      <c r="G30" s="212"/>
      <c r="H30" s="17"/>
    </row>
    <row r="31" spans="1:12" s="211" customFormat="1" ht="16.5" x14ac:dyDescent="0.3">
      <c r="A31" s="231" t="s">
        <v>23</v>
      </c>
      <c r="B31" s="211" t="s">
        <v>286</v>
      </c>
      <c r="C31" s="224">
        <f>I22</f>
        <v>291004.41999999993</v>
      </c>
      <c r="D31" s="212" t="s">
        <v>35</v>
      </c>
      <c r="E31" s="212"/>
      <c r="F31" s="212"/>
      <c r="G31" s="212"/>
      <c r="H31" s="17"/>
    </row>
    <row r="32" spans="1:12" s="211" customFormat="1" ht="16.5" x14ac:dyDescent="0.3">
      <c r="A32" s="211">
        <v>1</v>
      </c>
      <c r="B32" s="211" t="s">
        <v>291</v>
      </c>
      <c r="C32" s="212">
        <v>291004.42</v>
      </c>
      <c r="D32" s="211" t="s">
        <v>290</v>
      </c>
      <c r="E32" s="212"/>
      <c r="F32" s="212"/>
      <c r="G32" s="212"/>
      <c r="H32" s="17"/>
    </row>
    <row r="33" spans="1:7" ht="20.100000000000001" customHeight="1" x14ac:dyDescent="0.3">
      <c r="D33" s="38"/>
    </row>
    <row r="34" spans="1:7" ht="20.100000000000001" customHeight="1" x14ac:dyDescent="0.3">
      <c r="A34" s="40"/>
      <c r="B34" s="89"/>
      <c r="C34" s="89"/>
    </row>
    <row r="35" spans="1:7" ht="20.100000000000001" customHeight="1" x14ac:dyDescent="0.3">
      <c r="A35" s="41"/>
      <c r="B35" s="89"/>
      <c r="C35" s="89"/>
    </row>
    <row r="36" spans="1:7" ht="20.100000000000001" customHeight="1" x14ac:dyDescent="0.3">
      <c r="A36" s="53"/>
      <c r="B36" s="89"/>
      <c r="C36" s="89"/>
    </row>
    <row r="37" spans="1:7" ht="20.100000000000001" customHeight="1" x14ac:dyDescent="0.3">
      <c r="A37" s="53"/>
      <c r="B37" s="89"/>
      <c r="C37" s="89"/>
    </row>
    <row r="38" spans="1:7" ht="20.100000000000001" customHeight="1" x14ac:dyDescent="0.3">
      <c r="A38" s="53"/>
      <c r="B38" s="89"/>
      <c r="C38" s="89"/>
    </row>
    <row r="39" spans="1:7" ht="20.100000000000001" customHeight="1" x14ac:dyDescent="0.3">
      <c r="A39" s="40"/>
    </row>
    <row r="40" spans="1:7" ht="20.100000000000001" customHeight="1" x14ac:dyDescent="0.3">
      <c r="A40" s="41"/>
    </row>
    <row r="41" spans="1:7" ht="20.100000000000001" customHeight="1" x14ac:dyDescent="0.3">
      <c r="A41" s="53"/>
    </row>
    <row r="45" spans="1:7" ht="20.100000000000001" customHeight="1" x14ac:dyDescent="0.3">
      <c r="A45" s="27"/>
      <c r="B45" s="129"/>
      <c r="C45" s="49"/>
      <c r="D45" s="51"/>
      <c r="E45" s="27"/>
    </row>
    <row r="46" spans="1:7" ht="20.100000000000001" customHeight="1" x14ac:dyDescent="0.3">
      <c r="D46" s="45"/>
    </row>
    <row r="47" spans="1:7" ht="20.100000000000001" customHeight="1" x14ac:dyDescent="0.3">
      <c r="A47" s="66"/>
      <c r="B47" s="66"/>
      <c r="C47" s="66"/>
      <c r="D47" s="66"/>
      <c r="E47" s="58"/>
      <c r="F47" s="72"/>
    </row>
    <row r="48" spans="1:7" ht="20.100000000000001" customHeight="1" x14ac:dyDescent="0.3">
      <c r="A48" s="61"/>
      <c r="B48" s="62"/>
      <c r="C48" s="62"/>
      <c r="D48" s="62"/>
      <c r="E48" s="62"/>
      <c r="F48" s="38"/>
      <c r="G48" s="73"/>
    </row>
    <row r="49" spans="1:7" ht="20.100000000000001" customHeight="1" x14ac:dyDescent="0.3">
      <c r="A49" s="61"/>
      <c r="B49" s="62"/>
      <c r="C49" s="62"/>
      <c r="D49" s="62"/>
      <c r="E49" s="62"/>
      <c r="F49" s="38"/>
      <c r="G49" s="73"/>
    </row>
    <row r="50" spans="1:7" ht="20.100000000000001" customHeight="1" x14ac:dyDescent="0.3">
      <c r="A50" s="54"/>
      <c r="B50" s="62"/>
      <c r="C50" s="62"/>
      <c r="D50" s="62"/>
      <c r="E50" s="62"/>
      <c r="F50" s="38"/>
      <c r="G50" s="73"/>
    </row>
    <row r="51" spans="1:7" ht="20.100000000000001" customHeight="1" x14ac:dyDescent="0.3">
      <c r="A51" s="44"/>
      <c r="B51" s="68"/>
      <c r="C51" s="98"/>
      <c r="D51" s="67"/>
      <c r="E51" s="98"/>
    </row>
    <row r="52" spans="1:7" ht="20.100000000000001" customHeight="1" x14ac:dyDescent="0.3">
      <c r="D52" s="39"/>
    </row>
    <row r="53" spans="1:7" ht="20.100000000000001" customHeight="1" x14ac:dyDescent="0.3">
      <c r="D53" s="39"/>
    </row>
    <row r="54" spans="1:7" ht="20.100000000000001" customHeight="1" x14ac:dyDescent="0.3">
      <c r="D54" s="39"/>
    </row>
    <row r="55" spans="1:7" ht="20.100000000000001" customHeight="1" x14ac:dyDescent="0.3">
      <c r="D55" s="39"/>
    </row>
    <row r="56" spans="1:7" ht="20.100000000000001" customHeight="1" x14ac:dyDescent="0.3">
      <c r="A56" s="40"/>
      <c r="D56" s="47"/>
      <c r="E56" s="48"/>
      <c r="F56" s="47"/>
    </row>
    <row r="57" spans="1:7" ht="20.100000000000001" customHeight="1" x14ac:dyDescent="0.3">
      <c r="A57" s="41"/>
      <c r="D57" s="38"/>
    </row>
    <row r="58" spans="1:7" ht="20.100000000000001" customHeight="1" x14ac:dyDescent="0.3">
      <c r="B58" s="46"/>
      <c r="D58" s="38"/>
    </row>
    <row r="59" spans="1:7" ht="20.100000000000001" customHeight="1" x14ac:dyDescent="0.3">
      <c r="D59" s="38"/>
    </row>
    <row r="60" spans="1:7" ht="20.100000000000001" customHeight="1" x14ac:dyDescent="0.3">
      <c r="D60" s="38"/>
    </row>
    <row r="61" spans="1:7" ht="20.100000000000001" customHeight="1" x14ac:dyDescent="0.3">
      <c r="D61" s="38"/>
    </row>
    <row r="62" spans="1:7" ht="20.100000000000001" customHeight="1" x14ac:dyDescent="0.3">
      <c r="D62" s="38"/>
    </row>
    <row r="63" spans="1:7" ht="20.100000000000001" customHeight="1" x14ac:dyDescent="0.3">
      <c r="D63" s="38"/>
    </row>
    <row r="64" spans="1:7" ht="20.100000000000001" customHeight="1" x14ac:dyDescent="0.3">
      <c r="D64" s="38"/>
    </row>
    <row r="65" spans="1:5" ht="20.100000000000001" customHeight="1" x14ac:dyDescent="0.3">
      <c r="D65" s="38"/>
    </row>
    <row r="66" spans="1:5" ht="20.100000000000001" customHeight="1" x14ac:dyDescent="0.3">
      <c r="B66" s="89"/>
      <c r="D66" s="38"/>
    </row>
    <row r="67" spans="1:5" ht="20.100000000000001" customHeight="1" x14ac:dyDescent="0.3">
      <c r="A67" s="40"/>
      <c r="B67" s="89"/>
      <c r="C67" s="89"/>
    </row>
    <row r="68" spans="1:5" ht="20.100000000000001" customHeight="1" x14ac:dyDescent="0.3">
      <c r="A68" s="41"/>
      <c r="B68" s="89"/>
      <c r="C68" s="89"/>
    </row>
    <row r="69" spans="1:5" ht="20.100000000000001" customHeight="1" x14ac:dyDescent="0.3">
      <c r="A69" s="53"/>
      <c r="B69" s="89"/>
      <c r="C69" s="89"/>
    </row>
    <row r="70" spans="1:5" ht="20.100000000000001" customHeight="1" x14ac:dyDescent="0.3">
      <c r="A70" s="53"/>
      <c r="B70" s="89"/>
      <c r="C70" s="89"/>
    </row>
    <row r="71" spans="1:5" ht="20.100000000000001" customHeight="1" x14ac:dyDescent="0.3">
      <c r="A71" s="53"/>
      <c r="B71" s="89"/>
      <c r="C71" s="89"/>
    </row>
    <row r="72" spans="1:5" ht="20.100000000000001" customHeight="1" x14ac:dyDescent="0.3">
      <c r="A72" s="40"/>
    </row>
    <row r="73" spans="1:5" ht="20.100000000000001" customHeight="1" x14ac:dyDescent="0.3">
      <c r="A73" s="41"/>
    </row>
    <row r="74" spans="1:5" ht="20.100000000000001" customHeight="1" x14ac:dyDescent="0.3">
      <c r="A74" s="53"/>
    </row>
    <row r="75" spans="1:5" ht="20.100000000000001" customHeight="1" x14ac:dyDescent="0.3">
      <c r="A75" s="53"/>
    </row>
    <row r="79" spans="1:5" ht="20.100000000000001" customHeight="1" x14ac:dyDescent="0.3">
      <c r="A79" s="27"/>
      <c r="B79" s="129"/>
      <c r="C79" s="49"/>
      <c r="D79" s="51"/>
      <c r="E79" s="27"/>
    </row>
    <row r="80" spans="1:5" ht="20.100000000000001" customHeight="1" x14ac:dyDescent="0.3">
      <c r="D80" s="45"/>
    </row>
    <row r="81" spans="1:7" ht="20.100000000000001" customHeight="1" x14ac:dyDescent="0.3">
      <c r="A81" s="66"/>
      <c r="B81" s="66"/>
      <c r="C81" s="66"/>
      <c r="D81" s="66"/>
      <c r="E81" s="58"/>
      <c r="F81" s="72"/>
    </row>
    <row r="82" spans="1:7" ht="20.100000000000001" customHeight="1" x14ac:dyDescent="0.3">
      <c r="A82" s="61"/>
      <c r="B82" s="62"/>
      <c r="C82" s="62"/>
      <c r="D82" s="62"/>
      <c r="E82" s="62"/>
      <c r="F82" s="38"/>
      <c r="G82" s="73"/>
    </row>
    <row r="83" spans="1:7" ht="20.100000000000001" customHeight="1" x14ac:dyDescent="0.3">
      <c r="A83" s="61"/>
      <c r="B83" s="62"/>
      <c r="C83" s="62"/>
      <c r="D83" s="62"/>
      <c r="E83" s="62"/>
      <c r="F83" s="38"/>
      <c r="G83" s="73"/>
    </row>
    <row r="84" spans="1:7" ht="20.100000000000001" customHeight="1" x14ac:dyDescent="0.3">
      <c r="A84" s="54"/>
      <c r="B84" s="62"/>
      <c r="C84" s="62"/>
      <c r="D84" s="62"/>
      <c r="E84" s="62"/>
      <c r="F84" s="38"/>
      <c r="G84" s="73"/>
    </row>
    <row r="85" spans="1:7" ht="20.100000000000001" customHeight="1" x14ac:dyDescent="0.3">
      <c r="A85" s="44"/>
      <c r="B85" s="68"/>
      <c r="C85" s="98"/>
      <c r="D85" s="67"/>
      <c r="E85" s="98"/>
    </row>
    <row r="86" spans="1:7" ht="20.100000000000001" customHeight="1" x14ac:dyDescent="0.3">
      <c r="D86" s="39"/>
    </row>
    <row r="87" spans="1:7" ht="20.100000000000001" customHeight="1" x14ac:dyDescent="0.3">
      <c r="A87" s="40"/>
      <c r="D87" s="47"/>
      <c r="E87" s="48"/>
      <c r="F87" s="47"/>
    </row>
    <row r="88" spans="1:7" ht="20.100000000000001" customHeight="1" x14ac:dyDescent="0.3">
      <c r="A88" s="41"/>
      <c r="D88" s="38"/>
    </row>
    <row r="89" spans="1:7" ht="20.100000000000001" customHeight="1" x14ac:dyDescent="0.3">
      <c r="B89" s="46"/>
      <c r="D89" s="38"/>
    </row>
    <row r="90" spans="1:7" ht="20.100000000000001" customHeight="1" x14ac:dyDescent="0.3">
      <c r="D90" s="38"/>
    </row>
    <row r="91" spans="1:7" ht="20.100000000000001" customHeight="1" x14ac:dyDescent="0.3">
      <c r="D91" s="38"/>
    </row>
    <row r="92" spans="1:7" ht="20.100000000000001" customHeight="1" x14ac:dyDescent="0.3">
      <c r="D92" s="38"/>
    </row>
    <row r="93" spans="1:7" ht="20.100000000000001" customHeight="1" x14ac:dyDescent="0.3">
      <c r="D93" s="38"/>
    </row>
    <row r="94" spans="1:7" ht="20.100000000000001" customHeight="1" x14ac:dyDescent="0.3">
      <c r="A94" s="40"/>
      <c r="B94" s="89"/>
      <c r="C94" s="89"/>
    </row>
    <row r="95" spans="1:7" ht="20.100000000000001" customHeight="1" x14ac:dyDescent="0.3">
      <c r="A95" s="41"/>
      <c r="B95" s="89"/>
      <c r="C95" s="89"/>
    </row>
    <row r="96" spans="1:7" ht="20.100000000000001" customHeight="1" x14ac:dyDescent="0.3">
      <c r="A96" s="53"/>
      <c r="B96" s="89"/>
      <c r="C96" s="89"/>
    </row>
    <row r="97" spans="1:7" ht="20.100000000000001" customHeight="1" x14ac:dyDescent="0.3">
      <c r="A97" s="53"/>
      <c r="B97" s="89"/>
      <c r="C97" s="89"/>
    </row>
    <row r="98" spans="1:7" ht="20.100000000000001" customHeight="1" x14ac:dyDescent="0.3">
      <c r="A98" s="53"/>
      <c r="B98" s="89"/>
      <c r="C98" s="89"/>
    </row>
    <row r="101" spans="1:7" ht="20.100000000000001" customHeight="1" x14ac:dyDescent="0.3">
      <c r="A101" s="27"/>
      <c r="B101" s="129"/>
      <c r="C101" s="49"/>
      <c r="D101" s="51"/>
      <c r="E101" s="27"/>
    </row>
    <row r="102" spans="1:7" ht="20.100000000000001" customHeight="1" x14ac:dyDescent="0.3">
      <c r="D102" s="45"/>
    </row>
    <row r="103" spans="1:7" ht="20.100000000000001" customHeight="1" x14ac:dyDescent="0.3">
      <c r="A103" s="66"/>
      <c r="B103" s="66"/>
      <c r="C103" s="66"/>
      <c r="D103" s="66"/>
      <c r="E103" s="58"/>
      <c r="F103" s="72"/>
    </row>
    <row r="104" spans="1:7" ht="20.100000000000001" customHeight="1" x14ac:dyDescent="0.3">
      <c r="A104" s="61"/>
      <c r="B104" s="62"/>
      <c r="C104" s="62"/>
      <c r="D104" s="62"/>
      <c r="E104" s="62"/>
      <c r="F104" s="38"/>
      <c r="G104" s="73"/>
    </row>
    <row r="105" spans="1:7" ht="20.100000000000001" customHeight="1" x14ac:dyDescent="0.3">
      <c r="A105" s="61"/>
      <c r="B105" s="62"/>
      <c r="C105" s="62"/>
      <c r="D105" s="62"/>
      <c r="E105" s="62"/>
      <c r="F105" s="38"/>
      <c r="G105" s="73"/>
    </row>
    <row r="106" spans="1:7" ht="20.100000000000001" customHeight="1" x14ac:dyDescent="0.3">
      <c r="A106" s="54"/>
      <c r="B106" s="62"/>
      <c r="C106" s="62"/>
      <c r="D106" s="62"/>
      <c r="E106" s="62"/>
      <c r="F106" s="38"/>
      <c r="G106" s="73"/>
    </row>
    <row r="107" spans="1:7" ht="20.100000000000001" customHeight="1" x14ac:dyDescent="0.3">
      <c r="A107" s="44"/>
      <c r="B107" s="68"/>
      <c r="C107" s="98"/>
      <c r="D107" s="67"/>
      <c r="E107" s="98"/>
    </row>
    <row r="108" spans="1:7" ht="20.100000000000001" customHeight="1" x14ac:dyDescent="0.3">
      <c r="D108" s="39"/>
    </row>
    <row r="109" spans="1:7" ht="20.100000000000001" customHeight="1" x14ac:dyDescent="0.3">
      <c r="A109" s="40"/>
      <c r="D109" s="47"/>
      <c r="E109" s="48"/>
      <c r="F109" s="47"/>
    </row>
    <row r="110" spans="1:7" ht="20.100000000000001" customHeight="1" x14ac:dyDescent="0.3">
      <c r="A110" s="41"/>
      <c r="D110" s="38"/>
    </row>
    <row r="111" spans="1:7" ht="20.100000000000001" customHeight="1" x14ac:dyDescent="0.3">
      <c r="B111" s="46"/>
      <c r="D111" s="38"/>
    </row>
    <row r="112" spans="1:7" ht="20.100000000000001" customHeight="1" x14ac:dyDescent="0.3">
      <c r="A112" s="41"/>
      <c r="D112" s="38"/>
    </row>
    <row r="113" spans="1:4" ht="20.100000000000001" customHeight="1" x14ac:dyDescent="0.3">
      <c r="D113" s="38"/>
    </row>
    <row r="114" spans="1:4" ht="20.100000000000001" customHeight="1" x14ac:dyDescent="0.3">
      <c r="A114" s="40"/>
    </row>
    <row r="115" spans="1:4" ht="20.100000000000001" customHeight="1" x14ac:dyDescent="0.3">
      <c r="A115" s="41"/>
    </row>
  </sheetData>
  <printOptions horizontalCentered="1"/>
  <pageMargins left="0.3" right="0.3" top="0.7" bottom="0.7" header="0.3" footer="0.3"/>
  <pageSetup scale="49" fitToHeight="0" orientation="landscape" r:id="rId1"/>
  <headerFooter>
    <oddHeader>&amp;F</oddHeader>
    <oddFooter>&amp;A&amp;RPage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zoomScale="90" zoomScaleNormal="90" workbookViewId="0">
      <selection activeCell="J8" sqref="J8"/>
    </sheetView>
  </sheetViews>
  <sheetFormatPr defaultColWidth="13.85546875" defaultRowHeight="16.5" x14ac:dyDescent="0.3"/>
  <cols>
    <col min="1" max="1" width="42.85546875" style="89" customWidth="1"/>
    <col min="2" max="2" width="24" style="89" customWidth="1"/>
    <col min="3" max="3" width="20.7109375" style="89" customWidth="1"/>
    <col min="4" max="8" width="20.7109375" style="90" customWidth="1"/>
    <col min="9" max="9" width="20.7109375" style="17" customWidth="1"/>
    <col min="10" max="11" width="21.140625" style="89" customWidth="1"/>
    <col min="12" max="16384" width="13.85546875" style="89"/>
  </cols>
  <sheetData>
    <row r="1" spans="1:13" s="404" customFormat="1" ht="21.75" customHeight="1" thickBot="1" x14ac:dyDescent="0.3">
      <c r="C1" s="405"/>
      <c r="D1" s="406" t="s">
        <v>196</v>
      </c>
      <c r="E1" s="406"/>
      <c r="F1" s="407"/>
      <c r="G1" s="407"/>
      <c r="H1" s="407"/>
      <c r="I1" s="408"/>
      <c r="J1" s="407"/>
      <c r="K1" s="409"/>
    </row>
    <row r="2" spans="1:13" s="112" customFormat="1" ht="48" thickBot="1" x14ac:dyDescent="0.3">
      <c r="A2" s="410" t="s">
        <v>197</v>
      </c>
      <c r="B2" s="411" t="s">
        <v>69</v>
      </c>
      <c r="C2" s="412" t="s">
        <v>198</v>
      </c>
      <c r="D2" s="413" t="s">
        <v>199</v>
      </c>
      <c r="E2" s="413" t="s">
        <v>200</v>
      </c>
      <c r="F2" s="413" t="s">
        <v>201</v>
      </c>
      <c r="G2" s="411" t="s">
        <v>202</v>
      </c>
      <c r="H2" s="411" t="s">
        <v>16</v>
      </c>
      <c r="I2" s="411" t="s">
        <v>17</v>
      </c>
      <c r="J2" s="411" t="s">
        <v>18</v>
      </c>
      <c r="K2" s="413" t="s">
        <v>203</v>
      </c>
    </row>
    <row r="3" spans="1:13" s="149" customFormat="1" ht="21.75" customHeight="1" x14ac:dyDescent="0.25">
      <c r="A3" s="414" t="s">
        <v>204</v>
      </c>
      <c r="B3" s="415">
        <v>11156456.969999999</v>
      </c>
      <c r="C3" s="416" t="s">
        <v>205</v>
      </c>
      <c r="D3" s="417">
        <v>207343308.36000001</v>
      </c>
      <c r="E3" s="417">
        <v>54520371.629999995</v>
      </c>
      <c r="F3" s="418">
        <v>165832.22999999998</v>
      </c>
      <c r="G3" s="415">
        <f>B3+D3-E3-F3+48709.11-51886.15</f>
        <v>163810384.43000004</v>
      </c>
      <c r="H3" s="418">
        <v>144054330.22999999</v>
      </c>
      <c r="I3" s="419">
        <f>H3/G3*100</f>
        <v>87.939681437935775</v>
      </c>
      <c r="J3" s="419">
        <f>G3-H3</f>
        <v>19756054.200000048</v>
      </c>
      <c r="K3" s="419">
        <f>J3/G3*100</f>
        <v>12.060318562064218</v>
      </c>
    </row>
    <row r="4" spans="1:13" s="149" customFormat="1" ht="21.75" customHeight="1" thickBot="1" x14ac:dyDescent="0.3">
      <c r="A4" s="414" t="s">
        <v>206</v>
      </c>
      <c r="B4" s="420">
        <v>5087760.4200000037</v>
      </c>
      <c r="C4" s="421" t="s">
        <v>207</v>
      </c>
      <c r="D4" s="420">
        <v>51113931.189999998</v>
      </c>
      <c r="E4" s="422">
        <v>22231969.210000001</v>
      </c>
      <c r="F4" s="422">
        <v>5373.96</v>
      </c>
      <c r="G4" s="420">
        <f>B4+D4-E4-F4</f>
        <v>33964348.439999998</v>
      </c>
      <c r="H4" s="422">
        <v>31682848.799999997</v>
      </c>
      <c r="I4" s="419">
        <f>H4/G4*100</f>
        <v>93.282663307878849</v>
      </c>
      <c r="J4" s="419">
        <f>G4-H4</f>
        <v>2281499.6400000006</v>
      </c>
      <c r="K4" s="419">
        <f>J4/G4*100</f>
        <v>6.7173366921211608</v>
      </c>
      <c r="M4" s="423"/>
    </row>
    <row r="5" spans="1:13" s="213" customFormat="1" ht="21.75" customHeight="1" thickTop="1" thickBot="1" x14ac:dyDescent="0.3">
      <c r="A5" s="424" t="s">
        <v>208</v>
      </c>
      <c r="B5" s="425">
        <f>SUM(B3:B4)</f>
        <v>16244217.390000002</v>
      </c>
      <c r="C5" s="426"/>
      <c r="D5" s="425">
        <f>SUM(D3:D4)</f>
        <v>258457239.55000001</v>
      </c>
      <c r="E5" s="425">
        <f>SUM(E3:E4)</f>
        <v>76752340.840000004</v>
      </c>
      <c r="F5" s="425">
        <f>SUM(F3:F4)</f>
        <v>171206.18999999997</v>
      </c>
      <c r="G5" s="425">
        <f>SUM(G3:G4)</f>
        <v>197774732.87000003</v>
      </c>
      <c r="H5" s="425">
        <f>SUM(H3:H4)</f>
        <v>175737179.02999997</v>
      </c>
      <c r="I5" s="427">
        <f>H5/G5*100</f>
        <v>88.857245048342122</v>
      </c>
      <c r="J5" s="425">
        <f>SUM(J3:J4)</f>
        <v>22037553.840000048</v>
      </c>
      <c r="K5" s="427">
        <f>J5/G5*100</f>
        <v>11.142754951657867</v>
      </c>
    </row>
    <row r="6" spans="1:13" s="149" customFormat="1" ht="21.75" customHeight="1" thickTop="1" thickBot="1" x14ac:dyDescent="0.3">
      <c r="A6" s="428" t="s">
        <v>23</v>
      </c>
      <c r="B6" s="429">
        <v>4731597.0500000641</v>
      </c>
      <c r="C6" s="430" t="s">
        <v>205</v>
      </c>
      <c r="D6" s="431">
        <f>6159279.91+44313090.18</f>
        <v>50472370.090000004</v>
      </c>
      <c r="E6" s="431">
        <v>9387662.3200000003</v>
      </c>
      <c r="F6" s="432">
        <v>11047.85</v>
      </c>
      <c r="G6" s="433">
        <f>B6+D6-E6-F6</f>
        <v>45805256.970000066</v>
      </c>
      <c r="H6" s="432">
        <v>39645977.059999995</v>
      </c>
      <c r="I6" s="434">
        <f>H6/G6*100</f>
        <v>86.55333401134709</v>
      </c>
      <c r="J6" s="434">
        <f>G6-H6</f>
        <v>6159279.9100000709</v>
      </c>
      <c r="K6" s="431">
        <f>J6/G6*100</f>
        <v>13.446665988652923</v>
      </c>
    </row>
    <row r="7" spans="1:13" s="213" customFormat="1" ht="21.75" customHeight="1" thickTop="1" thickBot="1" x14ac:dyDescent="0.3">
      <c r="A7" s="424" t="s">
        <v>20</v>
      </c>
      <c r="B7" s="425">
        <f>SUM(B5:B6)</f>
        <v>20975814.440000065</v>
      </c>
      <c r="C7" s="426"/>
      <c r="D7" s="425">
        <f>SUM(D5:D6)</f>
        <v>308929609.63999999</v>
      </c>
      <c r="E7" s="425">
        <f>SUM(E5:E6)</f>
        <v>86140003.159999996</v>
      </c>
      <c r="F7" s="425">
        <f>SUM(F5:F6)</f>
        <v>182254.03999999998</v>
      </c>
      <c r="G7" s="425">
        <f>SUM(G5:G6)</f>
        <v>243579989.84000009</v>
      </c>
      <c r="H7" s="425">
        <f>SUM(H5:H6)</f>
        <v>215383156.08999997</v>
      </c>
      <c r="I7" s="425">
        <f>H7/G7*100</f>
        <v>88.423994200623085</v>
      </c>
      <c r="J7" s="425">
        <f>SUM(J5:J6)</f>
        <v>28196833.750000119</v>
      </c>
      <c r="K7" s="425">
        <f>J7/G7*100</f>
        <v>11.576005799376917</v>
      </c>
    </row>
    <row r="8" spans="1:13" s="213" customFormat="1" ht="11.25" customHeight="1" thickTop="1" x14ac:dyDescent="0.25">
      <c r="B8" s="214"/>
      <c r="C8" s="435"/>
      <c r="D8" s="214"/>
      <c r="E8" s="214"/>
      <c r="F8" s="214"/>
      <c r="G8" s="214"/>
      <c r="H8" s="214"/>
      <c r="I8" s="214"/>
      <c r="J8" s="214"/>
      <c r="K8" s="214"/>
    </row>
    <row r="9" spans="1:13" s="112" customFormat="1" ht="21.75" customHeight="1" x14ac:dyDescent="0.25">
      <c r="A9" s="436" t="s">
        <v>209</v>
      </c>
      <c r="B9" s="112" t="s">
        <v>188</v>
      </c>
      <c r="C9" s="437">
        <v>19756054.199999999</v>
      </c>
      <c r="D9" s="108" t="s">
        <v>210</v>
      </c>
      <c r="E9" s="108"/>
      <c r="F9" s="108"/>
      <c r="G9" s="108"/>
      <c r="H9" s="108"/>
      <c r="I9" s="108"/>
      <c r="J9" s="108">
        <f>2281499.64-J4</f>
        <v>0</v>
      </c>
      <c r="L9" s="438"/>
    </row>
    <row r="10" spans="1:13" s="149" customFormat="1" ht="21.75" customHeight="1" x14ac:dyDescent="0.25">
      <c r="B10" s="149" t="s">
        <v>211</v>
      </c>
      <c r="C10" s="190">
        <v>10076.07</v>
      </c>
      <c r="D10" s="190" t="s">
        <v>24</v>
      </c>
      <c r="E10" s="190" t="s">
        <v>212</v>
      </c>
      <c r="F10" s="190"/>
      <c r="G10" s="190"/>
      <c r="H10" s="190"/>
      <c r="I10" s="190"/>
      <c r="J10" s="148"/>
    </row>
    <row r="11" spans="1:13" s="149" customFormat="1" ht="21.75" customHeight="1" x14ac:dyDescent="0.25">
      <c r="B11" s="149" t="s">
        <v>213</v>
      </c>
      <c r="C11" s="190">
        <v>22741.45</v>
      </c>
      <c r="D11" s="190" t="s">
        <v>24</v>
      </c>
      <c r="E11" s="190" t="s">
        <v>212</v>
      </c>
      <c r="F11" s="190"/>
      <c r="G11" s="190"/>
      <c r="H11" s="190"/>
      <c r="I11" s="190"/>
      <c r="J11" s="148"/>
    </row>
    <row r="12" spans="1:13" s="149" customFormat="1" ht="21.75" customHeight="1" x14ac:dyDescent="0.25">
      <c r="B12" s="149" t="s">
        <v>214</v>
      </c>
      <c r="C12" s="190">
        <v>14965.02</v>
      </c>
      <c r="D12" s="190" t="s">
        <v>24</v>
      </c>
      <c r="E12" s="108"/>
      <c r="F12" s="190"/>
      <c r="G12" s="190"/>
      <c r="H12" s="190"/>
      <c r="I12" s="190"/>
      <c r="J12" s="148"/>
    </row>
    <row r="13" spans="1:13" s="112" customFormat="1" ht="21.75" customHeight="1" x14ac:dyDescent="0.25">
      <c r="B13" s="149" t="s">
        <v>215</v>
      </c>
      <c r="C13" s="190">
        <v>429206.15</v>
      </c>
      <c r="D13" s="190" t="s">
        <v>24</v>
      </c>
      <c r="E13" s="108"/>
      <c r="F13" s="190"/>
      <c r="G13" s="108"/>
      <c r="H13" s="108"/>
      <c r="I13" s="108"/>
      <c r="J13" s="114"/>
    </row>
    <row r="14" spans="1:13" s="112" customFormat="1" ht="21.75" customHeight="1" x14ac:dyDescent="0.25">
      <c r="B14" s="149" t="s">
        <v>216</v>
      </c>
      <c r="C14" s="190">
        <f>C9-C10-C11-C12-C13</f>
        <v>19279065.510000002</v>
      </c>
      <c r="D14" s="190" t="s">
        <v>24</v>
      </c>
      <c r="E14" s="108"/>
      <c r="F14" s="190"/>
      <c r="G14" s="108"/>
      <c r="H14" s="108"/>
      <c r="I14" s="108"/>
      <c r="J14" s="114"/>
    </row>
    <row r="15" spans="1:13" s="112" customFormat="1" ht="21.75" customHeight="1" x14ac:dyDescent="0.25">
      <c r="B15" s="149"/>
      <c r="C15" s="190"/>
      <c r="D15" s="190"/>
      <c r="E15" s="108"/>
      <c r="F15" s="190"/>
      <c r="G15" s="108"/>
      <c r="H15" s="108"/>
      <c r="I15" s="108"/>
      <c r="J15" s="114"/>
    </row>
    <row r="16" spans="1:13" s="112" customFormat="1" ht="21.75" customHeight="1" x14ac:dyDescent="0.25">
      <c r="A16" s="436" t="s">
        <v>217</v>
      </c>
      <c r="B16" s="112" t="s">
        <v>188</v>
      </c>
      <c r="C16" s="437">
        <v>2281499.64</v>
      </c>
      <c r="D16" s="108" t="s">
        <v>24</v>
      </c>
      <c r="G16" s="108"/>
      <c r="H16" s="108"/>
      <c r="I16" s="108"/>
      <c r="J16" s="114"/>
    </row>
    <row r="17" spans="1:13" s="112" customFormat="1" ht="21.75" customHeight="1" x14ac:dyDescent="0.25">
      <c r="B17" s="112" t="s">
        <v>218</v>
      </c>
      <c r="C17" s="108">
        <v>2281499.64</v>
      </c>
      <c r="D17" s="108" t="s">
        <v>24</v>
      </c>
      <c r="E17" s="108" t="s">
        <v>219</v>
      </c>
      <c r="F17" s="108"/>
      <c r="G17" s="108"/>
      <c r="H17" s="108"/>
      <c r="I17" s="108"/>
      <c r="J17" s="114"/>
    </row>
    <row r="18" spans="1:13" s="112" customFormat="1" ht="21.75" customHeight="1" x14ac:dyDescent="0.25">
      <c r="B18" s="149"/>
      <c r="C18" s="437"/>
      <c r="D18" s="108"/>
      <c r="E18" s="108"/>
      <c r="F18" s="108"/>
      <c r="G18" s="108"/>
      <c r="H18" s="108"/>
      <c r="I18" s="108"/>
      <c r="J18" s="114"/>
    </row>
    <row r="19" spans="1:13" s="112" customFormat="1" ht="21.75" customHeight="1" x14ac:dyDescent="0.25">
      <c r="A19" s="436" t="s">
        <v>220</v>
      </c>
      <c r="B19" s="112" t="s">
        <v>188</v>
      </c>
      <c r="C19" s="108">
        <v>6159279.9100000001</v>
      </c>
      <c r="D19" s="108" t="s">
        <v>210</v>
      </c>
      <c r="E19" s="108"/>
      <c r="F19" s="108"/>
      <c r="G19" s="108"/>
      <c r="H19" s="114"/>
    </row>
    <row r="20" spans="1:13" s="112" customFormat="1" ht="21.75" customHeight="1" x14ac:dyDescent="0.25">
      <c r="B20" s="112" t="s">
        <v>221</v>
      </c>
      <c r="C20" s="108">
        <v>6159279.9100000001</v>
      </c>
      <c r="D20" s="108" t="s">
        <v>24</v>
      </c>
      <c r="E20" s="108" t="s">
        <v>222</v>
      </c>
      <c r="F20" s="108"/>
      <c r="G20" s="108"/>
      <c r="H20" s="108"/>
      <c r="I20" s="114"/>
    </row>
    <row r="21" spans="1:13" x14ac:dyDescent="0.3">
      <c r="A21" s="61"/>
      <c r="B21" s="42"/>
      <c r="C21" s="50"/>
      <c r="E21" s="62"/>
      <c r="F21" s="62"/>
      <c r="G21" s="42"/>
      <c r="H21" s="62"/>
      <c r="I21" s="62"/>
      <c r="J21" s="63"/>
      <c r="K21" s="62"/>
    </row>
    <row r="22" spans="1:13" s="74" customFormat="1" ht="21.75" customHeight="1" x14ac:dyDescent="0.25">
      <c r="C22" s="77"/>
      <c r="D22" s="31"/>
      <c r="E22" s="31"/>
      <c r="F22" s="78"/>
      <c r="G22" s="78"/>
      <c r="H22" s="78"/>
      <c r="I22" s="79"/>
      <c r="J22" s="78"/>
      <c r="K22" s="99"/>
    </row>
    <row r="23" spans="1:13" s="18" customFormat="1" x14ac:dyDescent="0.25">
      <c r="A23" s="64"/>
      <c r="B23" s="64"/>
      <c r="C23" s="83"/>
      <c r="D23" s="65"/>
      <c r="E23" s="65"/>
      <c r="F23" s="65"/>
      <c r="G23" s="64"/>
      <c r="H23" s="64"/>
      <c r="I23" s="64"/>
      <c r="J23" s="64"/>
      <c r="K23" s="65"/>
    </row>
    <row r="24" spans="1:13" s="18" customFormat="1" ht="21.75" customHeight="1" x14ac:dyDescent="0.25">
      <c r="B24" s="19"/>
      <c r="C24" s="105"/>
      <c r="D24" s="21"/>
      <c r="E24" s="103"/>
      <c r="F24" s="43"/>
      <c r="G24" s="19"/>
      <c r="H24" s="43"/>
      <c r="I24" s="43"/>
      <c r="J24" s="52"/>
      <c r="K24" s="43"/>
      <c r="M24" s="100"/>
    </row>
    <row r="25" spans="1:13" s="27" customFormat="1" ht="21.75" customHeight="1" x14ac:dyDescent="0.25">
      <c r="B25" s="31"/>
      <c r="C25" s="95"/>
      <c r="D25" s="31"/>
      <c r="E25" s="31"/>
      <c r="F25" s="31"/>
      <c r="G25" s="31"/>
      <c r="H25" s="31"/>
      <c r="I25" s="52"/>
      <c r="J25" s="52"/>
      <c r="K25" s="52"/>
    </row>
    <row r="26" spans="1:13" s="18" customFormat="1" x14ac:dyDescent="0.25">
      <c r="D26" s="21"/>
      <c r="E26" s="21"/>
      <c r="F26" s="21"/>
      <c r="G26" s="21"/>
      <c r="H26" s="21"/>
      <c r="I26" s="22"/>
    </row>
    <row r="27" spans="1:13" s="18" customFormat="1" ht="27.75" customHeight="1" x14ac:dyDescent="0.25">
      <c r="A27" s="76"/>
      <c r="B27" s="27"/>
      <c r="C27" s="27"/>
      <c r="D27" s="31"/>
      <c r="E27" s="31"/>
      <c r="F27" s="31"/>
      <c r="G27" s="31"/>
      <c r="H27" s="21"/>
      <c r="I27" s="21"/>
      <c r="J27" s="21"/>
    </row>
    <row r="28" spans="1:13" s="18" customFormat="1" ht="21.75" customHeight="1" x14ac:dyDescent="0.25">
      <c r="A28" s="75"/>
      <c r="B28" s="27"/>
      <c r="C28" s="27"/>
      <c r="D28" s="31"/>
      <c r="E28" s="31"/>
      <c r="F28" s="31"/>
      <c r="G28" s="31"/>
      <c r="H28" s="21"/>
      <c r="I28" s="21"/>
      <c r="J28" s="21"/>
    </row>
    <row r="29" spans="1:13" s="18" customFormat="1" ht="21.75" customHeight="1" x14ac:dyDescent="0.25">
      <c r="A29" s="75"/>
      <c r="B29" s="27"/>
      <c r="C29" s="27"/>
      <c r="D29" s="31"/>
      <c r="E29" s="31"/>
      <c r="F29" s="31"/>
      <c r="G29" s="31"/>
      <c r="H29" s="21"/>
      <c r="I29" s="21"/>
      <c r="J29" s="21"/>
    </row>
    <row r="30" spans="1:13" s="18" customFormat="1" ht="21.75" customHeight="1" x14ac:dyDescent="0.25">
      <c r="A30" s="76"/>
      <c r="C30" s="101"/>
      <c r="D30" s="21"/>
      <c r="E30" s="21"/>
      <c r="F30" s="21"/>
      <c r="G30" s="21"/>
      <c r="H30" s="21"/>
      <c r="I30" s="21"/>
      <c r="J30" s="22"/>
    </row>
    <row r="31" spans="1:13" s="18" customFormat="1" ht="21.75" customHeight="1" x14ac:dyDescent="0.25">
      <c r="B31" s="25"/>
      <c r="C31" s="101"/>
      <c r="D31" s="21"/>
      <c r="E31" s="19"/>
      <c r="F31" s="19"/>
      <c r="G31" s="21"/>
      <c r="H31" s="21"/>
      <c r="I31" s="21"/>
      <c r="J31" s="22"/>
    </row>
    <row r="32" spans="1:13" s="18" customFormat="1" ht="21.75" customHeight="1" x14ac:dyDescent="0.25">
      <c r="C32" s="101"/>
      <c r="D32" s="21"/>
      <c r="E32" s="19"/>
      <c r="F32" s="19"/>
      <c r="G32" s="21"/>
      <c r="H32" s="21"/>
      <c r="I32" s="21"/>
      <c r="J32" s="22"/>
    </row>
    <row r="33" spans="1:13" s="18" customFormat="1" ht="21.75" customHeight="1" x14ac:dyDescent="0.25">
      <c r="C33" s="101"/>
      <c r="D33" s="21"/>
      <c r="E33" s="21"/>
      <c r="F33" s="19"/>
      <c r="G33" s="21"/>
      <c r="H33" s="21"/>
      <c r="I33" s="21"/>
      <c r="J33" s="22"/>
    </row>
    <row r="34" spans="1:13" s="18" customFormat="1" ht="21.75" customHeight="1" x14ac:dyDescent="0.25">
      <c r="C34" s="101"/>
      <c r="D34" s="21"/>
      <c r="E34" s="21"/>
      <c r="F34" s="19"/>
      <c r="G34" s="21"/>
      <c r="H34" s="21"/>
      <c r="I34" s="21"/>
      <c r="J34" s="22"/>
    </row>
    <row r="35" spans="1:13" s="18" customFormat="1" ht="21.75" customHeight="1" x14ac:dyDescent="0.25">
      <c r="C35" s="101"/>
      <c r="D35" s="21"/>
      <c r="E35" s="21"/>
      <c r="F35" s="19"/>
      <c r="G35" s="21"/>
      <c r="H35" s="21"/>
      <c r="I35" s="21"/>
      <c r="J35" s="22"/>
    </row>
    <row r="36" spans="1:13" s="18" customFormat="1" ht="21.75" customHeight="1" x14ac:dyDescent="0.25">
      <c r="C36" s="101"/>
      <c r="D36" s="21"/>
      <c r="E36" s="21"/>
      <c r="F36" s="19"/>
      <c r="G36" s="21"/>
      <c r="H36" s="21"/>
      <c r="I36" s="21"/>
      <c r="J36" s="22"/>
    </row>
    <row r="37" spans="1:13" s="18" customFormat="1" ht="21.75" customHeight="1" x14ac:dyDescent="0.25">
      <c r="A37" s="76"/>
      <c r="C37" s="101"/>
      <c r="D37" s="21"/>
      <c r="G37" s="21"/>
      <c r="H37" s="21"/>
      <c r="I37" s="21"/>
      <c r="J37" s="22"/>
    </row>
    <row r="38" spans="1:13" s="18" customFormat="1" ht="21.75" customHeight="1" x14ac:dyDescent="0.25">
      <c r="B38" s="25"/>
      <c r="C38" s="101"/>
      <c r="D38" s="21"/>
      <c r="E38" s="21"/>
      <c r="F38" s="21"/>
      <c r="G38" s="21"/>
      <c r="H38" s="21"/>
      <c r="I38" s="21"/>
      <c r="J38" s="22"/>
    </row>
    <row r="39" spans="1:13" s="18" customFormat="1" ht="21.75" customHeight="1" x14ac:dyDescent="0.25">
      <c r="B39" s="25"/>
      <c r="C39" s="101"/>
      <c r="D39" s="21"/>
      <c r="E39" s="21"/>
      <c r="F39" s="21"/>
      <c r="G39" s="21"/>
      <c r="H39" s="21"/>
      <c r="I39" s="21"/>
      <c r="J39" s="22"/>
    </row>
    <row r="40" spans="1:13" s="18" customFormat="1" ht="21.75" customHeight="1" x14ac:dyDescent="0.25">
      <c r="A40" s="76"/>
      <c r="C40" s="21"/>
      <c r="D40" s="21"/>
      <c r="E40" s="21"/>
      <c r="F40" s="21"/>
      <c r="G40" s="21"/>
      <c r="H40" s="22"/>
    </row>
    <row r="41" spans="1:13" s="18" customFormat="1" x14ac:dyDescent="0.25">
      <c r="C41" s="21"/>
      <c r="D41" s="21"/>
      <c r="E41" s="21"/>
      <c r="F41" s="21"/>
      <c r="G41" s="21"/>
      <c r="H41" s="21"/>
      <c r="I41" s="22"/>
    </row>
    <row r="42" spans="1:13" s="18" customFormat="1" x14ac:dyDescent="0.25">
      <c r="D42" s="21"/>
      <c r="E42" s="21"/>
      <c r="F42" s="21"/>
      <c r="G42" s="21"/>
      <c r="H42" s="21"/>
      <c r="I42" s="22"/>
    </row>
    <row r="43" spans="1:13" s="18" customFormat="1" x14ac:dyDescent="0.25">
      <c r="A43" s="82"/>
      <c r="C43" s="21"/>
      <c r="D43" s="21"/>
      <c r="E43" s="21"/>
      <c r="F43" s="21"/>
      <c r="G43" s="21"/>
      <c r="H43" s="22"/>
    </row>
    <row r="44" spans="1:13" s="74" customFormat="1" ht="21.75" customHeight="1" x14ac:dyDescent="0.25">
      <c r="C44" s="77"/>
      <c r="D44" s="31"/>
      <c r="E44" s="31"/>
      <c r="F44" s="78"/>
      <c r="G44" s="78"/>
      <c r="H44" s="78"/>
      <c r="I44" s="79"/>
      <c r="J44" s="78"/>
      <c r="K44" s="99"/>
    </row>
    <row r="45" spans="1:13" s="18" customFormat="1" x14ac:dyDescent="0.25">
      <c r="A45" s="64"/>
      <c r="B45" s="64"/>
      <c r="C45" s="83"/>
      <c r="D45" s="65"/>
      <c r="E45" s="65"/>
      <c r="F45" s="65"/>
      <c r="G45" s="64"/>
      <c r="H45" s="64"/>
      <c r="I45" s="64"/>
      <c r="J45" s="64"/>
      <c r="K45" s="65"/>
    </row>
    <row r="46" spans="1:13" s="18" customFormat="1" ht="21.75" customHeight="1" x14ac:dyDescent="0.25">
      <c r="B46" s="19"/>
      <c r="C46" s="83"/>
      <c r="D46" s="104"/>
      <c r="E46" s="104"/>
      <c r="F46" s="43"/>
      <c r="G46" s="19"/>
      <c r="H46" s="43"/>
      <c r="I46" s="43"/>
      <c r="J46" s="52"/>
      <c r="K46" s="43"/>
    </row>
    <row r="47" spans="1:13" s="18" customFormat="1" ht="21.75" customHeight="1" x14ac:dyDescent="0.25">
      <c r="B47" s="19"/>
      <c r="C47" s="105"/>
      <c r="D47" s="21"/>
      <c r="E47" s="104"/>
      <c r="F47" s="43"/>
      <c r="G47" s="19"/>
      <c r="H47" s="43"/>
      <c r="I47" s="43"/>
      <c r="J47" s="52"/>
      <c r="K47" s="43"/>
      <c r="M47" s="100"/>
    </row>
    <row r="48" spans="1:13" s="27" customFormat="1" ht="21.75" customHeight="1" x14ac:dyDescent="0.25">
      <c r="B48" s="31"/>
      <c r="C48" s="95"/>
      <c r="D48" s="31"/>
      <c r="E48" s="31"/>
      <c r="F48" s="31"/>
      <c r="G48" s="31"/>
      <c r="H48" s="31"/>
      <c r="I48" s="31"/>
      <c r="J48" s="31"/>
      <c r="K48" s="52"/>
    </row>
    <row r="49" spans="1:11" s="18" customFormat="1" ht="21.75" customHeight="1" x14ac:dyDescent="0.25">
      <c r="A49" s="27"/>
      <c r="B49" s="31"/>
      <c r="C49" s="95"/>
      <c r="D49" s="52"/>
      <c r="E49" s="52"/>
      <c r="F49" s="52"/>
      <c r="G49" s="31"/>
      <c r="H49" s="52"/>
      <c r="I49" s="52"/>
      <c r="J49" s="52"/>
      <c r="K49" s="52"/>
    </row>
    <row r="50" spans="1:11" s="27" customFormat="1" ht="21.75" customHeight="1" x14ac:dyDescent="0.25">
      <c r="B50" s="31"/>
      <c r="C50" s="95"/>
      <c r="D50" s="31"/>
      <c r="E50" s="31"/>
      <c r="F50" s="31"/>
      <c r="G50" s="31"/>
      <c r="H50" s="31"/>
      <c r="I50" s="31"/>
      <c r="J50" s="31"/>
      <c r="K50" s="31"/>
    </row>
    <row r="51" spans="1:11" s="18" customFormat="1" x14ac:dyDescent="0.25">
      <c r="D51" s="21"/>
      <c r="E51" s="21"/>
      <c r="F51" s="21"/>
      <c r="G51" s="21"/>
      <c r="H51" s="21"/>
      <c r="I51" s="22"/>
      <c r="J51" s="102"/>
    </row>
    <row r="52" spans="1:11" s="18" customFormat="1" ht="21.75" customHeight="1" x14ac:dyDescent="0.25">
      <c r="A52" s="76"/>
      <c r="C52" s="101"/>
      <c r="D52" s="21"/>
      <c r="E52" s="21"/>
      <c r="F52" s="21"/>
      <c r="G52" s="21"/>
      <c r="H52" s="21"/>
      <c r="I52" s="21"/>
      <c r="J52" s="22"/>
    </row>
    <row r="53" spans="1:11" s="18" customFormat="1" ht="21.75" customHeight="1" x14ac:dyDescent="0.25">
      <c r="B53" s="25"/>
      <c r="C53" s="101"/>
      <c r="D53" s="21"/>
      <c r="E53" s="19"/>
      <c r="F53" s="19"/>
      <c r="G53" s="21"/>
      <c r="H53" s="21"/>
      <c r="I53" s="21"/>
      <c r="J53" s="22"/>
    </row>
    <row r="54" spans="1:11" s="18" customFormat="1" ht="21.75" customHeight="1" x14ac:dyDescent="0.25">
      <c r="C54" s="101"/>
      <c r="D54" s="21"/>
      <c r="E54" s="19"/>
      <c r="F54" s="19"/>
      <c r="G54" s="21"/>
      <c r="H54" s="21"/>
      <c r="I54" s="21"/>
      <c r="J54" s="22"/>
    </row>
    <row r="55" spans="1:11" s="18" customFormat="1" ht="21.75" customHeight="1" x14ac:dyDescent="0.25">
      <c r="C55" s="101"/>
      <c r="D55" s="21"/>
      <c r="E55" s="19"/>
      <c r="F55" s="19"/>
      <c r="G55" s="21"/>
      <c r="H55" s="21"/>
      <c r="I55" s="21"/>
      <c r="J55" s="22"/>
    </row>
    <row r="56" spans="1:11" s="18" customFormat="1" ht="21.75" customHeight="1" x14ac:dyDescent="0.25">
      <c r="C56" s="101"/>
      <c r="D56" s="21"/>
      <c r="E56" s="21"/>
      <c r="F56" s="21"/>
      <c r="G56" s="21"/>
      <c r="H56" s="21"/>
      <c r="I56" s="21"/>
      <c r="J56" s="22"/>
    </row>
    <row r="57" spans="1:11" s="18" customFormat="1" ht="21.75" customHeight="1" x14ac:dyDescent="0.25">
      <c r="C57" s="101"/>
      <c r="D57" s="21"/>
      <c r="E57" s="21"/>
      <c r="F57" s="19"/>
      <c r="G57" s="21"/>
      <c r="H57" s="21"/>
      <c r="I57" s="21"/>
      <c r="J57" s="22"/>
    </row>
    <row r="58" spans="1:11" s="18" customFormat="1" ht="21.75" customHeight="1" x14ac:dyDescent="0.25">
      <c r="A58" s="76"/>
      <c r="C58" s="101"/>
      <c r="D58" s="21"/>
      <c r="G58" s="21"/>
      <c r="H58" s="21"/>
      <c r="I58" s="21"/>
      <c r="J58" s="22"/>
    </row>
    <row r="59" spans="1:11" s="18" customFormat="1" ht="21.75" customHeight="1" x14ac:dyDescent="0.25">
      <c r="B59" s="25"/>
      <c r="C59" s="101"/>
      <c r="D59" s="21"/>
      <c r="E59" s="21"/>
      <c r="F59" s="21"/>
      <c r="G59" s="21"/>
      <c r="H59" s="21"/>
      <c r="I59" s="21"/>
      <c r="J59" s="22"/>
    </row>
    <row r="60" spans="1:11" s="18" customFormat="1" ht="21.75" customHeight="1" x14ac:dyDescent="0.25">
      <c r="B60" s="25"/>
      <c r="C60" s="101"/>
      <c r="D60" s="21"/>
      <c r="E60" s="21"/>
      <c r="F60" s="21"/>
      <c r="G60" s="21"/>
      <c r="H60" s="21"/>
      <c r="I60" s="21"/>
      <c r="J60" s="22"/>
    </row>
    <row r="61" spans="1:11" s="18" customFormat="1" ht="21.75" customHeight="1" x14ac:dyDescent="0.25">
      <c r="A61" s="76"/>
      <c r="C61" s="21"/>
      <c r="D61" s="21"/>
      <c r="E61" s="21"/>
      <c r="F61" s="21"/>
      <c r="G61" s="21"/>
      <c r="H61" s="22"/>
    </row>
    <row r="62" spans="1:11" s="18" customFormat="1" ht="21.95" customHeight="1" x14ac:dyDescent="0.25">
      <c r="C62" s="21"/>
      <c r="D62" s="21"/>
      <c r="E62" s="21"/>
      <c r="F62" s="21"/>
      <c r="G62" s="21"/>
      <c r="H62" s="21"/>
      <c r="I62" s="22"/>
    </row>
    <row r="63" spans="1:11" x14ac:dyDescent="0.3">
      <c r="A63" s="61"/>
      <c r="B63" s="42"/>
      <c r="C63" s="81"/>
      <c r="E63" s="62"/>
      <c r="F63" s="62"/>
      <c r="G63" s="42"/>
      <c r="H63" s="62"/>
      <c r="I63" s="62"/>
      <c r="J63" s="63"/>
      <c r="K63" s="62"/>
    </row>
    <row r="64" spans="1:11" s="18" customFormat="1" x14ac:dyDescent="0.25">
      <c r="B64" s="25"/>
      <c r="C64" s="21"/>
      <c r="D64" s="21"/>
      <c r="E64" s="21"/>
      <c r="F64" s="21"/>
      <c r="G64" s="21"/>
      <c r="H64" s="22"/>
    </row>
    <row r="65" spans="1:12" s="18" customFormat="1" x14ac:dyDescent="0.25">
      <c r="B65" s="25"/>
      <c r="C65" s="21"/>
      <c r="D65" s="21"/>
      <c r="E65" s="21"/>
      <c r="F65" s="21"/>
      <c r="G65" s="21"/>
      <c r="H65" s="22"/>
    </row>
    <row r="66" spans="1:12" s="18" customFormat="1" x14ac:dyDescent="0.25">
      <c r="B66" s="25"/>
      <c r="C66" s="21"/>
      <c r="D66" s="21"/>
      <c r="E66" s="21"/>
      <c r="F66" s="21"/>
      <c r="G66" s="21"/>
      <c r="H66" s="22"/>
    </row>
    <row r="67" spans="1:12" s="18" customFormat="1" x14ac:dyDescent="0.25">
      <c r="A67" s="82"/>
      <c r="C67" s="21"/>
      <c r="D67" s="21"/>
      <c r="E67" s="21"/>
      <c r="F67" s="21"/>
      <c r="G67" s="21"/>
      <c r="H67" s="21"/>
      <c r="I67" s="21"/>
    </row>
    <row r="68" spans="1:12" s="18" customFormat="1" x14ac:dyDescent="0.25">
      <c r="A68" s="82"/>
      <c r="C68" s="21"/>
      <c r="D68" s="21"/>
      <c r="E68" s="21"/>
      <c r="F68" s="21"/>
      <c r="G68" s="21"/>
      <c r="H68" s="22"/>
      <c r="I68" s="33"/>
    </row>
    <row r="69" spans="1:12" s="18" customFormat="1" x14ac:dyDescent="0.25">
      <c r="D69" s="21"/>
      <c r="E69" s="21"/>
      <c r="F69" s="21"/>
      <c r="G69" s="21"/>
      <c r="H69" s="21"/>
      <c r="I69" s="22"/>
    </row>
    <row r="70" spans="1:12" s="18" customFormat="1" x14ac:dyDescent="0.25">
      <c r="A70" s="82"/>
      <c r="C70" s="21"/>
      <c r="D70" s="21"/>
      <c r="E70" s="21"/>
      <c r="F70" s="21"/>
      <c r="G70" s="21"/>
      <c r="H70" s="22"/>
    </row>
    <row r="73" spans="1:12" s="74" customFormat="1" x14ac:dyDescent="0.25">
      <c r="C73" s="77"/>
      <c r="D73" s="31"/>
      <c r="E73" s="31"/>
      <c r="F73" s="78"/>
      <c r="G73" s="78"/>
      <c r="H73" s="78"/>
      <c r="I73" s="79"/>
    </row>
    <row r="74" spans="1:12" s="18" customFormat="1" x14ac:dyDescent="0.25">
      <c r="C74" s="24"/>
      <c r="D74" s="21"/>
      <c r="E74" s="21"/>
      <c r="F74" s="21"/>
      <c r="G74" s="21"/>
      <c r="H74" s="21"/>
      <c r="I74" s="22"/>
    </row>
    <row r="75" spans="1:12" s="18" customFormat="1" x14ac:dyDescent="0.25">
      <c r="A75" s="64"/>
      <c r="B75" s="64"/>
      <c r="C75" s="83"/>
      <c r="D75" s="65"/>
      <c r="E75" s="65"/>
      <c r="F75" s="65"/>
      <c r="G75" s="64"/>
      <c r="H75" s="64"/>
      <c r="I75" s="64"/>
      <c r="J75" s="64"/>
      <c r="K75" s="65"/>
    </row>
    <row r="76" spans="1:12" s="18" customFormat="1" x14ac:dyDescent="0.25">
      <c r="B76" s="19"/>
      <c r="C76" s="83"/>
      <c r="D76" s="21"/>
      <c r="E76" s="43"/>
      <c r="F76" s="43"/>
      <c r="G76" s="19"/>
      <c r="H76" s="43"/>
      <c r="I76" s="43"/>
      <c r="J76" s="52"/>
      <c r="K76" s="43"/>
    </row>
    <row r="77" spans="1:12" s="18" customFormat="1" x14ac:dyDescent="0.25">
      <c r="B77" s="19"/>
      <c r="C77" s="83"/>
      <c r="D77" s="21"/>
      <c r="E77" s="43"/>
      <c r="F77" s="43"/>
      <c r="G77" s="19"/>
      <c r="H77" s="43"/>
      <c r="I77" s="43"/>
      <c r="J77" s="52"/>
      <c r="K77" s="43"/>
    </row>
    <row r="78" spans="1:12" s="27" customFormat="1" x14ac:dyDescent="0.25">
      <c r="B78" s="31"/>
      <c r="C78" s="95"/>
      <c r="D78" s="31"/>
      <c r="E78" s="31"/>
      <c r="F78" s="31"/>
      <c r="G78" s="31"/>
      <c r="H78" s="31"/>
      <c r="I78" s="52"/>
      <c r="J78" s="52"/>
      <c r="K78" s="52"/>
    </row>
    <row r="79" spans="1:12" s="18" customFormat="1" x14ac:dyDescent="0.25">
      <c r="A79" s="64"/>
      <c r="B79" s="84"/>
      <c r="C79" s="83"/>
      <c r="D79" s="65"/>
      <c r="E79" s="65"/>
      <c r="F79" s="80"/>
      <c r="G79" s="64"/>
      <c r="H79" s="64"/>
      <c r="I79" s="64"/>
      <c r="J79" s="64"/>
      <c r="K79" s="65"/>
    </row>
    <row r="80" spans="1:12" s="18" customFormat="1" x14ac:dyDescent="0.25">
      <c r="B80" s="19"/>
      <c r="C80" s="95"/>
      <c r="D80" s="21"/>
      <c r="E80" s="43"/>
      <c r="F80" s="43"/>
      <c r="G80" s="19"/>
      <c r="H80" s="43"/>
      <c r="I80" s="43"/>
      <c r="J80" s="52"/>
      <c r="K80" s="43"/>
      <c r="L80" s="21"/>
    </row>
    <row r="81" spans="1:12" s="18" customFormat="1" x14ac:dyDescent="0.25">
      <c r="B81" s="19"/>
      <c r="C81" s="95"/>
      <c r="D81" s="21"/>
      <c r="E81" s="43"/>
      <c r="F81" s="43"/>
      <c r="G81" s="19"/>
      <c r="H81" s="43"/>
      <c r="I81" s="43"/>
      <c r="J81" s="52"/>
      <c r="K81" s="43"/>
    </row>
    <row r="82" spans="1:12" s="18" customFormat="1" x14ac:dyDescent="0.25">
      <c r="B82" s="19"/>
      <c r="C82" s="95"/>
      <c r="D82" s="21"/>
      <c r="E82" s="19"/>
      <c r="F82" s="43"/>
      <c r="G82" s="19"/>
      <c r="H82" s="43"/>
      <c r="I82" s="43"/>
      <c r="J82" s="52"/>
      <c r="K82" s="43"/>
    </row>
    <row r="83" spans="1:12" s="27" customFormat="1" x14ac:dyDescent="0.25">
      <c r="B83" s="31"/>
      <c r="C83" s="95"/>
      <c r="D83" s="31"/>
      <c r="E83" s="31"/>
      <c r="F83" s="31"/>
      <c r="G83" s="31"/>
      <c r="H83" s="31"/>
      <c r="I83" s="31"/>
      <c r="J83" s="31"/>
      <c r="K83" s="31"/>
    </row>
    <row r="84" spans="1:12" s="18" customFormat="1" x14ac:dyDescent="0.25">
      <c r="D84" s="21"/>
      <c r="E84" s="21"/>
      <c r="F84" s="21"/>
      <c r="G84" s="21"/>
      <c r="H84" s="21"/>
      <c r="I84" s="22"/>
    </row>
    <row r="85" spans="1:12" s="18" customFormat="1" x14ac:dyDescent="0.25">
      <c r="A85" s="64"/>
      <c r="B85" s="64"/>
      <c r="C85" s="83"/>
      <c r="D85" s="65"/>
      <c r="E85" s="65"/>
      <c r="F85" s="65"/>
      <c r="G85" s="64"/>
      <c r="H85" s="64"/>
      <c r="I85" s="64"/>
      <c r="J85" s="64"/>
      <c r="K85" s="65"/>
    </row>
    <row r="86" spans="1:12" s="18" customFormat="1" x14ac:dyDescent="0.25">
      <c r="B86" s="19"/>
      <c r="C86" s="83"/>
      <c r="D86" s="21"/>
      <c r="E86" s="43"/>
      <c r="F86" s="43"/>
      <c r="G86" s="19"/>
      <c r="H86" s="43"/>
      <c r="I86" s="43"/>
      <c r="J86" s="52"/>
      <c r="K86" s="43"/>
    </row>
    <row r="87" spans="1:12" s="18" customFormat="1" x14ac:dyDescent="0.25">
      <c r="B87" s="19"/>
      <c r="C87" s="83"/>
      <c r="D87" s="21"/>
      <c r="E87" s="43"/>
      <c r="F87" s="43"/>
      <c r="G87" s="19"/>
      <c r="H87" s="43"/>
      <c r="I87" s="43"/>
      <c r="J87" s="52"/>
      <c r="K87" s="43"/>
    </row>
    <row r="88" spans="1:12" s="27" customFormat="1" x14ac:dyDescent="0.25">
      <c r="B88" s="31"/>
      <c r="C88" s="95"/>
      <c r="D88" s="31"/>
      <c r="E88" s="31"/>
      <c r="F88" s="31"/>
      <c r="G88" s="31"/>
      <c r="H88" s="31"/>
      <c r="I88" s="52"/>
      <c r="J88" s="52"/>
      <c r="K88" s="52"/>
    </row>
    <row r="89" spans="1:12" s="18" customFormat="1" x14ac:dyDescent="0.25">
      <c r="A89" s="64"/>
      <c r="B89" s="84"/>
      <c r="C89" s="83"/>
      <c r="D89" s="65"/>
      <c r="E89" s="65"/>
      <c r="F89" s="80"/>
      <c r="G89" s="64"/>
      <c r="H89" s="64"/>
      <c r="I89" s="64"/>
      <c r="J89" s="64"/>
      <c r="K89" s="65"/>
    </row>
    <row r="90" spans="1:12" s="18" customFormat="1" x14ac:dyDescent="0.25">
      <c r="B90" s="19"/>
      <c r="C90" s="95"/>
      <c r="D90" s="21"/>
      <c r="E90" s="43"/>
      <c r="F90" s="43"/>
      <c r="G90" s="19"/>
      <c r="H90" s="43"/>
      <c r="I90" s="43"/>
      <c r="J90" s="52"/>
      <c r="K90" s="43"/>
      <c r="L90" s="21"/>
    </row>
    <row r="91" spans="1:12" s="18" customFormat="1" x14ac:dyDescent="0.25">
      <c r="B91" s="19"/>
      <c r="C91" s="95"/>
      <c r="D91" s="21"/>
      <c r="E91" s="43"/>
      <c r="F91" s="43"/>
      <c r="G91" s="19"/>
      <c r="H91" s="43"/>
      <c r="I91" s="43"/>
      <c r="J91" s="52"/>
      <c r="K91" s="43"/>
    </row>
    <row r="92" spans="1:12" s="18" customFormat="1" x14ac:dyDescent="0.25">
      <c r="B92" s="19"/>
      <c r="C92" s="95"/>
      <c r="D92" s="21"/>
      <c r="E92" s="19"/>
      <c r="F92" s="43"/>
      <c r="G92" s="19"/>
      <c r="H92" s="43"/>
      <c r="I92" s="43"/>
      <c r="J92" s="52"/>
      <c r="K92" s="43"/>
    </row>
    <row r="93" spans="1:12" s="27" customFormat="1" x14ac:dyDescent="0.25">
      <c r="B93" s="31"/>
      <c r="C93" s="95"/>
      <c r="D93" s="31"/>
      <c r="E93" s="31"/>
      <c r="F93" s="31"/>
      <c r="G93" s="31"/>
      <c r="H93" s="31"/>
      <c r="I93" s="31"/>
      <c r="J93" s="31"/>
      <c r="K93" s="31"/>
    </row>
    <row r="94" spans="1:12" s="18" customFormat="1" x14ac:dyDescent="0.25">
      <c r="D94" s="21"/>
      <c r="E94" s="21"/>
      <c r="F94" s="21"/>
      <c r="G94" s="21"/>
      <c r="H94" s="21"/>
      <c r="I94" s="22"/>
    </row>
    <row r="95" spans="1:12" s="18" customFormat="1" x14ac:dyDescent="0.25">
      <c r="D95" s="21"/>
      <c r="E95" s="21"/>
      <c r="F95" s="21"/>
      <c r="G95" s="21"/>
      <c r="H95" s="21"/>
      <c r="I95" s="22"/>
    </row>
    <row r="96" spans="1:12" s="18" customFormat="1" x14ac:dyDescent="0.25">
      <c r="A96" s="75"/>
      <c r="D96" s="21"/>
      <c r="E96" s="21"/>
      <c r="F96" s="21"/>
      <c r="G96" s="21"/>
      <c r="H96" s="21"/>
      <c r="I96" s="21"/>
      <c r="J96" s="21"/>
    </row>
    <row r="97" spans="1:10" s="18" customFormat="1" x14ac:dyDescent="0.25">
      <c r="A97" s="75"/>
      <c r="D97" s="21"/>
      <c r="E97" s="21"/>
      <c r="F97" s="21"/>
      <c r="G97" s="21"/>
      <c r="H97" s="21"/>
      <c r="I97" s="21"/>
      <c r="J97" s="21"/>
    </row>
    <row r="98" spans="1:10" s="18" customFormat="1" x14ac:dyDescent="0.25">
      <c r="A98" s="75"/>
      <c r="E98" s="21"/>
      <c r="F98" s="21"/>
      <c r="G98" s="21"/>
      <c r="H98" s="21"/>
      <c r="I98" s="21"/>
      <c r="J98" s="21"/>
    </row>
    <row r="99" spans="1:10" s="18" customFormat="1" x14ac:dyDescent="0.25">
      <c r="A99" s="76"/>
      <c r="C99" s="21"/>
      <c r="D99" s="21"/>
      <c r="E99" s="21"/>
      <c r="F99" s="21"/>
      <c r="G99" s="21"/>
      <c r="H99" s="21"/>
      <c r="I99" s="21"/>
      <c r="J99" s="22"/>
    </row>
    <row r="100" spans="1:10" s="18" customFormat="1" x14ac:dyDescent="0.25">
      <c r="B100" s="25"/>
      <c r="C100" s="19"/>
      <c r="D100" s="21"/>
      <c r="E100" s="19"/>
      <c r="F100" s="19"/>
      <c r="G100" s="21"/>
      <c r="H100" s="21"/>
      <c r="I100" s="21"/>
      <c r="J100" s="22"/>
    </row>
    <row r="101" spans="1:10" s="18" customFormat="1" x14ac:dyDescent="0.25">
      <c r="B101" s="25"/>
      <c r="C101" s="19"/>
      <c r="D101" s="21"/>
      <c r="E101" s="19"/>
      <c r="F101" s="19"/>
      <c r="G101" s="21"/>
      <c r="H101" s="21"/>
      <c r="I101" s="21"/>
      <c r="J101" s="22"/>
    </row>
    <row r="102" spans="1:10" s="18" customFormat="1" x14ac:dyDescent="0.25">
      <c r="B102" s="25"/>
      <c r="C102" s="19"/>
      <c r="D102" s="21"/>
      <c r="E102" s="21"/>
      <c r="F102" s="19"/>
      <c r="G102" s="21"/>
      <c r="H102" s="21"/>
      <c r="I102" s="21"/>
      <c r="J102" s="22"/>
    </row>
    <row r="103" spans="1:10" s="18" customFormat="1" x14ac:dyDescent="0.25">
      <c r="A103" s="76"/>
      <c r="C103" s="21"/>
      <c r="D103" s="21"/>
      <c r="E103" s="21"/>
      <c r="F103" s="21"/>
      <c r="G103" s="21"/>
      <c r="H103" s="21"/>
      <c r="I103" s="21"/>
      <c r="J103" s="22"/>
    </row>
    <row r="104" spans="1:10" s="18" customFormat="1" x14ac:dyDescent="0.25">
      <c r="D104" s="21"/>
      <c r="E104" s="21"/>
      <c r="F104" s="21"/>
      <c r="G104" s="21"/>
      <c r="H104" s="21"/>
      <c r="I104" s="21"/>
      <c r="J104" s="22"/>
    </row>
    <row r="105" spans="1:10" s="18" customFormat="1" x14ac:dyDescent="0.25">
      <c r="A105" s="76"/>
      <c r="C105" s="21"/>
      <c r="D105" s="21"/>
      <c r="E105" s="21"/>
      <c r="F105" s="21"/>
      <c r="G105" s="21"/>
      <c r="H105" s="22"/>
      <c r="I105" s="33"/>
    </row>
    <row r="106" spans="1:10" s="18" customFormat="1" x14ac:dyDescent="0.25">
      <c r="D106" s="21"/>
      <c r="E106" s="21"/>
      <c r="F106" s="21"/>
      <c r="G106" s="21"/>
      <c r="H106" s="21"/>
      <c r="I106" s="22"/>
    </row>
    <row r="107" spans="1:10" s="18" customFormat="1" x14ac:dyDescent="0.25">
      <c r="A107" s="76"/>
      <c r="C107" s="21"/>
      <c r="D107" s="21"/>
      <c r="E107" s="21"/>
      <c r="F107" s="21"/>
      <c r="G107" s="21"/>
      <c r="H107" s="22"/>
    </row>
    <row r="108" spans="1:10" s="18" customFormat="1" x14ac:dyDescent="0.25">
      <c r="D108" s="21"/>
      <c r="E108" s="21"/>
      <c r="F108" s="21"/>
      <c r="G108" s="21"/>
      <c r="H108" s="21"/>
      <c r="I108" s="22"/>
    </row>
  </sheetData>
  <printOptions horizontalCentered="1"/>
  <pageMargins left="0" right="0" top="0.95" bottom="0" header="0" footer="0"/>
  <pageSetup scale="52" fitToHeight="0" orientation="landscape" r:id="rId1"/>
  <headerFooter>
    <oddHeader>&amp;F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</vt:vector>
  </HeadingPairs>
  <TitlesOfParts>
    <vt:vector size="18" baseType="lpstr">
      <vt:lpstr>TOPS</vt:lpstr>
      <vt:lpstr>Foodland</vt:lpstr>
      <vt:lpstr>B2S </vt:lpstr>
      <vt:lpstr>Big-c+MM เมก้า</vt:lpstr>
      <vt:lpstr>CP ALL</vt:lpstr>
      <vt:lpstr>เซ็นทรัล แฟมิลี่มาร์ท</vt:lpstr>
      <vt:lpstr>Makro</vt:lpstr>
      <vt:lpstr>The Mall</vt:lpstr>
      <vt:lpstr>โลตัส</vt:lpstr>
      <vt:lpstr>ไทยC</vt:lpstr>
      <vt:lpstr>Aeon</vt:lpstr>
      <vt:lpstr>วิลล่า</vt:lpstr>
      <vt:lpstr>สหลอร์</vt:lpstr>
      <vt:lpstr>Boot</vt:lpstr>
      <vt:lpstr>CJ</vt:lpstr>
      <vt:lpstr>Watson</vt:lpstr>
      <vt:lpstr>PT</vt:lpstr>
      <vt:lpstr>Chart1</vt:lpstr>
    </vt:vector>
  </TitlesOfParts>
  <Company>Sino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Center-Imjit</dc:creator>
  <cp:lastModifiedBy>Linda</cp:lastModifiedBy>
  <cp:lastPrinted>2021-08-19T09:11:28Z</cp:lastPrinted>
  <dcterms:created xsi:type="dcterms:W3CDTF">2014-09-12T07:49:51Z</dcterms:created>
  <dcterms:modified xsi:type="dcterms:W3CDTF">2022-03-08T06:06:16Z</dcterms:modified>
</cp:coreProperties>
</file>