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4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</sheets>
  <calcPr calcId="144525"/>
  <fileRecoveryPr repairLoad="1"/>
</workbook>
</file>

<file path=xl/calcChain.xml><?xml version="1.0" encoding="utf-8"?>
<calcChain xmlns="http://schemas.openxmlformats.org/spreadsheetml/2006/main"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C28" i="6"/>
  <c r="G27" i="6"/>
  <c r="E27" i="6"/>
  <c r="D27" i="6"/>
  <c r="C27" i="6"/>
  <c r="G26" i="6"/>
  <c r="G29" i="6" s="1"/>
  <c r="E26" i="6"/>
  <c r="E29" i="6" s="1"/>
  <c r="D26" i="6"/>
  <c r="D29" i="6" s="1"/>
  <c r="C26" i="6"/>
  <c r="C29" i="5"/>
  <c r="D29" i="5"/>
  <c r="E29" i="5"/>
  <c r="G29" i="5"/>
  <c r="G28" i="5"/>
  <c r="G27" i="5"/>
  <c r="G26" i="5"/>
  <c r="E26" i="5"/>
  <c r="E27" i="5"/>
  <c r="E28" i="5"/>
  <c r="D28" i="5"/>
  <c r="D27" i="5"/>
  <c r="D26" i="5"/>
  <c r="C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T15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T16" i="5"/>
  <c r="V16" i="5"/>
  <c r="V17" i="5"/>
  <c r="V15" i="5"/>
  <c r="U13" i="5"/>
  <c r="U12" i="5"/>
  <c r="U11" i="5"/>
  <c r="V12" i="5"/>
  <c r="V13" i="5"/>
  <c r="V11" i="5"/>
  <c r="T13" i="5"/>
  <c r="T12" i="5"/>
  <c r="T11" i="5"/>
  <c r="U5" i="5"/>
  <c r="U4" i="5"/>
  <c r="U3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G8" i="7" l="1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<sst xmlns="http://schemas.openxmlformats.org/spreadsheetml/2006/main" count="355" uniqueCount="108">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</sst>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26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3" borderId="2" xfId="2" applyFon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3" borderId="20" xfId="2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3" borderId="13" xfId="2" applyFont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3" borderId="14" xfId="2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3" borderId="15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3" borderId="16" xfId="2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0" fontId="11" fillId="3" borderId="2" xfId="2" applyFont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1" fillId="3" borderId="4" xfId="2" applyFont="1" applyBorder="1" applyAlignment="1">
      <alignment horizontal="center" vertical="center" wrapText="1"/>
    </xf>
    <xf numFmtId="0" fontId="8" fillId="0" borderId="25" xfId="0" applyFont="1" applyBorder="1" applyAlignment="1">
      <alignment horizontal="right" vertical="center" wrapText="1"/>
    </xf>
    <xf numFmtId="0" fontId="8" fillId="0" borderId="32" xfId="0" applyFont="1" applyBorder="1" applyAlignment="1">
      <alignment horizontal="center" vertical="center" wrapText="1"/>
    </xf>
    <xf numFmtId="0" fontId="11" fillId="3" borderId="20" xfId="2" applyFont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Fill="1" applyBorder="1" applyAlignment="1">
      <alignment horizontal="center" vertical="center" wrapText="1"/>
    </xf>
    <xf numFmtId="0" fontId="11" fillId="3" borderId="13" xfId="2" applyFont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1" fillId="3" borderId="14" xfId="2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1" fillId="3" borderId="15" xfId="2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0" fontId="11" fillId="3" borderId="16" xfId="2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3" borderId="7" xfId="2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4" borderId="3" xfId="1" applyFont="1" applyFill="1" applyBorder="1" applyAlignment="1">
      <alignment horizontal="center" vertical="center" wrapText="1"/>
    </xf>
    <xf numFmtId="0" fontId="5" fillId="3" borderId="2" xfId="2" applyFont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5" fillId="3" borderId="20" xfId="2" applyFont="1" applyBorder="1" applyAlignment="1">
      <alignment vertical="center" wrapText="1"/>
    </xf>
    <xf numFmtId="0" fontId="12" fillId="4" borderId="10" xfId="1" applyFont="1" applyFill="1" applyBorder="1" applyAlignment="1">
      <alignment horizontal="center" vertical="center" wrapText="1"/>
    </xf>
    <xf numFmtId="0" fontId="5" fillId="3" borderId="13" xfId="2" applyFont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 wrapText="1"/>
    </xf>
    <xf numFmtId="0" fontId="5" fillId="3" borderId="23" xfId="2" applyFont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5" fillId="3" borderId="30" xfId="2" applyFont="1" applyBorder="1" applyAlignment="1">
      <alignment horizontal="center" vertical="center" wrapText="1"/>
    </xf>
    <xf numFmtId="164" fontId="12" fillId="0" borderId="14" xfId="2" applyNumberFormat="1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horizontal="center" vertical="center" wrapText="1"/>
    </xf>
    <xf numFmtId="0" fontId="5" fillId="3" borderId="9" xfId="2" applyFont="1" applyBorder="1" applyAlignment="1">
      <alignment horizontal="center" vertical="center" wrapText="1"/>
    </xf>
    <xf numFmtId="0" fontId="5" fillId="3" borderId="14" xfId="2" applyFont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5" fillId="3" borderId="24" xfId="2" applyFont="1" applyBorder="1" applyAlignment="1">
      <alignment horizontal="center" vertical="center" wrapText="1"/>
    </xf>
    <xf numFmtId="0" fontId="5" fillId="3" borderId="4" xfId="2" applyFont="1" applyBorder="1" applyAlignment="1">
      <alignment horizontal="center" vertical="center" wrapText="1"/>
    </xf>
    <xf numFmtId="164" fontId="12" fillId="0" borderId="7" xfId="2" applyNumberFormat="1" applyFont="1" applyFill="1" applyBorder="1" applyAlignment="1">
      <alignment horizontal="center" vertical="center" wrapText="1"/>
    </xf>
    <xf numFmtId="0" fontId="5" fillId="3" borderId="7" xfId="2" applyFont="1" applyBorder="1" applyAlignment="1">
      <alignment horizontal="center" vertical="center" wrapText="1"/>
    </xf>
    <xf numFmtId="164" fontId="12" fillId="0" borderId="24" xfId="2" applyNumberFormat="1" applyFont="1" applyFill="1" applyBorder="1" applyAlignment="1">
      <alignment horizontal="center" vertical="center" wrapText="1"/>
    </xf>
    <xf numFmtId="0" fontId="5" fillId="3" borderId="5" xfId="2" applyFont="1" applyBorder="1" applyAlignment="1">
      <alignment horizontal="center" vertical="center" wrapText="1"/>
    </xf>
    <xf numFmtId="0" fontId="5" fillId="3" borderId="15" xfId="2" applyFont="1" applyBorder="1" applyAlignment="1">
      <alignment horizontal="center" vertical="center" wrapText="1"/>
    </xf>
    <xf numFmtId="0" fontId="5" fillId="3" borderId="16" xfId="2" applyFont="1" applyBorder="1" applyAlignment="1">
      <alignment horizontal="center" vertical="center" wrapText="1"/>
    </xf>
    <xf numFmtId="11" fontId="8" fillId="0" borderId="6" xfId="0" applyNumberFormat="1" applyFont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2" fillId="0" borderId="30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7" fillId="3" borderId="24" xfId="2" applyFont="1" applyBorder="1" applyAlignment="1">
      <alignment horizontal="center" vertical="center" wrapText="1"/>
    </xf>
    <xf numFmtId="0" fontId="7" fillId="3" borderId="33" xfId="2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3" borderId="30" xfId="2" applyFont="1" applyBorder="1" applyAlignment="1">
      <alignment horizontal="center" vertical="center" wrapText="1"/>
    </xf>
    <xf numFmtId="0" fontId="7" fillId="3" borderId="9" xfId="2" applyFont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center" vertical="center" wrapText="1"/>
    </xf>
    <xf numFmtId="0" fontId="7" fillId="0" borderId="36" xfId="1" applyFont="1" applyFill="1" applyBorder="1" applyAlignment="1">
      <alignment horizontal="center" vertical="center" wrapText="1"/>
    </xf>
    <xf numFmtId="0" fontId="7" fillId="3" borderId="37" xfId="2" applyFont="1" applyBorder="1" applyAlignment="1">
      <alignment horizontal="center" vertical="center" wrapText="1"/>
    </xf>
    <xf numFmtId="0" fontId="7" fillId="3" borderId="38" xfId="2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2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21" xfId="0" applyNumberFormat="1" applyFont="1" applyFill="1" applyBorder="1" applyAlignment="1">
      <alignment horizontal="center" vertical="center" wrapText="1"/>
    </xf>
    <xf numFmtId="164" fontId="7" fillId="0" borderId="43" xfId="0" applyNumberFormat="1" applyFont="1" applyFill="1" applyBorder="1" applyAlignment="1">
      <alignment horizontal="center" vertical="center" wrapText="1"/>
    </xf>
    <xf numFmtId="0" fontId="7" fillId="3" borderId="23" xfId="2" applyFont="1" applyBorder="1" applyAlignment="1">
      <alignment horizontal="center" vertical="center" wrapText="1"/>
    </xf>
    <xf numFmtId="0" fontId="7" fillId="3" borderId="41" xfId="2" applyFont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2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39" xfId="2" applyFont="1" applyFill="1" applyBorder="1" applyAlignment="1">
      <alignment horizontal="center" vertical="center" wrapText="1"/>
    </xf>
    <xf numFmtId="0" fontId="12" fillId="0" borderId="40" xfId="2" applyFont="1" applyFill="1" applyBorder="1" applyAlignment="1">
      <alignment horizontal="center" vertical="center" wrapText="1"/>
    </xf>
    <xf numFmtId="0" fontId="5" fillId="3" borderId="44" xfId="2" applyFont="1" applyBorder="1" applyAlignment="1">
      <alignment horizontal="center" vertical="center" wrapText="1"/>
    </xf>
    <xf numFmtId="0" fontId="5" fillId="3" borderId="46" xfId="2" applyFont="1" applyBorder="1" applyAlignment="1">
      <alignment horizontal="center" vertical="center" wrapText="1"/>
    </xf>
    <xf numFmtId="0" fontId="5" fillId="3" borderId="47" xfId="2" applyFont="1" applyBorder="1" applyAlignment="1">
      <alignment horizontal="center" vertical="center" wrapText="1"/>
    </xf>
    <xf numFmtId="0" fontId="5" fillId="3" borderId="48" xfId="2" applyFont="1" applyBorder="1" applyAlignment="1">
      <alignment horizontal="center" vertical="center" wrapText="1"/>
    </xf>
    <xf numFmtId="0" fontId="5" fillId="3" borderId="12" xfId="2" applyFont="1" applyBorder="1" applyAlignment="1">
      <alignment horizontal="center" vertical="center" wrapText="1"/>
    </xf>
    <xf numFmtId="0" fontId="5" fillId="3" borderId="49" xfId="2" applyFont="1" applyBorder="1" applyAlignment="1">
      <alignment horizontal="center" vertical="center" wrapText="1"/>
    </xf>
    <xf numFmtId="0" fontId="5" fillId="3" borderId="50" xfId="2" applyFont="1" applyBorder="1" applyAlignment="1">
      <alignment horizontal="center" vertical="center" wrapText="1"/>
    </xf>
    <xf numFmtId="0" fontId="5" fillId="3" borderId="51" xfId="2" applyFont="1" applyBorder="1" applyAlignment="1">
      <alignment horizontal="center" vertical="center" wrapText="1"/>
    </xf>
    <xf numFmtId="0" fontId="12" fillId="0" borderId="44" xfId="2" applyFont="1" applyFill="1" applyBorder="1" applyAlignment="1">
      <alignment horizontal="center" vertical="center" wrapText="1"/>
    </xf>
    <xf numFmtId="0" fontId="12" fillId="0" borderId="52" xfId="2" applyFont="1" applyFill="1" applyBorder="1" applyAlignment="1">
      <alignment horizontal="center" vertical="center" wrapText="1"/>
    </xf>
    <xf numFmtId="0" fontId="12" fillId="0" borderId="48" xfId="2" applyFont="1" applyFill="1" applyBorder="1" applyAlignment="1">
      <alignment horizontal="center"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38" xfId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12" fillId="0" borderId="31" xfId="2" applyFont="1" applyFill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45" xfId="2" applyFont="1" applyBorder="1" applyAlignment="1">
      <alignment horizontal="center" vertical="center" wrapText="1"/>
    </xf>
    <xf numFmtId="0" fontId="5" fillId="3" borderId="31" xfId="2" applyFont="1" applyBorder="1" applyAlignment="1">
      <alignment horizontal="center" vertical="center" wrapText="1"/>
    </xf>
    <xf numFmtId="0" fontId="5" fillId="3" borderId="40" xfId="2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12" fillId="0" borderId="47" xfId="2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 wrapText="1"/>
    </xf>
    <xf numFmtId="0" fontId="12" fillId="0" borderId="33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66368"/>
        <c:axId val="169868672"/>
      </c:lineChart>
      <c:catAx>
        <c:axId val="1698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68672"/>
        <c:crosses val="autoZero"/>
        <c:auto val="1"/>
        <c:lblAlgn val="ctr"/>
        <c:lblOffset val="100"/>
        <c:noMultiLvlLbl val="0"/>
      </c:catAx>
      <c:valAx>
        <c:axId val="1698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6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9232"/>
        <c:axId val="178640768"/>
      </c:lineChart>
      <c:catAx>
        <c:axId val="1786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40768"/>
        <c:crosses val="autoZero"/>
        <c:auto val="1"/>
        <c:lblAlgn val="ctr"/>
        <c:lblOffset val="100"/>
        <c:noMultiLvlLbl val="0"/>
      </c:catAx>
      <c:valAx>
        <c:axId val="1786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35040"/>
        <c:axId val="229083008"/>
      </c:lineChart>
      <c:catAx>
        <c:axId val="1745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083008"/>
        <c:crosses val="autoZero"/>
        <c:auto val="1"/>
        <c:lblAlgn val="ctr"/>
        <c:lblOffset val="100"/>
        <c:noMultiLvlLbl val="0"/>
      </c:catAx>
      <c:valAx>
        <c:axId val="2290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52224"/>
        <c:axId val="170058112"/>
      </c:lineChart>
      <c:catAx>
        <c:axId val="170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58112"/>
        <c:crosses val="autoZero"/>
        <c:auto val="1"/>
        <c:lblAlgn val="ctr"/>
        <c:lblOffset val="100"/>
        <c:noMultiLvlLbl val="0"/>
      </c:catAx>
      <c:valAx>
        <c:axId val="170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83360"/>
        <c:axId val="171584896"/>
      </c:lineChart>
      <c:catAx>
        <c:axId val="1715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584896"/>
        <c:crosses val="autoZero"/>
        <c:auto val="1"/>
        <c:lblAlgn val="ctr"/>
        <c:lblOffset val="100"/>
        <c:noMultiLvlLbl val="0"/>
      </c:catAx>
      <c:valAx>
        <c:axId val="1715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51296"/>
        <c:axId val="169752832"/>
      </c:lineChart>
      <c:catAx>
        <c:axId val="1697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752832"/>
        <c:crosses val="autoZero"/>
        <c:auto val="1"/>
        <c:lblAlgn val="ctr"/>
        <c:lblOffset val="100"/>
        <c:noMultiLvlLbl val="0"/>
      </c:catAx>
      <c:valAx>
        <c:axId val="169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8704"/>
        <c:axId val="172650496"/>
      </c:lineChart>
      <c:catAx>
        <c:axId val="1726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50496"/>
        <c:crosses val="autoZero"/>
        <c:auto val="1"/>
        <c:lblAlgn val="ctr"/>
        <c:lblOffset val="100"/>
        <c:noMultiLvlLbl val="0"/>
      </c:catAx>
      <c:valAx>
        <c:axId val="1726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76224"/>
        <c:axId val="172677760"/>
      </c:lineChart>
      <c:catAx>
        <c:axId val="1726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77760"/>
        <c:crosses val="autoZero"/>
        <c:auto val="1"/>
        <c:lblAlgn val="ctr"/>
        <c:lblOffset val="100"/>
        <c:noMultiLvlLbl val="0"/>
      </c:catAx>
      <c:valAx>
        <c:axId val="172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6496"/>
        <c:axId val="174188032"/>
      </c:lineChart>
      <c:catAx>
        <c:axId val="174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88032"/>
        <c:crosses val="autoZero"/>
        <c:auto val="1"/>
        <c:lblAlgn val="ctr"/>
        <c:lblOffset val="100"/>
        <c:noMultiLvlLbl val="0"/>
      </c:catAx>
      <c:valAx>
        <c:axId val="1741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55" bestFit="1" customWidth="1"/>
    <col min="4" max="4" width="12.375" style="55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41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135">
        <f t="shared" ref="G2:G17" si="2">-F2*D2/E2</f>
        <v>-0.20428210527228444</v>
      </c>
      <c r="H2" s="5">
        <v>-0.20428210527228499</v>
      </c>
      <c r="I2" s="135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36">
        <f>-1/12*C2*D2/(D2*D2+C2*C2)^2</f>
        <v>-0.17714505627851754</v>
      </c>
      <c r="N2" s="137">
        <f>-1/0.96*(1-0.04*(C2*C2-D2*D2)/(C2*C2+D2*D2)^2)</f>
        <v>-0.95388437356372024</v>
      </c>
      <c r="O2" s="137">
        <f>1/0.96*(1-0.04*(D2*D2-C2*C2)/(C2*C2+D2*D2)^2)</f>
        <v>1.1294489597696131</v>
      </c>
      <c r="P2" s="138">
        <f>1/12*C2*D2/(C2*C2+D2*D2)^2</f>
        <v>0.17714505627851754</v>
      </c>
      <c r="Q2" s="28" t="s">
        <v>14</v>
      </c>
      <c r="R2" s="44">
        <v>3.3595399356690099E-2</v>
      </c>
      <c r="S2" s="44"/>
      <c r="T2" s="139">
        <f>1/R2*(T3+T4+T5)</f>
        <v>-0.19877589823901198</v>
      </c>
    </row>
    <row r="3" spans="1:20" x14ac:dyDescent="0.25">
      <c r="A3" s="42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140">
        <f t="shared" si="2"/>
        <v>-0.16216872249202571</v>
      </c>
      <c r="H3" s="30">
        <v>-0.16550532334783899</v>
      </c>
      <c r="I3" s="14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41"/>
      <c r="N3" s="142"/>
      <c r="O3" s="142"/>
      <c r="P3" s="143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42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140">
        <f t="shared" si="2"/>
        <v>-0.27658089262435981</v>
      </c>
      <c r="H4" s="30">
        <v>-0.28036301903320698</v>
      </c>
      <c r="I4" s="14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41">
        <v>-0.35902692542820103</v>
      </c>
      <c r="N4" s="39">
        <v>-1.0914897024077701</v>
      </c>
      <c r="O4" s="39">
        <v>1.0420345935290301</v>
      </c>
      <c r="P4" s="49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43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144">
        <f t="shared" si="2"/>
        <v>-0.18840814964560751</v>
      </c>
      <c r="H5" s="34">
        <v>-0.186890036839577</v>
      </c>
      <c r="I5" s="144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145"/>
      <c r="N5" s="51"/>
      <c r="O5" s="51"/>
      <c r="P5" s="50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45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135">
        <f t="shared" si="2"/>
        <v>-0.32381677002027243</v>
      </c>
      <c r="H6" s="5">
        <v>-0.32381677002027298</v>
      </c>
      <c r="I6" s="135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146">
        <f>-1/12*C6*D6/(D6*D6+C6*C6)^2</f>
        <v>0.18139049879196079</v>
      </c>
      <c r="N6" s="137">
        <f>-1/0.96*(1-0.04*(C6*C6-D6*D6)/(C6*C6+D6*D6)^2)</f>
        <v>-1.1173271853216982</v>
      </c>
      <c r="O6" s="137">
        <f>1/0.96*(1-0.04*(D6*D6-C6*C6)/(C6*C6+D6*D6)^2)</f>
        <v>0.9660061480116352</v>
      </c>
      <c r="P6" s="147">
        <f>1/12*C6*D6/(C6*C6+D6*D6)^2</f>
        <v>-0.18139049879196079</v>
      </c>
      <c r="Q6" s="28" t="s">
        <v>14</v>
      </c>
      <c r="R6" s="44">
        <v>2.6627499572263999E-2</v>
      </c>
      <c r="S6" s="44"/>
      <c r="T6" s="139">
        <f>1/R6*(T7+T8+T9)</f>
        <v>0.18808304853988989</v>
      </c>
    </row>
    <row r="7" spans="1:20" x14ac:dyDescent="0.25">
      <c r="A7" s="46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140">
        <f t="shared" si="2"/>
        <v>-0.2904093151416155</v>
      </c>
      <c r="H7" s="30">
        <v>-0.28593827105208802</v>
      </c>
      <c r="I7" s="140">
        <f t="shared" si="3"/>
        <v>-0.14036598958886173</v>
      </c>
      <c r="J7" s="30">
        <v>-0.138355555756211</v>
      </c>
      <c r="K7" s="16">
        <f t="shared" si="4"/>
        <v>1.5395663487402982</v>
      </c>
      <c r="L7" s="148">
        <f t="shared" si="5"/>
        <v>1.432279883851767</v>
      </c>
      <c r="M7" s="149"/>
      <c r="N7" s="142"/>
      <c r="O7" s="142"/>
      <c r="P7" s="150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46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140">
        <f t="shared" si="2"/>
        <v>-0.40108631501427566</v>
      </c>
      <c r="H8" s="30">
        <v>-0.40429607018823599</v>
      </c>
      <c r="I8" s="14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52">
        <v>0.107045965641376</v>
      </c>
      <c r="N8" s="39">
        <v>-1.4426364972369801</v>
      </c>
      <c r="O8" s="39">
        <v>0.67080947092479504</v>
      </c>
      <c r="P8" s="151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47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152">
        <f t="shared" si="2"/>
        <v>-0.32628581609491575</v>
      </c>
      <c r="H9" s="31">
        <v>-0.33197781017418099</v>
      </c>
      <c r="I9" s="152">
        <f t="shared" si="3"/>
        <v>-0.29946155525240337</v>
      </c>
      <c r="J9" s="31">
        <v>-0.29734169037084901</v>
      </c>
      <c r="K9" s="16">
        <f t="shared" si="4"/>
        <v>1.7444810036147733</v>
      </c>
      <c r="L9" s="148">
        <f t="shared" si="5"/>
        <v>0.70789216324199367</v>
      </c>
      <c r="M9" s="53"/>
      <c r="N9" s="51"/>
      <c r="O9" s="51"/>
      <c r="P9" s="153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41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135">
        <f t="shared" si="2"/>
        <v>0.32131273994925069</v>
      </c>
      <c r="H10" s="5">
        <v>0.32131273994925003</v>
      </c>
      <c r="I10" s="135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146">
        <f>-1/12*C10*D10/(D10*D10+C10*C10)^2</f>
        <v>-0.18335935345765342</v>
      </c>
      <c r="N10" s="137">
        <f>-1/0.96*(1-0.04*(C10*C10-D10*D10)/(C10*C10+D10*D10)^2)</f>
        <v>-1.119777714966725</v>
      </c>
      <c r="O10" s="137">
        <f>1/0.96*(1-0.04*(D10*D10-C10*C10)/(C10*C10+D10*D10)^2)</f>
        <v>0.96355561836660841</v>
      </c>
      <c r="P10" s="154">
        <f>1/12*C10*D10/(C10*C10+D10*D10)^2</f>
        <v>0.18335935345765342</v>
      </c>
      <c r="Q10" s="28" t="s">
        <v>14</v>
      </c>
      <c r="R10" s="44">
        <v>2.6392541544123901E-2</v>
      </c>
      <c r="S10" s="44"/>
      <c r="T10" s="139">
        <f>1/R10*(T11+T12+T13)</f>
        <v>-0.1911334874233169</v>
      </c>
    </row>
    <row r="11" spans="1:20" x14ac:dyDescent="0.25">
      <c r="A11" s="42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140">
        <f t="shared" si="2"/>
        <v>0.39875798777943838</v>
      </c>
      <c r="H11" s="30">
        <v>0.40186578611193902</v>
      </c>
      <c r="I11" s="14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149"/>
      <c r="N11" s="142"/>
      <c r="O11" s="142"/>
      <c r="P11" s="151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42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140">
        <f t="shared" si="2"/>
        <v>0.28799387628881229</v>
      </c>
      <c r="H12" s="30">
        <v>0.28308455922142101</v>
      </c>
      <c r="I12" s="140">
        <f t="shared" si="3"/>
        <v>-0.13820714989165073</v>
      </c>
      <c r="J12" s="30">
        <v>-0.136504549745007</v>
      </c>
      <c r="K12" s="16">
        <f t="shared" si="4"/>
        <v>1.7046602277292922</v>
      </c>
      <c r="L12" s="148">
        <f t="shared" si="5"/>
        <v>1.2319190056219949</v>
      </c>
      <c r="M12" s="52">
        <v>-0.104824971018492</v>
      </c>
      <c r="N12" s="39">
        <v>-1.46024818061613</v>
      </c>
      <c r="O12" s="39">
        <v>0.652876492651698</v>
      </c>
      <c r="P12" s="151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43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152">
        <f t="shared" si="2"/>
        <v>0.32184939542701957</v>
      </c>
      <c r="H13" s="31">
        <v>0.32781286929982201</v>
      </c>
      <c r="I13" s="152">
        <f t="shared" si="3"/>
        <v>-0.29352113669036189</v>
      </c>
      <c r="J13" s="31">
        <v>-0.291161979583967</v>
      </c>
      <c r="K13" s="19">
        <f t="shared" si="4"/>
        <v>1.8528771399089599</v>
      </c>
      <c r="L13" s="155">
        <f t="shared" si="5"/>
        <v>0.80374351673473854</v>
      </c>
      <c r="M13" s="54"/>
      <c r="N13" s="40"/>
      <c r="O13" s="40"/>
      <c r="P13" s="156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41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135">
        <f t="shared" si="2"/>
        <v>0.39075902095854437</v>
      </c>
      <c r="H14" s="5">
        <v>0.39075902095854398</v>
      </c>
      <c r="I14" s="135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36">
        <f>-1/12*C14*D14/(D14*D14+C14*C14)^2</f>
        <v>3.7302354651390701E-2</v>
      </c>
      <c r="N14" s="137">
        <f>-1/0.96*(1-0.04*(C14*C14-D14*D14)/(C14*C14+D14*D14)^2)</f>
        <v>-1.2322201399103134</v>
      </c>
      <c r="O14" s="137">
        <f>1/0.96*(1-0.04*(D14*D14-C14*C14)/(C14*C14+D14*D14)^2)</f>
        <v>0.85111319342302016</v>
      </c>
      <c r="P14" s="154">
        <f>1/12*C14*D14/(C14*C14+D14*D14)^2</f>
        <v>-3.7302354651390701E-2</v>
      </c>
      <c r="Q14" s="28" t="s">
        <v>14</v>
      </c>
      <c r="R14" s="44">
        <v>2.55995896546895E-2</v>
      </c>
      <c r="S14" s="44"/>
      <c r="T14" s="139">
        <f>1/R14*(T15+T16+T17)</f>
        <v>5.6805923474184228E-2</v>
      </c>
    </row>
    <row r="15" spans="1:20" x14ac:dyDescent="0.25">
      <c r="A15" s="42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140">
        <f t="shared" si="2"/>
        <v>0.32338166073436908</v>
      </c>
      <c r="H15" s="30">
        <v>0.31893926279184398</v>
      </c>
      <c r="I15" s="14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41"/>
      <c r="N15" s="142"/>
      <c r="O15" s="142"/>
      <c r="P15" s="151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42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140">
        <f t="shared" si="2"/>
        <v>0.47234761042054846</v>
      </c>
      <c r="H16" s="30">
        <v>0.47520993550296098</v>
      </c>
      <c r="I16" s="140">
        <f t="shared" si="3"/>
        <v>2.2723223773020773E-2</v>
      </c>
      <c r="J16" s="20">
        <v>1.9838864017312899E-2</v>
      </c>
      <c r="K16" s="16">
        <f t="shared" si="4"/>
        <v>0.60597852498165217</v>
      </c>
      <c r="L16" s="148">
        <f t="shared" si="5"/>
        <v>12.693444312828831</v>
      </c>
      <c r="M16" s="141">
        <v>-0.25599602913307401</v>
      </c>
      <c r="N16" s="39">
        <v>-1.2419024142499</v>
      </c>
      <c r="O16" s="39">
        <v>0.85538374952637497</v>
      </c>
      <c r="P16" s="151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48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144">
        <f t="shared" si="2"/>
        <v>0.43142063185766216</v>
      </c>
      <c r="H17" s="34">
        <v>0.43608484228384597</v>
      </c>
      <c r="I17" s="144">
        <f t="shared" si="3"/>
        <v>0.10713982304032389</v>
      </c>
      <c r="J17" s="34">
        <v>0.103070837863121</v>
      </c>
      <c r="K17" s="17">
        <f t="shared" si="4"/>
        <v>1.0811282729108485</v>
      </c>
      <c r="L17" s="157">
        <f t="shared" si="5"/>
        <v>3.7978270466915527</v>
      </c>
      <c r="M17" s="158"/>
      <c r="N17" s="40"/>
      <c r="O17" s="40"/>
      <c r="P17" s="156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41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135">
        <f t="shared" ref="G18:G61" si="8">-F18*D18/E18</f>
        <v>0.23450987802389311</v>
      </c>
      <c r="H18" s="5">
        <v>0.234509878023893</v>
      </c>
      <c r="I18" s="135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36">
        <f>-1/12*C18*D18/(D18*D18+C18*C18)^2</f>
        <v>-2.5222044975306834E-2</v>
      </c>
      <c r="N18" s="137">
        <f>-1/0.96*(1-0.04*(C18*C18-D18*D18)/(C18*C18+D18*D18)^2)</f>
        <v>-1.396649583736314</v>
      </c>
      <c r="O18" s="137">
        <f>1/0.96*(1-0.04*(D18*D18-C18*C18)/(C18*C18+D18*D18)^2)</f>
        <v>0.68668374959701939</v>
      </c>
      <c r="P18" s="154">
        <f>1/12*C18*D18/(C18*C18+D18*D18)^2</f>
        <v>2.5222044975306834E-2</v>
      </c>
      <c r="Q18" s="28" t="s">
        <v>14</v>
      </c>
      <c r="R18" s="44">
        <v>2.2071216869002101E-2</v>
      </c>
      <c r="S18" s="44"/>
      <c r="T18" s="139">
        <f>1/R18*(T19+T20+T21)</f>
        <v>-0.10804456298867827</v>
      </c>
    </row>
    <row r="19" spans="1:20" x14ac:dyDescent="0.25">
      <c r="A19" s="42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140">
        <f t="shared" si="8"/>
        <v>0.21054205986624827</v>
      </c>
      <c r="H19" s="30">
        <v>0.214932097471523</v>
      </c>
      <c r="I19" s="14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41"/>
      <c r="N19" s="142"/>
      <c r="O19" s="142"/>
      <c r="P19" s="151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42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140">
        <f t="shared" si="8"/>
        <v>0.32338166073436908</v>
      </c>
      <c r="H20" s="30">
        <v>0.325543325233767</v>
      </c>
      <c r="I20" s="14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59">
        <v>-0.28508076834840401</v>
      </c>
      <c r="N20" s="39">
        <v>-1.23675617757671</v>
      </c>
      <c r="O20" s="39">
        <v>0.66058979494532</v>
      </c>
      <c r="P20" s="151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43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152">
        <f t="shared" si="8"/>
        <v>0.14805860550182662</v>
      </c>
      <c r="H21" s="31">
        <v>0.14653794776967199</v>
      </c>
      <c r="I21" s="152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60"/>
      <c r="N21" s="40"/>
      <c r="O21" s="40"/>
      <c r="P21" s="156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41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135">
        <f t="shared" si="8"/>
        <v>-6.3562849415611051E-4</v>
      </c>
      <c r="H22" s="5">
        <v>-6.3562849415611398E-4</v>
      </c>
      <c r="I22" s="135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36">
        <f>-1/12*C22*D22/(D22*D22+C22*C22)^2</f>
        <v>1.1739570444985466E-2</v>
      </c>
      <c r="N22" s="137">
        <f>-1/0.96*(1-0.04*(C22*C22-D22*D22)/(C22*C22+D22*D22)^2)</f>
        <v>-0.32321186477652114</v>
      </c>
      <c r="O22" s="137">
        <f>1/0.96*(1-0.04*(D22*D22-C22*C22)/(C22*C22+D22*D22)^2)</f>
        <v>1.7601214685568123</v>
      </c>
      <c r="P22" s="154">
        <f>1/12*C22*D22/(C22*C22+D22*D22)^2</f>
        <v>-1.1739570444985466E-2</v>
      </c>
      <c r="Q22" s="28" t="s">
        <v>14</v>
      </c>
      <c r="R22" s="44">
        <v>2.2071216869002101E-2</v>
      </c>
      <c r="S22" s="44"/>
      <c r="T22" s="139">
        <f>1/R22*(T23+T24+T25)</f>
        <v>0.3895429356863287</v>
      </c>
    </row>
    <row r="23" spans="1:20" x14ac:dyDescent="0.25">
      <c r="A23" s="42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140">
        <f t="shared" si="8"/>
        <v>-2.7062271929905481E-2</v>
      </c>
      <c r="H23" s="30">
        <v>-3.2908757186308202E-2</v>
      </c>
      <c r="I23" s="14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41"/>
      <c r="N23" s="142"/>
      <c r="O23" s="142"/>
      <c r="P23" s="151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42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140">
        <f t="shared" si="8"/>
        <v>2.3615777516733653E-2</v>
      </c>
      <c r="H24" s="30">
        <v>2.9857257041489099E-2</v>
      </c>
      <c r="I24" s="14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59">
        <v>4.2494947331724502E-3</v>
      </c>
      <c r="N24" s="39">
        <v>-0.72330452341279605</v>
      </c>
      <c r="O24" s="39">
        <v>1.49634410244349</v>
      </c>
      <c r="P24" s="151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43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152">
        <f t="shared" si="8"/>
        <v>-1.8774319996294773E-16</v>
      </c>
      <c r="H25" s="31">
        <v>1.04477781711963E-3</v>
      </c>
      <c r="I25" s="152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60"/>
      <c r="N25" s="40"/>
      <c r="O25" s="40"/>
      <c r="P25" s="156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41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135">
        <f t="shared" si="8"/>
        <v>-6.1637069515744162E-3</v>
      </c>
      <c r="H26" s="5">
        <v>-6.1637069515744197E-3</v>
      </c>
      <c r="I26" s="135">
        <f t="shared" ref="I26:I60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36">
        <f>-1/12*C26*D26/(D26*D26+C26*C26)^2</f>
        <v>-1.0712010084713345E-2</v>
      </c>
      <c r="N26" s="137">
        <f>-1/0.96*(1-0.04*(C26*C26-D26*D26)/(C26*C26+D26*D26)^2)</f>
        <v>-0.77543851138881104</v>
      </c>
      <c r="O26" s="137">
        <f>1/0.96*(1-0.04*(D26*D26-C26*C26)/(C26*C26+D26*D26)^2)</f>
        <v>1.3078948219445226</v>
      </c>
      <c r="P26" s="154">
        <f>1/12*C26*D26/(C26*C26+D26*D26)^2</f>
        <v>1.0712010084713345E-2</v>
      </c>
      <c r="Q26" s="28" t="s">
        <v>14</v>
      </c>
      <c r="R26" s="44">
        <v>2.2071216869002101E-2</v>
      </c>
      <c r="S26" s="44"/>
      <c r="T26" s="139">
        <f>1/R26*(T27+T28+T29)</f>
        <v>-0.68947992996743568</v>
      </c>
    </row>
    <row r="27" spans="1:20" x14ac:dyDescent="0.25">
      <c r="A27" s="42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140">
        <f t="shared" si="8"/>
        <v>4.051560966744136E-2</v>
      </c>
      <c r="H27" s="30">
        <v>4.3588135281183202E-2</v>
      </c>
      <c r="I27" s="14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41"/>
      <c r="N27" s="142"/>
      <c r="O27" s="142"/>
      <c r="P27" s="151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42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140">
        <f t="shared" si="8"/>
        <v>-5.270379888217256E-2</v>
      </c>
      <c r="H28" s="30">
        <v>-5.51047832874694E-2</v>
      </c>
      <c r="I28" s="14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59">
        <v>4.2494947331724502E-3</v>
      </c>
      <c r="N28" s="39">
        <v>-0.72330452341279605</v>
      </c>
      <c r="O28" s="39">
        <v>1.49634410244349</v>
      </c>
      <c r="P28" s="151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43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152">
        <f t="shared" si="8"/>
        <v>-5.8585048765289966E-3</v>
      </c>
      <c r="H29" s="31">
        <v>-6.74027903468815E-3</v>
      </c>
      <c r="I29" s="152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60"/>
      <c r="N29" s="40"/>
      <c r="O29" s="40"/>
      <c r="P29" s="156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95" customFormat="1" x14ac:dyDescent="0.25">
      <c r="A30" s="100">
        <v>541</v>
      </c>
      <c r="B30" s="101">
        <v>0</v>
      </c>
      <c r="C30" s="102">
        <v>0.60841619481435905</v>
      </c>
      <c r="D30" s="102">
        <v>0.17381924261257101</v>
      </c>
      <c r="E30" s="102">
        <f t="shared" si="6"/>
        <v>0.63275855996959207</v>
      </c>
      <c r="F30" s="102">
        <f t="shared" si="7"/>
        <v>0.59327426567480723</v>
      </c>
      <c r="G30" s="103">
        <f t="shared" si="8"/>
        <v>-0.16297287787948675</v>
      </c>
      <c r="H30" s="102">
        <v>-0.16327450124380699</v>
      </c>
      <c r="I30" s="103">
        <f t="shared" si="9"/>
        <v>0.57045087026637065</v>
      </c>
      <c r="J30" s="102">
        <v>0.57040273584962298</v>
      </c>
      <c r="K30" s="104">
        <f t="shared" si="10"/>
        <v>0.18507580417355235</v>
      </c>
      <c r="L30" s="105">
        <f t="shared" si="11"/>
        <v>8.4379600867631483E-3</v>
      </c>
      <c r="M30" s="106">
        <f>-1/12*C30*D30/(D30*D30+C30*C30)^2</f>
        <v>-5.4975002363563528E-2</v>
      </c>
      <c r="N30" s="107">
        <f>-1/0.96*(1-0.04*(C30*C30-D30*D30)/(C30*C30+D30*D30)^2)</f>
        <v>-0.95330562940850405</v>
      </c>
      <c r="O30" s="107">
        <f>1/0.96*(1-0.04*(D30*D30-C30*C30)/(C30*C30+D30*D30)^2)</f>
        <v>1.1300277039248292</v>
      </c>
      <c r="P30" s="108">
        <f>1/12*C30*D30/(C30*C30+D30*D30)^2</f>
        <v>5.4975002363563528E-2</v>
      </c>
      <c r="Q30" s="109" t="s">
        <v>14</v>
      </c>
      <c r="R30" s="110">
        <v>2.2071216869002101E-2</v>
      </c>
      <c r="S30" s="110"/>
      <c r="T30" s="111">
        <f>1/R30*(T31+T32+T33)</f>
        <v>-0.14638409399961166</v>
      </c>
    </row>
    <row r="31" spans="1:20" s="95" customFormat="1" x14ac:dyDescent="0.25">
      <c r="A31" s="112"/>
      <c r="B31" s="113">
        <v>1</v>
      </c>
      <c r="C31" s="114">
        <v>0.61723801645408305</v>
      </c>
      <c r="D31" s="114">
        <v>0.161820486429926</v>
      </c>
      <c r="E31" s="114">
        <f t="shared" si="6"/>
        <v>0.63809767182194665</v>
      </c>
      <c r="F31" s="114">
        <f t="shared" si="7"/>
        <v>0.59938681640261926</v>
      </c>
      <c r="G31" s="115">
        <f t="shared" si="8"/>
        <v>-0.15200347920564319</v>
      </c>
      <c r="H31" s="114">
        <v>-0.15234428251027901</v>
      </c>
      <c r="I31" s="115">
        <f t="shared" si="9"/>
        <v>0.57979263360847111</v>
      </c>
      <c r="J31" s="116">
        <v>0.57973248378458198</v>
      </c>
      <c r="K31" s="117">
        <f t="shared" si="10"/>
        <v>0.22420756841673972</v>
      </c>
      <c r="L31" s="118">
        <f t="shared" si="11"/>
        <v>1.0374368421133059E-2</v>
      </c>
      <c r="M31" s="119"/>
      <c r="N31" s="120"/>
      <c r="O31" s="120"/>
      <c r="P31" s="121"/>
      <c r="Q31" s="122">
        <v>-0.97492791218182395</v>
      </c>
      <c r="R31" s="114">
        <f>G31</f>
        <v>-0.15200347920564319</v>
      </c>
      <c r="S31" s="114">
        <v>0.25785226170875097</v>
      </c>
      <c r="T31" s="114">
        <f>PRODUCT(S31,R31,Q31)</f>
        <v>3.821175443652567E-2</v>
      </c>
    </row>
    <row r="32" spans="1:20" s="95" customFormat="1" x14ac:dyDescent="0.25">
      <c r="A32" s="112"/>
      <c r="B32" s="113">
        <v>2</v>
      </c>
      <c r="C32" s="114">
        <v>0.61446292646849898</v>
      </c>
      <c r="D32" s="114">
        <v>0.18743248121931499</v>
      </c>
      <c r="E32" s="114">
        <f t="shared" si="6"/>
        <v>0.64241390319657687</v>
      </c>
      <c r="F32" s="114">
        <f t="shared" si="7"/>
        <v>0.60432161474247559</v>
      </c>
      <c r="G32" s="115">
        <f t="shared" si="8"/>
        <v>-0.17631856835916737</v>
      </c>
      <c r="H32" s="114">
        <v>-0.176591214747783</v>
      </c>
      <c r="I32" s="115">
        <f t="shared" si="9"/>
        <v>0.57802800667158571</v>
      </c>
      <c r="J32" s="116">
        <v>0.57793722867764497</v>
      </c>
      <c r="K32" s="117">
        <f t="shared" si="10"/>
        <v>0.15463282804125117</v>
      </c>
      <c r="L32" s="118">
        <f t="shared" si="11"/>
        <v>1.5704774317678711E-2</v>
      </c>
      <c r="M32" s="123">
        <v>-1.25962993460506E-2</v>
      </c>
      <c r="N32" s="124">
        <v>-0.99529561078374396</v>
      </c>
      <c r="O32" s="124">
        <v>1.08721830086341</v>
      </c>
      <c r="P32" s="121">
        <v>1.1730945975606999E-2</v>
      </c>
      <c r="Q32" s="122">
        <v>0.36645744143242598</v>
      </c>
      <c r="R32" s="114">
        <f>G32</f>
        <v>-0.17631856835916737</v>
      </c>
      <c r="S32" s="114">
        <v>0.20736497985691299</v>
      </c>
      <c r="T32" s="114">
        <f>PRODUCT(S32,R32,Q32)</f>
        <v>-1.3398525582915754E-2</v>
      </c>
    </row>
    <row r="33" spans="1:20" s="95" customFormat="1" ht="16.5" thickBot="1" x14ac:dyDescent="0.3">
      <c r="A33" s="125"/>
      <c r="B33" s="126">
        <v>3</v>
      </c>
      <c r="C33" s="127">
        <v>0.59369621914943904</v>
      </c>
      <c r="D33" s="161">
        <v>0.17145304028168801</v>
      </c>
      <c r="E33" s="127">
        <f t="shared" si="6"/>
        <v>0.61795739792818472</v>
      </c>
      <c r="F33" s="127">
        <f t="shared" si="7"/>
        <v>0.57627918405115641</v>
      </c>
      <c r="G33" s="128">
        <f t="shared" si="8"/>
        <v>-0.1598893685679344</v>
      </c>
      <c r="H33" s="127">
        <v>-0.16021541105703799</v>
      </c>
      <c r="I33" s="128">
        <f t="shared" si="9"/>
        <v>0.55365430350500655</v>
      </c>
      <c r="J33" s="127">
        <v>0.55352699173345399</v>
      </c>
      <c r="K33" s="129">
        <f t="shared" si="10"/>
        <v>0.20391755375846607</v>
      </c>
      <c r="L33" s="130">
        <f t="shared" si="11"/>
        <v>2.2994812962997525E-2</v>
      </c>
      <c r="M33" s="131"/>
      <c r="N33" s="132"/>
      <c r="O33" s="132"/>
      <c r="P33" s="133"/>
      <c r="Q33" s="134">
        <v>0.79122370800502395</v>
      </c>
      <c r="R33" s="127">
        <f>G33</f>
        <v>-0.1598893685679344</v>
      </c>
      <c r="S33" s="127">
        <v>0.22167804809623901</v>
      </c>
      <c r="T33" s="127">
        <f>PRODUCT(S33,R33,Q33)</f>
        <v>-2.8044103938447737E-2</v>
      </c>
    </row>
    <row r="34" spans="1:20" x14ac:dyDescent="0.25">
      <c r="A34" s="41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135">
        <f t="shared" si="8"/>
        <v>-4.9751237534760857E-2</v>
      </c>
      <c r="H34" s="5">
        <v>-4.9821272710786499E-2</v>
      </c>
      <c r="I34" s="135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36">
        <f>-1/12*C34*D34/(D34*D34+C34*C34)^2</f>
        <v>-0.74915312973798254</v>
      </c>
      <c r="N34" s="137">
        <f>-1/0.96*(1-0.04*(C34*C34-D34*D34)/(C34*C34+D34*D34)^2)</f>
        <v>-1.077243536808574</v>
      </c>
      <c r="O34" s="137">
        <f>1/0.96*(1-0.04*(D34*D34-C34*C34)/(C34*C34+D34*D34)^2)</f>
        <v>1.0060897965247595</v>
      </c>
      <c r="P34" s="154">
        <f>1/12*C34*D34/(C34*C34+D34*D34)^2</f>
        <v>0.74915312973798254</v>
      </c>
      <c r="Q34" s="36" t="s">
        <v>15</v>
      </c>
      <c r="R34" s="35"/>
      <c r="S34" s="35"/>
      <c r="T34" s="139"/>
    </row>
    <row r="35" spans="1:20" x14ac:dyDescent="0.25">
      <c r="A35" s="42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140">
        <f t="shared" si="8"/>
        <v>-4.0224418597996629E-2</v>
      </c>
      <c r="H35" s="30">
        <v>-4.0422691818457701E-2</v>
      </c>
      <c r="I35" s="14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41"/>
      <c r="N35" s="142"/>
      <c r="O35" s="142"/>
      <c r="P35" s="151"/>
      <c r="Q35" s="37">
        <v>-4.2545420685385204E-3</v>
      </c>
      <c r="R35" s="2"/>
      <c r="S35" s="30"/>
      <c r="T35" s="30"/>
    </row>
    <row r="36" spans="1:20" x14ac:dyDescent="0.25">
      <c r="A36" s="42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140">
        <f t="shared" si="8"/>
        <v>-6.9729412806850896E-2</v>
      </c>
      <c r="H36" s="30">
        <v>-6.9679068746406198E-2</v>
      </c>
      <c r="I36" s="14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59">
        <v>-0.81932865874933403</v>
      </c>
      <c r="N36" s="39">
        <v>-1.02900896566263</v>
      </c>
      <c r="O36" s="39">
        <v>0.97651165749386404</v>
      </c>
      <c r="P36" s="151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43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152">
        <f t="shared" si="8"/>
        <v>-3.0476040115351988E-2</v>
      </c>
      <c r="H37" s="31">
        <v>-3.1284129024110902E-2</v>
      </c>
      <c r="I37" s="152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60"/>
      <c r="N37" s="40"/>
      <c r="O37" s="40"/>
      <c r="P37" s="156"/>
      <c r="Q37" s="38">
        <v>2.0125580093833398E-3</v>
      </c>
      <c r="R37" s="3"/>
      <c r="S37" s="31"/>
      <c r="T37" s="31"/>
    </row>
    <row r="38" spans="1:20" x14ac:dyDescent="0.25">
      <c r="A38" s="41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135">
        <f t="shared" si="8"/>
        <v>-2.0438110168492053E-2</v>
      </c>
      <c r="H38" s="5">
        <v>-2.22358796421399E-2</v>
      </c>
      <c r="I38" s="135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36">
        <f>-1/12*C38*D38/(D38*D38+C38*C38)^2</f>
        <v>-0.89589115662280894</v>
      </c>
      <c r="N38" s="137">
        <f>-1/0.96*(1-0.04*(C38*C38-D38*D38)/(C38*C38+D38*D38)^2)</f>
        <v>-1.2459915106056709</v>
      </c>
      <c r="O38" s="137">
        <f>1/0.96*(1-0.04*(D38*D38-C38*C38)/(C38*C38+D38*D38)^2)</f>
        <v>0.83734182272766244</v>
      </c>
      <c r="P38" s="154">
        <f>1/12*C38*D38/(C38*C38+D38*D38)^2</f>
        <v>0.89589115662280894</v>
      </c>
      <c r="Q38" s="36" t="s">
        <v>15</v>
      </c>
      <c r="R38" s="35"/>
      <c r="S38" s="35"/>
      <c r="T38" s="139"/>
    </row>
    <row r="39" spans="1:20" x14ac:dyDescent="0.25">
      <c r="A39" s="42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140">
        <f t="shared" si="8"/>
        <v>-3.0476040115351988E-2</v>
      </c>
      <c r="H39" s="30">
        <v>-3.05721185498335E-2</v>
      </c>
      <c r="I39" s="14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41"/>
      <c r="N39" s="142"/>
      <c r="O39" s="142"/>
      <c r="P39" s="151"/>
      <c r="Q39" s="37">
        <v>-2.0144207752970699E-3</v>
      </c>
      <c r="R39" s="2"/>
      <c r="S39" s="30"/>
      <c r="T39" s="30"/>
    </row>
    <row r="40" spans="1:20" x14ac:dyDescent="0.25">
      <c r="A40" s="42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140">
        <f t="shared" si="8"/>
        <v>-3.4053664363728996E-2</v>
      </c>
      <c r="H40" s="30">
        <v>-3.5913816134640703E-2</v>
      </c>
      <c r="I40" s="14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59">
        <v>-0.75102409503844803</v>
      </c>
      <c r="N40" s="39">
        <v>-1.2240644664056901</v>
      </c>
      <c r="O40" s="39">
        <v>0.88608863953621098</v>
      </c>
      <c r="P40" s="151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43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152">
        <f t="shared" si="8"/>
        <v>2.5416132962911889E-3</v>
      </c>
      <c r="H41" s="31">
        <v>0</v>
      </c>
      <c r="I41" s="152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60"/>
      <c r="N41" s="40"/>
      <c r="O41" s="40"/>
      <c r="P41" s="156"/>
      <c r="Q41" s="38">
        <v>0</v>
      </c>
      <c r="R41" s="3"/>
      <c r="S41" s="31"/>
      <c r="T41" s="31"/>
    </row>
    <row r="42" spans="1:20" x14ac:dyDescent="0.25">
      <c r="A42" s="41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135">
        <f t="shared" si="8"/>
        <v>-8.736235374630559E-2</v>
      </c>
      <c r="H42" s="5">
        <v>-8.7475485322046798E-2</v>
      </c>
      <c r="I42" s="135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36">
        <f>-1/12*C42*D42/(D42*D42+C42*C42)^2</f>
        <v>-0.59325541444884999</v>
      </c>
      <c r="N42" s="137">
        <f>-1/0.96*(1-0.04*(C42*C42-D42*D42)/(C42*C42+D42*D42)^2)</f>
        <v>-1.1022704793938467</v>
      </c>
      <c r="O42" s="137">
        <f>1/0.96*(1-0.04*(D42*D42-C42*C42)/(C42*C42+D42*D42)^2)</f>
        <v>0.98106285393948667</v>
      </c>
      <c r="P42" s="154">
        <f>1/12*C42*D42/(C42*C42+D42*D42)^2</f>
        <v>0.59325541444884999</v>
      </c>
      <c r="Q42" s="36" t="s">
        <v>15</v>
      </c>
      <c r="R42" s="35"/>
      <c r="S42" s="35"/>
      <c r="T42" s="139"/>
    </row>
    <row r="43" spans="1:20" x14ac:dyDescent="0.25">
      <c r="A43" s="42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140">
        <f t="shared" si="8"/>
        <v>-6.9729412806850896E-2</v>
      </c>
      <c r="H43" s="30">
        <v>-6.9755873844883798E-2</v>
      </c>
      <c r="I43" s="14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41"/>
      <c r="N43" s="142"/>
      <c r="O43" s="142"/>
      <c r="P43" s="151"/>
      <c r="Q43" s="37">
        <v>-1.70347245203076E-3</v>
      </c>
      <c r="R43" s="2"/>
      <c r="S43" s="30"/>
      <c r="T43" s="30"/>
    </row>
    <row r="44" spans="1:20" x14ac:dyDescent="0.25">
      <c r="A44" s="42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140">
        <f t="shared" si="8"/>
        <v>-9.8371851379536634E-2</v>
      </c>
      <c r="H44" s="30">
        <v>-9.8239181907517403E-2</v>
      </c>
      <c r="I44" s="14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59">
        <v>-0.75102409503844803</v>
      </c>
      <c r="N44" s="39">
        <v>-1.2240644664056901</v>
      </c>
      <c r="O44" s="39">
        <v>0.88608863953621098</v>
      </c>
      <c r="P44" s="151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43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152">
        <f t="shared" si="8"/>
        <v>-9.4786103678167227E-2</v>
      </c>
      <c r="H45" s="31">
        <v>-9.5495789160229799E-2</v>
      </c>
      <c r="I45" s="152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60"/>
      <c r="N45" s="40"/>
      <c r="O45" s="40"/>
      <c r="P45" s="156"/>
      <c r="Q45" s="38">
        <v>6.0950430441033899E-3</v>
      </c>
      <c r="R45" s="3"/>
      <c r="S45" s="31"/>
      <c r="T45" s="31"/>
    </row>
    <row r="46" spans="1:20" x14ac:dyDescent="0.25">
      <c r="A46" s="41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135">
        <f t="shared" si="8"/>
        <v>-4.4736301366540367E-2</v>
      </c>
      <c r="H46" s="5">
        <v>-4.4646686648069402E-2</v>
      </c>
      <c r="I46" s="135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36">
        <f>-1/12*C46*D46/(D46*D46+C46*C46)^2</f>
        <v>-0.72482274799905011</v>
      </c>
      <c r="N46" s="137">
        <f>-1/0.96*(1-0.04*(C46*C46-D46*D46)/(C46*C46+D46*D46)^2)</f>
        <v>-0.88585197977901009</v>
      </c>
      <c r="O46" s="137">
        <f>1/0.96*(1-0.04*(D46*D46-C46*C46)/(C46*C46+D46*D46)^2)</f>
        <v>1.1974813535543234</v>
      </c>
      <c r="P46" s="154">
        <f>1/12*C46*D46/(C46*C46+D46*D46)^2</f>
        <v>0.72482274799905011</v>
      </c>
      <c r="Q46" s="36" t="s">
        <v>15</v>
      </c>
      <c r="R46" s="35"/>
      <c r="S46" s="35"/>
      <c r="T46" s="139"/>
    </row>
    <row r="47" spans="1:20" x14ac:dyDescent="0.25">
      <c r="A47" s="42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140">
        <f t="shared" si="8"/>
        <v>-5.890962429006235E-2</v>
      </c>
      <c r="H47" s="30">
        <v>-5.7907826553650399E-2</v>
      </c>
      <c r="I47" s="14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41"/>
      <c r="N47" s="142"/>
      <c r="O47" s="142"/>
      <c r="P47" s="151"/>
      <c r="Q47" s="37">
        <v>-1.5975050735224101E-3</v>
      </c>
      <c r="R47" s="2"/>
      <c r="S47" s="30"/>
      <c r="T47" s="30"/>
    </row>
    <row r="48" spans="1:20" x14ac:dyDescent="0.25">
      <c r="A48" s="42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140">
        <f t="shared" si="8"/>
        <v>-4.0224418597996629E-2</v>
      </c>
      <c r="H48" s="30">
        <v>-4.1328236357924902E-2</v>
      </c>
      <c r="I48" s="14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59">
        <v>-0.75102409503844803</v>
      </c>
      <c r="N48" s="39">
        <v>-1.2240644664056901</v>
      </c>
      <c r="O48" s="39">
        <v>0.88608863953621098</v>
      </c>
      <c r="P48" s="151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43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152">
        <f t="shared" si="8"/>
        <v>-2.5342216729486704E-2</v>
      </c>
      <c r="H49" s="31">
        <v>-2.6734015754154801E-2</v>
      </c>
      <c r="I49" s="152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60"/>
      <c r="N49" s="40"/>
      <c r="O49" s="40"/>
      <c r="P49" s="156"/>
      <c r="Q49" s="38">
        <v>-2.1360094564363799E-3</v>
      </c>
      <c r="R49" s="3"/>
      <c r="S49" s="31"/>
      <c r="T49" s="31"/>
    </row>
    <row r="50" spans="1:23" s="68" customFormat="1" x14ac:dyDescent="0.25">
      <c r="A50" s="56">
        <v>265</v>
      </c>
      <c r="B50" s="57">
        <v>0</v>
      </c>
      <c r="C50" s="58">
        <v>0.17611626891648099</v>
      </c>
      <c r="D50" s="58">
        <v>0.119777285151598</v>
      </c>
      <c r="E50" s="58">
        <f t="shared" si="6"/>
        <v>0.21298717852337842</v>
      </c>
      <c r="F50" s="58">
        <f t="shared" si="7"/>
        <v>2.6231715040579813E-2</v>
      </c>
      <c r="G50" s="59">
        <f t="shared" si="8"/>
        <v>-1.4751890861290105E-2</v>
      </c>
      <c r="H50" s="58">
        <v>-1.5655313257074099E-2</v>
      </c>
      <c r="I50" s="59">
        <f t="shared" si="9"/>
        <v>2.169065674401692E-2</v>
      </c>
      <c r="J50" s="58">
        <v>2.3750757772751999E-2</v>
      </c>
      <c r="K50" s="60">
        <f t="shared" si="10"/>
        <v>6.1241125241417755</v>
      </c>
      <c r="L50" s="61">
        <f t="shared" si="11"/>
        <v>9.4976424782681139</v>
      </c>
      <c r="M50" s="62">
        <f>-1/12*C50*D50/(D50*D50+C50*C50)^2</f>
        <v>-0.85423793511527568</v>
      </c>
      <c r="N50" s="63">
        <f>-1/0.96*(1-0.04*(C50*C50-D50*D50)/(C50*C50+D50*D50)^2)</f>
        <v>-0.70413118701963817</v>
      </c>
      <c r="O50" s="63">
        <f>1/0.96*(1-0.04*(D50*D50-C50*C50)/(C50*C50+D50*D50)^2)</f>
        <v>1.3792021463136952</v>
      </c>
      <c r="P50" s="64">
        <f>1/12*C50*D50/(C50*C50+D50*D50)^2</f>
        <v>0.85423793511527568</v>
      </c>
      <c r="Q50" s="65" t="s">
        <v>15</v>
      </c>
      <c r="R50" s="66"/>
      <c r="S50" s="66"/>
      <c r="T50" s="67"/>
    </row>
    <row r="51" spans="1:23" s="68" customFormat="1" x14ac:dyDescent="0.25">
      <c r="A51" s="69"/>
      <c r="B51" s="70">
        <v>1</v>
      </c>
      <c r="C51" s="71">
        <v>0.190222436080876</v>
      </c>
      <c r="D51" s="71">
        <v>0.114067302087277</v>
      </c>
      <c r="E51" s="71">
        <f t="shared" si="6"/>
        <v>0.22180154326337106</v>
      </c>
      <c r="F51" s="71">
        <f t="shared" si="7"/>
        <v>4.3187653150768342E-2</v>
      </c>
      <c r="G51" s="72">
        <f t="shared" si="8"/>
        <v>-2.2210391352145184E-2</v>
      </c>
      <c r="H51" s="71">
        <v>-2.3030983868594701E-2</v>
      </c>
      <c r="I51" s="72">
        <f t="shared" si="9"/>
        <v>3.7038789135926474E-2</v>
      </c>
      <c r="J51" s="73">
        <v>3.9279212352311701E-2</v>
      </c>
      <c r="K51" s="74">
        <f t="shared" si="10"/>
        <v>3.6946333067213621</v>
      </c>
      <c r="L51" s="75">
        <f t="shared" si="11"/>
        <v>6.0488565329801416</v>
      </c>
      <c r="M51" s="76"/>
      <c r="N51" s="77"/>
      <c r="O51" s="77"/>
      <c r="P51" s="78"/>
      <c r="Q51" s="79">
        <v>-1.76483335659508E-3</v>
      </c>
      <c r="R51" s="70"/>
      <c r="S51" s="71"/>
      <c r="T51" s="71"/>
    </row>
    <row r="52" spans="1:23" s="68" customFormat="1" x14ac:dyDescent="0.25">
      <c r="A52" s="69"/>
      <c r="B52" s="70">
        <v>2</v>
      </c>
      <c r="C52" s="71">
        <v>0.17548863081863</v>
      </c>
      <c r="D52" s="71">
        <v>0.134346645269975</v>
      </c>
      <c r="E52" s="71">
        <f t="shared" si="6"/>
        <v>0.22100968449797379</v>
      </c>
      <c r="F52" s="71">
        <f t="shared" si="7"/>
        <v>4.168972967362114E-2</v>
      </c>
      <c r="G52" s="72">
        <f t="shared" si="8"/>
        <v>-2.5342216729486704E-2</v>
      </c>
      <c r="H52" s="71">
        <v>-2.63582618704498E-2</v>
      </c>
      <c r="I52" s="72">
        <f t="shared" si="9"/>
        <v>3.310295472454583E-2</v>
      </c>
      <c r="J52" s="73">
        <v>3.2982648593747901E-2</v>
      </c>
      <c r="K52" s="74">
        <f t="shared" si="10"/>
        <v>4.0092986016526551</v>
      </c>
      <c r="L52" s="75">
        <f t="shared" si="11"/>
        <v>0.36343018863123316</v>
      </c>
      <c r="M52" s="80">
        <v>-0.83478975574671499</v>
      </c>
      <c r="N52" s="81">
        <v>-0.77058253599049198</v>
      </c>
      <c r="O52" s="81">
        <v>1.38140952302927</v>
      </c>
      <c r="P52" s="78">
        <v>0.693161263386181</v>
      </c>
      <c r="Q52" s="79">
        <v>2.1363241204087899E-3</v>
      </c>
      <c r="R52" s="70"/>
      <c r="S52" s="71"/>
      <c r="T52" s="71"/>
    </row>
    <row r="53" spans="1:23" s="68" customFormat="1" ht="16.5" thickBot="1" x14ac:dyDescent="0.3">
      <c r="A53" s="82"/>
      <c r="B53" s="83">
        <v>3</v>
      </c>
      <c r="C53" s="85">
        <v>0.16052753074652701</v>
      </c>
      <c r="D53" s="162">
        <v>0.11663007800304</v>
      </c>
      <c r="E53" s="71">
        <f t="shared" si="6"/>
        <v>0.19842294026289492</v>
      </c>
      <c r="F53" s="71">
        <f t="shared" si="7"/>
        <v>-3.2985978114220831E-3</v>
      </c>
      <c r="G53" s="84">
        <f t="shared" si="8"/>
        <v>1.9388671467981287E-3</v>
      </c>
      <c r="H53" s="85">
        <v>0</v>
      </c>
      <c r="I53" s="84">
        <f t="shared" si="9"/>
        <v>-2.6686216870484736E-3</v>
      </c>
      <c r="J53" s="85">
        <v>0</v>
      </c>
      <c r="K53" s="86">
        <f t="shared" si="10"/>
        <v>100</v>
      </c>
      <c r="L53" s="87">
        <f t="shared" si="11"/>
        <v>100</v>
      </c>
      <c r="M53" s="88"/>
      <c r="N53" s="89"/>
      <c r="O53" s="89"/>
      <c r="P53" s="90"/>
      <c r="Q53" s="91">
        <v>0</v>
      </c>
      <c r="R53" s="83"/>
      <c r="S53" s="85"/>
      <c r="T53" s="85"/>
    </row>
    <row r="54" spans="1:23" x14ac:dyDescent="0.25">
      <c r="A54" s="41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135">
        <f t="shared" si="8"/>
        <v>-4.6704348934045682E-4</v>
      </c>
      <c r="H54" s="5">
        <v>-2.47660064342646E-2</v>
      </c>
      <c r="I54" s="135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36">
        <f>-1/12*C54*D54/(D54*D54+C54*C54)^2</f>
        <v>-1.7647392819587937E-2</v>
      </c>
      <c r="N54" s="137">
        <f>-1/0.96*(1-0.04*(C54*C54-D54*D54)/(C54*C54+D54*D54)^2)</f>
        <v>-0.20034423343735036</v>
      </c>
      <c r="O54" s="137">
        <f>1/0.96*(1-0.04*(D54*D54-C54*C54)/(C54*C54+D54*D54)^2)</f>
        <v>1.8829890998959831</v>
      </c>
      <c r="P54" s="154">
        <f>1/12*C54*D54/(C54*C54+D54*D54)^2</f>
        <v>1.7647392819587937E-2</v>
      </c>
      <c r="Q54" s="36" t="s">
        <v>15</v>
      </c>
      <c r="R54" s="35"/>
      <c r="S54" s="35"/>
      <c r="T54" s="139"/>
    </row>
    <row r="55" spans="1:23" x14ac:dyDescent="0.25">
      <c r="A55" s="42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140">
        <f t="shared" si="8"/>
        <v>-3.4825255323831572E-2</v>
      </c>
      <c r="H55" s="30">
        <v>-3.5485857118764397E-2</v>
      </c>
      <c r="I55" s="14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41"/>
      <c r="N55" s="142"/>
      <c r="O55" s="142"/>
      <c r="P55" s="151"/>
      <c r="Q55" s="37">
        <v>-1.5541388968049301E-3</v>
      </c>
      <c r="R55" s="2"/>
      <c r="S55" s="30"/>
      <c r="T55" s="30"/>
    </row>
    <row r="56" spans="1:23" x14ac:dyDescent="0.25">
      <c r="A56" s="42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140">
        <f t="shared" si="8"/>
        <v>-3.6593590598740164E-2</v>
      </c>
      <c r="H56" s="30">
        <v>-3.8356842277377297E-2</v>
      </c>
      <c r="I56" s="14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59">
        <v>-0.75102409503844803</v>
      </c>
      <c r="N56" s="39">
        <v>-1.2240644664056901</v>
      </c>
      <c r="O56" s="39">
        <v>0.88608863953621098</v>
      </c>
      <c r="P56" s="151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43"/>
      <c r="B57" s="14">
        <v>3</v>
      </c>
      <c r="C57" s="34">
        <v>8.4484378935394594E-2</v>
      </c>
      <c r="D57" s="163">
        <v>0.17953844417971601</v>
      </c>
      <c r="E57" s="34">
        <f t="shared" si="6"/>
        <v>0.19842294026289486</v>
      </c>
      <c r="F57" s="34">
        <f t="shared" si="7"/>
        <v>-3.2985978114221984E-3</v>
      </c>
      <c r="G57" s="144">
        <f t="shared" si="8"/>
        <v>2.9846605349800074E-3</v>
      </c>
      <c r="H57" s="34">
        <v>0</v>
      </c>
      <c r="I57" s="144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60"/>
      <c r="N57" s="40"/>
      <c r="O57" s="40"/>
      <c r="P57" s="156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140">
        <f t="shared" si="8"/>
        <v>-4.4736301366540367E-2</v>
      </c>
      <c r="H58" s="30">
        <v>1</v>
      </c>
      <c r="I58" s="14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140">
        <f t="shared" si="8"/>
        <v>-2.557769163264613E-2</v>
      </c>
      <c r="H59" s="30"/>
      <c r="I59" s="140">
        <f t="shared" si="9"/>
        <v>4.8513512095965501E-2</v>
      </c>
      <c r="N59" s="93" t="s">
        <v>39</v>
      </c>
      <c r="O59" s="93"/>
      <c r="P59" s="93"/>
      <c r="Q59" s="93"/>
      <c r="R59" s="93"/>
      <c r="S59" s="94" t="s">
        <v>40</v>
      </c>
      <c r="T59" s="94"/>
      <c r="U59" s="94"/>
      <c r="V59" s="94"/>
      <c r="W59" s="94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140">
        <v>0</v>
      </c>
      <c r="H60" s="30"/>
      <c r="I60" s="14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95" t="s">
        <v>19</v>
      </c>
      <c r="T60" s="95" t="s">
        <v>26</v>
      </c>
      <c r="U60" s="95" t="s">
        <v>20</v>
      </c>
      <c r="V60" s="95" t="s">
        <v>27</v>
      </c>
      <c r="W60" s="95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 t="shared" ref="E61" si="12">SQRT(D61*D61+C61*C61)</f>
        <v>0.18408045950325605</v>
      </c>
      <c r="F61" s="30">
        <f t="shared" si="7"/>
        <v>-3.45998182758522E-2</v>
      </c>
      <c r="G61" s="140">
        <v>1.47518908612904E-2</v>
      </c>
      <c r="H61" s="30"/>
      <c r="I61" s="140">
        <f t="shared" ref="I61" si="13"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92">
        <f>G58</f>
        <v>-4.4736301366540367E-2</v>
      </c>
      <c r="Q61" s="1">
        <f>G59</f>
        <v>-2.557769163264613E-2</v>
      </c>
      <c r="R61" s="92">
        <f>G59</f>
        <v>-2.557769163264613E-2</v>
      </c>
      <c r="S61" s="95">
        <f>I58</f>
        <v>5.5375235097806591E-2</v>
      </c>
      <c r="T61" s="95">
        <f>I58</f>
        <v>5.5375235097806591E-2</v>
      </c>
      <c r="U61" s="96">
        <f>I58</f>
        <v>5.5375235097806591E-2</v>
      </c>
      <c r="V61" s="95">
        <f>I59</f>
        <v>4.8513512095965501E-2</v>
      </c>
      <c r="W61" s="96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4">0.5*(D58+D59)</f>
        <v>0.12766838731105251</v>
      </c>
      <c r="E62" s="1">
        <f t="shared" si="14"/>
        <v>0.23255906611877844</v>
      </c>
      <c r="F62" s="1">
        <f t="shared" si="14"/>
        <v>6.301568893898854E-2</v>
      </c>
      <c r="G62" s="1">
        <f t="shared" si="14"/>
        <v>-3.5156996499593252E-2</v>
      </c>
      <c r="H62" s="1">
        <f t="shared" si="14"/>
        <v>0.5</v>
      </c>
      <c r="I62" s="1">
        <f t="shared" si="14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92">
        <f>G64</f>
        <v>7.3759454306452001E-3</v>
      </c>
      <c r="Q62" s="1">
        <f>G65</f>
        <v>-1.0202552819151426E-2</v>
      </c>
      <c r="R62" s="92">
        <f>G66</f>
        <v>-2.3972921157958158E-2</v>
      </c>
      <c r="S62" s="95">
        <f>I62</f>
        <v>5.1944373596886043E-2</v>
      </c>
      <c r="T62" s="95">
        <f>I63</f>
        <v>2.4256756047982751E-2</v>
      </c>
      <c r="U62" s="96">
        <f>I64</f>
        <v>-1.3621369421294166E-2</v>
      </c>
      <c r="V62" s="95">
        <f>I65</f>
        <v>1.2350817377148856E-2</v>
      </c>
      <c r="W62" s="96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4"/>
        <v>0.21323636446408267</v>
      </c>
      <c r="F63" s="1">
        <f t="shared" si="14"/>
        <v>2.5772312850074426E-2</v>
      </c>
      <c r="G63" s="1">
        <f t="shared" si="14"/>
        <v>-1.2788845816323065E-2</v>
      </c>
      <c r="H63" s="1">
        <f t="shared" si="14"/>
        <v>0</v>
      </c>
      <c r="I63" s="1">
        <f t="shared" si="14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92">
        <f>G61</f>
        <v>1.47518908612904E-2</v>
      </c>
      <c r="Q63" s="1">
        <f>G60</f>
        <v>0</v>
      </c>
      <c r="R63" s="92">
        <f>G61</f>
        <v>1.47518908612904E-2</v>
      </c>
      <c r="S63" s="95">
        <f>I59</f>
        <v>4.8513512095965501E-2</v>
      </c>
      <c r="T63" s="95">
        <f>I60</f>
        <v>0</v>
      </c>
      <c r="U63" s="96">
        <f>I61</f>
        <v>-2.7242738842588331E-2</v>
      </c>
      <c r="V63" s="95">
        <f>I60</f>
        <v>0</v>
      </c>
      <c r="W63" s="96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4"/>
        <v>0.1912516998830755</v>
      </c>
      <c r="F64" s="1">
        <f t="shared" si="14"/>
        <v>-1.8949208043637141E-2</v>
      </c>
      <c r="G64" s="1">
        <f t="shared" si="14"/>
        <v>7.3759454306452001E-3</v>
      </c>
      <c r="H64" s="1">
        <f t="shared" si="14"/>
        <v>0</v>
      </c>
      <c r="I64" s="1">
        <f t="shared" si="14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5" si="15">0.5*(E61+E62)</f>
        <v>0.20831976281101725</v>
      </c>
      <c r="F65" s="1">
        <f t="shared" si="15"/>
        <v>1.420793533156817E-2</v>
      </c>
      <c r="G65" s="1">
        <f t="shared" si="15"/>
        <v>-1.0202552819151426E-2</v>
      </c>
      <c r="H65" s="1">
        <f t="shared" si="15"/>
        <v>0.25</v>
      </c>
      <c r="I65" s="1">
        <f t="shared" si="15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ref="E66:I66" si="16">0.5*(E62+E63)</f>
        <v>0.22289771529143054</v>
      </c>
      <c r="F66" s="1">
        <f t="shared" si="16"/>
        <v>4.439400089453148E-2</v>
      </c>
      <c r="G66" s="1">
        <f t="shared" si="16"/>
        <v>-2.3972921157958158E-2</v>
      </c>
      <c r="H66" s="1">
        <f t="shared" si="16"/>
        <v>0.25</v>
      </c>
      <c r="I66" s="1">
        <f t="shared" si="16"/>
        <v>3.8100564822434395E-2</v>
      </c>
      <c r="N66" s="92">
        <v>0</v>
      </c>
      <c r="O66" s="1">
        <v>0</v>
      </c>
      <c r="P66" s="92">
        <v>0</v>
      </c>
      <c r="Q66" s="1">
        <v>0</v>
      </c>
      <c r="R66" s="92">
        <v>0</v>
      </c>
      <c r="S66" s="1">
        <v>0</v>
      </c>
    </row>
    <row r="67" spans="2:22" x14ac:dyDescent="0.25">
      <c r="C67" s="1"/>
      <c r="D67" s="1"/>
      <c r="M67" s="1" t="s">
        <v>33</v>
      </c>
      <c r="N67" s="92">
        <f>N68/2</f>
        <v>2.3003416935436949E-2</v>
      </c>
      <c r="O67" s="1">
        <f>O68/2</f>
        <v>2.3003416935436949E-2</v>
      </c>
      <c r="P67" s="92">
        <f t="shared" ref="O67:S67" si="17">P68/2</f>
        <v>2.6541805787253701E-2</v>
      </c>
      <c r="Q67" s="1">
        <f t="shared" si="17"/>
        <v>2.0104614443582251E-2</v>
      </c>
      <c r="R67" s="92">
        <f t="shared" si="17"/>
        <v>2.86179832805003E-2</v>
      </c>
      <c r="S67" s="1">
        <f t="shared" si="17"/>
        <v>2.1231631351488499E-2</v>
      </c>
    </row>
    <row r="68" spans="2:22" x14ac:dyDescent="0.25">
      <c r="C68" s="1"/>
      <c r="D68" s="1"/>
      <c r="M68" s="1" t="s">
        <v>30</v>
      </c>
      <c r="N68" s="92">
        <v>4.6006833870873898E-2</v>
      </c>
      <c r="O68" s="1">
        <v>4.6006833870873898E-2</v>
      </c>
      <c r="P68" s="92">
        <v>5.3083611574507403E-2</v>
      </c>
      <c r="Q68" s="1">
        <v>4.0209228887164501E-2</v>
      </c>
      <c r="R68" s="9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92">
        <v>0.92642345774604395</v>
      </c>
      <c r="O69" s="1">
        <v>0.92642345774604395</v>
      </c>
      <c r="P69" s="92">
        <v>-0.66868889401109799</v>
      </c>
      <c r="Q69" s="27">
        <v>-0.80452212739749096</v>
      </c>
      <c r="R69" s="9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92">
        <v>0.37648316952801902</v>
      </c>
      <c r="O70" s="1">
        <v>0.37648316952801902</v>
      </c>
      <c r="P70" s="92">
        <v>0.743542307489098</v>
      </c>
      <c r="Q70" s="27">
        <v>0.59392267722980097</v>
      </c>
      <c r="R70" s="9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92">
        <v>1.1485527114568799E-3</v>
      </c>
      <c r="O71" s="1">
        <v>7.8908652171143397E-4</v>
      </c>
      <c r="P71" s="92"/>
      <c r="R71" s="9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92">
        <f>N69*N68*0.5*(N63+N61)</f>
        <v>-1.4984548290054192E-3</v>
      </c>
      <c r="O72" s="1">
        <f>O69*O68*0.5*(N63+N61)</f>
        <v>-1.4984548290054192E-3</v>
      </c>
      <c r="P72" s="92">
        <f t="shared" ref="O72:R72" si="18">P69*P68*0.5*(P63+P61)</f>
        <v>5.3216963706966339E-4</v>
      </c>
      <c r="Q72" s="1">
        <f>Q69*Q68*0.5*(O63+O61)</f>
        <v>7.2359210140875716E-4</v>
      </c>
      <c r="R72" s="92">
        <f t="shared" si="18"/>
        <v>3.8569018704999514E-5</v>
      </c>
      <c r="S72" s="1">
        <f>S69*S68*0.5*(Q63+Q61)</f>
        <v>1.3137464317106642E-4</v>
      </c>
      <c r="T72" s="92">
        <f>(R72+P72+N72)/$N$71</f>
        <v>-0.80772624884929856</v>
      </c>
      <c r="U72" s="1">
        <f>(S72+Q72+O72)/O71</f>
        <v>-0.8154848254535475</v>
      </c>
      <c r="V72" s="6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92">
        <f>N69*N68*(N63+4*N62+N61)/6</f>
        <v>-1.498454829005419E-3</v>
      </c>
      <c r="O73" s="1">
        <f>O69*O68*(N63+4*N62+N61)/6</f>
        <v>-1.498454829005419E-3</v>
      </c>
      <c r="P73" s="92">
        <f>P69*P68*(P63+4*P62+P61)/6</f>
        <v>2.8434336435540082E-6</v>
      </c>
      <c r="Q73" s="1">
        <f>Q69*Q68*(O63+4*O62+O61)/6</f>
        <v>5.1700344366771025E-4</v>
      </c>
      <c r="R73" s="92">
        <f t="shared" ref="O73:R73" si="19">R69*R68*(R63+4*R62+R61)/6</f>
        <v>1.2673392566508605E-4</v>
      </c>
      <c r="S73" s="1">
        <f>S69*S68*(Q63+4*Q62+Q61)/6</f>
        <v>1.1366268153829308E-4</v>
      </c>
      <c r="T73" s="97">
        <f>(R73+P73+N73)/N71</f>
        <v>-1.1918281642994237</v>
      </c>
      <c r="U73" s="98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92">
        <f>N70*N68*0.5*(N61+N63)</f>
        <v>-6.0894725700390436E-4</v>
      </c>
      <c r="O76" s="1">
        <f>O70*O68*0.5*(N61+N63)</f>
        <v>-6.0894725700390436E-4</v>
      </c>
      <c r="P76" s="92">
        <f>P70*P68*0.5*(P61+P63)</f>
        <v>-5.9174100761399246E-4</v>
      </c>
      <c r="Q76" s="1">
        <f>Q70*Q68*0.5*(O61+O63)</f>
        <v>-5.341776732496207E-4</v>
      </c>
      <c r="R76" s="92">
        <f>R70*R68*0.5*(R61+R63)</f>
        <v>3.0740245430608285E-4</v>
      </c>
      <c r="S76" s="1">
        <f>S70*S68*0.5*(Q61+Q63)</f>
        <v>5.2692566091450197E-4</v>
      </c>
      <c r="T76" s="92">
        <f>(R76+P76+N76)/$N$71</f>
        <v>-0.7777490762080278</v>
      </c>
      <c r="U76" s="1">
        <f>(S76+Q76+O76)/O71</f>
        <v>-0.78090203340764308</v>
      </c>
      <c r="V76" s="68">
        <f>N50</f>
        <v>-0.70413118701963817</v>
      </c>
    </row>
    <row r="77" spans="2:22" x14ac:dyDescent="0.25">
      <c r="C77" s="1"/>
      <c r="D77" s="1"/>
      <c r="M77" s="1" t="s">
        <v>38</v>
      </c>
      <c r="N77" s="92">
        <f>N70*N68*(N61+4*N62+N63)/6</f>
        <v>-6.0894725700390436E-4</v>
      </c>
      <c r="O77" s="1">
        <f>O70*O68*(N61+4*N62+N63)/6</f>
        <v>-6.0894725700390436E-4</v>
      </c>
      <c r="P77" s="92">
        <f>P73*P72*(P67+4*P66+P65)/6</f>
        <v>6.6937949812886527E-12</v>
      </c>
      <c r="Q77" s="1">
        <f>Q70*Q68*(O61+4*O62+O63)/6</f>
        <v>-3.8166764958155546E-4</v>
      </c>
      <c r="R77" s="92">
        <f t="shared" ref="R77" si="20">R73*R72*(R67+4*R66+R65)/6</f>
        <v>2.3314132068069583E-11</v>
      </c>
      <c r="S77" s="1">
        <f>S70*S68*(Q61+4*Q62+Q63)/6</f>
        <v>4.5588541399798873E-4</v>
      </c>
      <c r="T77" s="97">
        <f>(R77+P77+N77)/N71</f>
        <v>-0.53018657386961299</v>
      </c>
      <c r="U77" s="98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99" t="s">
        <v>45</v>
      </c>
      <c r="R81" s="1" t="s">
        <v>44</v>
      </c>
      <c r="S81" s="99" t="s">
        <v>43</v>
      </c>
    </row>
    <row r="82" spans="13:22" x14ac:dyDescent="0.25">
      <c r="M82" s="1" t="s">
        <v>49</v>
      </c>
      <c r="N82" s="92">
        <f>N69*N68*0.5*(S61+S63)</f>
        <v>2.2139632279684646E-3</v>
      </c>
      <c r="O82" s="99">
        <f>N69*N68*0.5*(S61+S63)</f>
        <v>2.2139632279684646E-3</v>
      </c>
      <c r="P82" s="92">
        <f t="shared" ref="O82:S82" si="21">P69*P68*0.5*(U61+U63)</f>
        <v>-4.9930147265632755E-4</v>
      </c>
      <c r="Q82" s="99">
        <f>Q69*Q68*0.5*(T61+T63)</f>
        <v>-8.9567267535430885E-4</v>
      </c>
      <c r="R82" s="92">
        <f>R69*R68*0.5*(W61+W63)</f>
        <v>-7.578126263416989E-5</v>
      </c>
      <c r="S82" s="99">
        <f>S69*S68*0.5*(V61+V63)</f>
        <v>-2.4917984907003589E-4</v>
      </c>
      <c r="T82" s="92">
        <f>(R82+P82+N82)/$N$71</f>
        <v>1.426909253994213</v>
      </c>
      <c r="U82" s="1">
        <f>(S82+Q82+O82)/O71</f>
        <v>1.3548713279569737</v>
      </c>
      <c r="V82" s="68">
        <f>O50</f>
        <v>1.3792021463136952</v>
      </c>
    </row>
    <row r="83" spans="13:22" x14ac:dyDescent="0.25">
      <c r="M83" s="1" t="s">
        <v>38</v>
      </c>
      <c r="N83" s="92">
        <f>N69*N68*(S61+4*S62+S63)/6</f>
        <v>2.2139632279684642E-3</v>
      </c>
      <c r="O83" s="99">
        <f>N69*N68*(S61+4*S62+S63)/6</f>
        <v>2.2139632279684642E-3</v>
      </c>
      <c r="P83" s="92">
        <f>P69*P68*(U61+4*U62+U63)/6</f>
        <v>1.559060894975078E-4</v>
      </c>
      <c r="Q83" s="99">
        <f>Q69*Q68*(T61+4*T62+T63)/6</f>
        <v>-8.2168222592032077E-4</v>
      </c>
      <c r="R83" s="92">
        <f>R69*R68*(W61+4*W62+W63)/6</f>
        <v>-2.0624797438950507E-4</v>
      </c>
      <c r="S83" s="99">
        <f>S69*S68*(V61+4*V62+V63)/6</f>
        <v>-1.6764325241583726E-4</v>
      </c>
      <c r="T83" s="97">
        <f>(R83+P83+N83)/N71</f>
        <v>1.8837806236441903</v>
      </c>
      <c r="U83" s="98">
        <f>(S83+Q83+O83)/O71</f>
        <v>1.5519689108061481</v>
      </c>
    </row>
    <row r="84" spans="13:22" x14ac:dyDescent="0.25">
      <c r="O84" s="99"/>
      <c r="Q84" s="99"/>
      <c r="S84" s="99"/>
      <c r="T84" s="1" t="s">
        <v>36</v>
      </c>
      <c r="U84" s="1" t="s">
        <v>37</v>
      </c>
    </row>
    <row r="85" spans="13:22" x14ac:dyDescent="0.25">
      <c r="Q85" s="99"/>
    </row>
    <row r="86" spans="13:22" x14ac:dyDescent="0.25">
      <c r="M86" s="1" t="s">
        <v>50</v>
      </c>
      <c r="N86" s="92">
        <f>N70*N68*0.5*(S61+S63)</f>
        <v>8.9971803532692973E-4</v>
      </c>
      <c r="O86" s="99">
        <f>O70*O68*0.5*(S61+S63)</f>
        <v>8.9971803532692973E-4</v>
      </c>
      <c r="P86" s="92">
        <f t="shared" ref="O86:S86" si="22">P70*P68*0.5*(U61+U63)</f>
        <v>5.5519356226279562E-4</v>
      </c>
      <c r="Q86" s="99">
        <f>Q70*Q68*0.5*(T61+T63)</f>
        <v>6.6121278104409854E-4</v>
      </c>
      <c r="R86" s="92">
        <f t="shared" si="22"/>
        <v>-6.0399115420424238E-4</v>
      </c>
      <c r="S86" s="99">
        <f>S70*S68*0.5*(V61+V63)</f>
        <v>-9.9942617150888292E-4</v>
      </c>
      <c r="T86" s="92">
        <f>(R86+P86+N86)/$N$71</f>
        <v>0.74086320540407258</v>
      </c>
      <c r="U86" s="1">
        <f>(S86+Q86+O86)/O71</f>
        <v>0.71158818382084277</v>
      </c>
      <c r="V86" s="68">
        <f>P50</f>
        <v>0.85423793511527568</v>
      </c>
    </row>
    <row r="87" spans="13:22" x14ac:dyDescent="0.25">
      <c r="M87" s="1" t="s">
        <v>38</v>
      </c>
      <c r="N87" s="92">
        <f>N70*N68*(S61+4*S62+S63)/6</f>
        <v>8.9971803532692962E-4</v>
      </c>
      <c r="O87" s="99">
        <f>O70*O68*(S61+4*S62+S63)/6</f>
        <v>8.9971803532692962E-4</v>
      </c>
      <c r="P87" s="92">
        <f t="shared" ref="O87:S87" si="23">P70*P68*(U61+4*U62+U63)/6</f>
        <v>-1.7335830544638124E-4</v>
      </c>
      <c r="Q87" s="99">
        <f>Q70*Q68*(T61+4*T62+T63)/6</f>
        <v>6.0659078331306681E-4</v>
      </c>
      <c r="R87" s="92">
        <f t="shared" si="23"/>
        <v>-1.6438357949400875E-3</v>
      </c>
      <c r="S87" s="99">
        <f>S70*S68*(V61+4*V62+V63)/6</f>
        <v>-6.7239407426627747E-4</v>
      </c>
      <c r="T87" s="97">
        <f>(R87+P87+N87)/N71</f>
        <v>-0.79881058649521453</v>
      </c>
      <c r="U87" s="98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200" t="s">
        <v>54</v>
      </c>
      <c r="Q1" s="189"/>
      <c r="R1" s="189"/>
      <c r="S1" s="189"/>
      <c r="T1" s="189"/>
      <c r="U1" s="189"/>
      <c r="V1" s="1"/>
      <c r="W1" s="1"/>
    </row>
    <row r="2" spans="1:23" x14ac:dyDescent="0.25">
      <c r="A2" s="186">
        <v>265</v>
      </c>
      <c r="B2" s="57">
        <v>0</v>
      </c>
      <c r="C2" s="58">
        <v>0.17611626891648099</v>
      </c>
      <c r="D2" s="58">
        <v>0.119777285151598</v>
      </c>
      <c r="E2" s="58">
        <f t="shared" ref="E2:E13" si="0">SQRT(D2*D2+C2*C2)</f>
        <v>0.21298717852337842</v>
      </c>
      <c r="F2" s="58">
        <f t="shared" ref="F2:F13" si="1">1/0.96*(E2-0.04/E2)</f>
        <v>2.6231715040579813E-2</v>
      </c>
      <c r="G2" s="59">
        <f t="shared" ref="G2:G11" si="2">-F2*D2/E2</f>
        <v>-1.4751890861290105E-2</v>
      </c>
      <c r="H2" s="58">
        <v>-1.5655313257074099E-2</v>
      </c>
      <c r="I2" s="59">
        <f t="shared" ref="I2:I11" si="3">F2*C2/E2</f>
        <v>2.169065674401692E-2</v>
      </c>
      <c r="J2" s="58">
        <v>2.3750757772751999E-2</v>
      </c>
      <c r="K2" s="60">
        <f t="shared" ref="K2:K9" si="4">ABS((G2-H2)/G2)*100</f>
        <v>6.1241125241417755</v>
      </c>
      <c r="L2" s="195">
        <f t="shared" ref="L2:L9" si="5">ABS((I2-J2)/I2)*100</f>
        <v>9.4976424782681139</v>
      </c>
      <c r="M2" s="184">
        <f>-1/12*C2*D2/(D2*D2+C2*C2)^2</f>
        <v>-0.85423793511527568</v>
      </c>
      <c r="N2" s="182">
        <f>-1/0.96*(1-0.04*(C2*C2-D2*D2)/(C2*C2+D2*D2)^2)</f>
        <v>-0.70413118701963817</v>
      </c>
      <c r="O2" s="182">
        <f>1/0.96*(1-0.04*(D2*D2-C2*C2)/(C2*C2+D2*D2)^2)</f>
        <v>1.3792021463136952</v>
      </c>
      <c r="P2" s="180">
        <f>1/12*C2*D2/(C2*C2+D2*D2)^2</f>
        <v>0.85423793511527568</v>
      </c>
      <c r="Q2" s="192"/>
      <c r="R2" s="190"/>
      <c r="S2" s="190"/>
      <c r="T2" s="191"/>
      <c r="U2" s="192"/>
      <c r="V2" s="68"/>
      <c r="W2" s="68"/>
    </row>
    <row r="3" spans="1:23" x14ac:dyDescent="0.25">
      <c r="A3" s="187"/>
      <c r="B3" s="70">
        <v>1</v>
      </c>
      <c r="C3" s="71">
        <v>0.190222436080876</v>
      </c>
      <c r="D3" s="71">
        <v>0.114067302087277</v>
      </c>
      <c r="E3" s="71">
        <f t="shared" si="0"/>
        <v>0.22180154326337106</v>
      </c>
      <c r="F3" s="71">
        <f t="shared" si="1"/>
        <v>4.3187653150768342E-2</v>
      </c>
      <c r="G3" s="72">
        <f t="shared" si="2"/>
        <v>-2.2210391352145184E-2</v>
      </c>
      <c r="H3" s="71">
        <v>-2.3030983868594701E-2</v>
      </c>
      <c r="I3" s="72">
        <f t="shared" si="3"/>
        <v>3.7038789135926474E-2</v>
      </c>
      <c r="J3" s="73">
        <v>3.9279212352311701E-2</v>
      </c>
      <c r="K3" s="74">
        <f t="shared" si="4"/>
        <v>3.6946333067213621</v>
      </c>
      <c r="L3" s="196">
        <f t="shared" si="5"/>
        <v>6.0488565329801416</v>
      </c>
      <c r="M3" s="185"/>
      <c r="N3" s="183"/>
      <c r="O3" s="183"/>
      <c r="P3" s="181"/>
      <c r="Q3" s="192"/>
      <c r="R3" s="192"/>
      <c r="S3" s="192"/>
      <c r="T3" s="192"/>
      <c r="U3" s="192"/>
      <c r="V3" s="68"/>
      <c r="W3" s="68"/>
    </row>
    <row r="4" spans="1:23" x14ac:dyDescent="0.25">
      <c r="A4" s="187"/>
      <c r="B4" s="70">
        <v>2</v>
      </c>
      <c r="C4" s="71">
        <v>0.17548863081863</v>
      </c>
      <c r="D4" s="71">
        <v>0.134346645269975</v>
      </c>
      <c r="E4" s="71">
        <f t="shared" si="0"/>
        <v>0.22100968449797379</v>
      </c>
      <c r="F4" s="71">
        <f t="shared" si="1"/>
        <v>4.168972967362114E-2</v>
      </c>
      <c r="G4" s="72">
        <f t="shared" si="2"/>
        <v>-2.5342216729486704E-2</v>
      </c>
      <c r="H4" s="71">
        <v>-2.63582618704498E-2</v>
      </c>
      <c r="I4" s="72">
        <f t="shared" si="3"/>
        <v>3.310295472454583E-2</v>
      </c>
      <c r="J4" s="73">
        <v>3.2982648593747901E-2</v>
      </c>
      <c r="K4" s="74">
        <f t="shared" si="4"/>
        <v>4.0092986016526551</v>
      </c>
      <c r="L4" s="196">
        <f t="shared" si="5"/>
        <v>0.36343018863123316</v>
      </c>
      <c r="M4" s="198">
        <v>-0.83478975574671499</v>
      </c>
      <c r="N4" s="178">
        <v>-0.77058253599049198</v>
      </c>
      <c r="O4" s="178">
        <v>1.38140952302927</v>
      </c>
      <c r="P4" s="176">
        <v>0.693161263386181</v>
      </c>
      <c r="Q4" s="192"/>
      <c r="R4" s="192"/>
      <c r="S4" s="192"/>
      <c r="T4" s="192"/>
      <c r="U4" s="192"/>
      <c r="V4" s="68"/>
      <c r="W4" s="68"/>
    </row>
    <row r="5" spans="1:23" ht="16.5" thickBot="1" x14ac:dyDescent="0.3">
      <c r="A5" s="188"/>
      <c r="B5" s="83">
        <v>3</v>
      </c>
      <c r="C5" s="85">
        <v>0.16052753074652701</v>
      </c>
      <c r="D5" s="162">
        <v>0.11663007800304</v>
      </c>
      <c r="E5" s="71">
        <f t="shared" si="0"/>
        <v>0.19842294026289492</v>
      </c>
      <c r="F5" s="71">
        <f t="shared" si="1"/>
        <v>-3.2985978114220831E-3</v>
      </c>
      <c r="G5" s="84">
        <f t="shared" si="2"/>
        <v>1.9388671467981287E-3</v>
      </c>
      <c r="H5" s="85">
        <v>0</v>
      </c>
      <c r="I5" s="84">
        <f t="shared" si="3"/>
        <v>-2.6686216870484736E-3</v>
      </c>
      <c r="J5" s="85">
        <v>0</v>
      </c>
      <c r="K5" s="86">
        <f t="shared" si="4"/>
        <v>100</v>
      </c>
      <c r="L5" s="197">
        <f t="shared" si="5"/>
        <v>100</v>
      </c>
      <c r="M5" s="199"/>
      <c r="N5" s="179"/>
      <c r="O5" s="179"/>
      <c r="P5" s="177"/>
      <c r="Q5" s="192"/>
      <c r="R5" s="192"/>
      <c r="S5" s="192"/>
      <c r="T5" s="192"/>
      <c r="U5" s="192"/>
      <c r="V5" s="68"/>
      <c r="W5" s="68"/>
    </row>
    <row r="6" spans="1:23" x14ac:dyDescent="0.25">
      <c r="A6" s="41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135">
        <f t="shared" si="2"/>
        <v>-4.6704348934045682E-4</v>
      </c>
      <c r="H6" s="5">
        <v>-2.47660064342646E-2</v>
      </c>
      <c r="I6" s="135">
        <f t="shared" si="3"/>
        <v>4.4536593620974389E-2</v>
      </c>
      <c r="J6" s="5">
        <v>1.18796956014718E-2</v>
      </c>
      <c r="K6" s="23">
        <f t="shared" si="4"/>
        <v>5202.7195538553215</v>
      </c>
      <c r="L6" s="203">
        <f t="shared" si="5"/>
        <v>73.325989628723903</v>
      </c>
      <c r="M6" s="136">
        <f>-1/12*C6*D6/(D6*D6+C6*C6)^2</f>
        <v>-1.7647392819587937E-2</v>
      </c>
      <c r="N6" s="137">
        <f>-1/0.96*(1-0.04*(C6*C6-D6*D6)/(C6*C6+D6*D6)^2)</f>
        <v>-0.20034423343735036</v>
      </c>
      <c r="O6" s="137">
        <f>1/0.96*(1-0.04*(D6*D6-C6*C6)/(C6*C6+D6*D6)^2)</f>
        <v>1.8829890998959831</v>
      </c>
      <c r="P6" s="154">
        <f>1/12*C6*D6/(C6*C6+D6*D6)^2</f>
        <v>1.7647392819587937E-2</v>
      </c>
      <c r="Q6" s="189"/>
      <c r="R6" s="193"/>
      <c r="S6" s="193"/>
      <c r="T6" s="194"/>
      <c r="U6" s="189"/>
      <c r="V6" s="1"/>
      <c r="W6" s="1"/>
    </row>
    <row r="7" spans="1:23" x14ac:dyDescent="0.25">
      <c r="A7" s="42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140">
        <f t="shared" si="2"/>
        <v>-3.4825255323831572E-2</v>
      </c>
      <c r="H7" s="30">
        <v>-3.5485857118764397E-2</v>
      </c>
      <c r="I7" s="14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41"/>
      <c r="N7" s="142"/>
      <c r="O7" s="142"/>
      <c r="P7" s="151"/>
      <c r="Q7" s="189"/>
      <c r="R7" s="189"/>
      <c r="S7" s="189"/>
      <c r="T7" s="189"/>
      <c r="U7" s="189"/>
      <c r="V7" s="1"/>
      <c r="W7" s="1"/>
    </row>
    <row r="8" spans="1:23" x14ac:dyDescent="0.25">
      <c r="A8" s="42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140">
        <f t="shared" si="2"/>
        <v>-3.6593590598740164E-2</v>
      </c>
      <c r="H8" s="30">
        <v>-3.8356842277377297E-2</v>
      </c>
      <c r="I8" s="14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41">
        <v>-0.75102409503844803</v>
      </c>
      <c r="N8" s="39">
        <v>-1.2240644664056901</v>
      </c>
      <c r="O8" s="39">
        <v>0.88608863953621098</v>
      </c>
      <c r="P8" s="151">
        <v>0.83453592960603096</v>
      </c>
      <c r="Q8" s="189"/>
      <c r="R8" s="189"/>
      <c r="S8" s="189"/>
      <c r="T8" s="189"/>
      <c r="U8" s="189"/>
      <c r="V8" s="1"/>
      <c r="W8" s="1"/>
    </row>
    <row r="9" spans="1:23" ht="16.5" thickBot="1" x14ac:dyDescent="0.3">
      <c r="A9" s="43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152">
        <f t="shared" si="2"/>
        <v>2.9846605349800074E-3</v>
      </c>
      <c r="H9" s="31">
        <v>0</v>
      </c>
      <c r="I9" s="152">
        <f t="shared" si="3"/>
        <v>-1.404474639305451E-3</v>
      </c>
      <c r="J9" s="31">
        <v>0</v>
      </c>
      <c r="K9" s="25">
        <f t="shared" si="4"/>
        <v>100</v>
      </c>
      <c r="L9" s="204">
        <f t="shared" si="5"/>
        <v>100</v>
      </c>
      <c r="M9" s="158"/>
      <c r="N9" s="40"/>
      <c r="O9" s="40"/>
      <c r="P9" s="156"/>
      <c r="Q9" s="189"/>
      <c r="R9" s="189"/>
      <c r="S9" s="189"/>
      <c r="T9" s="189"/>
      <c r="U9" s="189"/>
      <c r="V9" s="1"/>
      <c r="W9" s="1"/>
    </row>
    <row r="10" spans="1:23" x14ac:dyDescent="0.25">
      <c r="A10" s="1"/>
      <c r="B10" s="201" t="s">
        <v>16</v>
      </c>
      <c r="C10" s="201">
        <v>0.18440870361653799</v>
      </c>
      <c r="D10" s="201">
        <v>0.148979292368354</v>
      </c>
      <c r="E10" s="201">
        <f t="shared" si="0"/>
        <v>0.23706834357228646</v>
      </c>
      <c r="F10" s="201">
        <f t="shared" si="1"/>
        <v>7.1188154366406159E-2</v>
      </c>
      <c r="G10" s="202">
        <f t="shared" si="2"/>
        <v>-4.4736301366540367E-2</v>
      </c>
      <c r="H10" s="201">
        <v>1</v>
      </c>
      <c r="I10" s="202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140">
        <f t="shared" si="2"/>
        <v>-2.557769163264613E-2</v>
      </c>
      <c r="H11" s="30"/>
      <c r="I11" s="140">
        <f t="shared" si="3"/>
        <v>4.8513512095965501E-2</v>
      </c>
      <c r="J11" s="1"/>
      <c r="K11" s="1"/>
      <c r="L11" s="1"/>
      <c r="M11" s="1"/>
      <c r="N11" s="93" t="s">
        <v>39</v>
      </c>
      <c r="O11" s="93"/>
      <c r="P11" s="93"/>
      <c r="Q11" s="93"/>
      <c r="R11" s="93"/>
      <c r="S11" s="94" t="s">
        <v>40</v>
      </c>
      <c r="T11" s="94"/>
      <c r="U11" s="94"/>
      <c r="V11" s="94"/>
      <c r="W11" s="94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140">
        <v>0</v>
      </c>
      <c r="H12" s="30"/>
      <c r="I12" s="14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95" t="s">
        <v>19</v>
      </c>
      <c r="T12" s="95" t="s">
        <v>26</v>
      </c>
      <c r="U12" s="95" t="s">
        <v>20</v>
      </c>
      <c r="V12" s="95" t="s">
        <v>27</v>
      </c>
      <c r="W12" s="95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140">
        <v>1.47518908612904E-2</v>
      </c>
      <c r="H13" s="30"/>
      <c r="I13" s="140">
        <f t="shared" ref="I13" si="6"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92">
        <f>G10</f>
        <v>-4.4736301366540367E-2</v>
      </c>
      <c r="Q13" s="1">
        <f>G11</f>
        <v>-2.557769163264613E-2</v>
      </c>
      <c r="R13" s="92">
        <f>G11</f>
        <v>-2.557769163264613E-2</v>
      </c>
      <c r="S13" s="95">
        <f>I10</f>
        <v>5.5375235097806591E-2</v>
      </c>
      <c r="T13" s="95">
        <f>I10</f>
        <v>5.5375235097806591E-2</v>
      </c>
      <c r="U13" s="96">
        <f>I10</f>
        <v>5.5375235097806591E-2</v>
      </c>
      <c r="V13" s="95">
        <f>I11</f>
        <v>4.8513512095965501E-2</v>
      </c>
      <c r="W13" s="96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7">0.5*(D10+D11)</f>
        <v>0.12766838731105251</v>
      </c>
      <c r="E14" s="1">
        <f t="shared" si="7"/>
        <v>0.23255906611877844</v>
      </c>
      <c r="F14" s="1">
        <f t="shared" si="7"/>
        <v>6.301568893898854E-2</v>
      </c>
      <c r="G14" s="1">
        <f t="shared" si="7"/>
        <v>-3.5156996499593252E-2</v>
      </c>
      <c r="H14" s="1">
        <f t="shared" si="7"/>
        <v>0.5</v>
      </c>
      <c r="I14" s="1">
        <f t="shared" si="7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92">
        <f>G16</f>
        <v>7.3759454306452001E-3</v>
      </c>
      <c r="Q14" s="1">
        <f>G17</f>
        <v>-1.0202552819151426E-2</v>
      </c>
      <c r="R14" s="92">
        <f>G18</f>
        <v>-2.3972921157958158E-2</v>
      </c>
      <c r="S14" s="95">
        <f>I14</f>
        <v>5.1944373596886043E-2</v>
      </c>
      <c r="T14" s="95">
        <f>I15</f>
        <v>2.4256756047982751E-2</v>
      </c>
      <c r="U14" s="96">
        <f>I16</f>
        <v>-1.3621369421294166E-2</v>
      </c>
      <c r="V14" s="95">
        <f>I17</f>
        <v>1.2350817377148856E-2</v>
      </c>
      <c r="W14" s="96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7"/>
        <v>0.21323636446408267</v>
      </c>
      <c r="F15" s="1">
        <f t="shared" si="7"/>
        <v>2.5772312850074426E-2</v>
      </c>
      <c r="G15" s="1">
        <f t="shared" si="7"/>
        <v>-1.2788845816323065E-2</v>
      </c>
      <c r="H15" s="1">
        <f t="shared" si="7"/>
        <v>0</v>
      </c>
      <c r="I15" s="1">
        <f t="shared" si="7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92">
        <f>G13</f>
        <v>1.47518908612904E-2</v>
      </c>
      <c r="Q15" s="1">
        <f>G12</f>
        <v>0</v>
      </c>
      <c r="R15" s="92">
        <f>G13</f>
        <v>1.47518908612904E-2</v>
      </c>
      <c r="S15" s="95">
        <f>I11</f>
        <v>4.8513512095965501E-2</v>
      </c>
      <c r="T15" s="95">
        <f>I12</f>
        <v>0</v>
      </c>
      <c r="U15" s="96">
        <f>I13</f>
        <v>-2.7242738842588331E-2</v>
      </c>
      <c r="V15" s="95">
        <f>I12</f>
        <v>0</v>
      </c>
      <c r="W15" s="96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7"/>
        <v>0.1912516998830755</v>
      </c>
      <c r="F16" s="1">
        <f t="shared" si="7"/>
        <v>-1.8949208043637141E-2</v>
      </c>
      <c r="G16" s="1">
        <f t="shared" si="7"/>
        <v>7.3759454306452001E-3</v>
      </c>
      <c r="H16" s="1">
        <f t="shared" si="7"/>
        <v>0</v>
      </c>
      <c r="I16" s="1">
        <f t="shared" si="7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7"/>
        <v>0.20831976281101725</v>
      </c>
      <c r="F17" s="1">
        <f t="shared" si="7"/>
        <v>1.420793533156817E-2</v>
      </c>
      <c r="G17" s="1">
        <f t="shared" si="7"/>
        <v>-1.0202552819151426E-2</v>
      </c>
      <c r="H17" s="1">
        <f t="shared" si="7"/>
        <v>0.25</v>
      </c>
      <c r="I17" s="1">
        <f t="shared" si="7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7"/>
        <v>0.22289771529143054</v>
      </c>
      <c r="F18" s="1">
        <f t="shared" si="7"/>
        <v>4.439400089453148E-2</v>
      </c>
      <c r="G18" s="1">
        <f t="shared" si="7"/>
        <v>-2.3972921157958158E-2</v>
      </c>
      <c r="H18" s="1">
        <f t="shared" si="7"/>
        <v>0.25</v>
      </c>
      <c r="I18" s="1">
        <f t="shared" si="7"/>
        <v>3.8100564822434395E-2</v>
      </c>
      <c r="J18" s="1"/>
      <c r="K18" s="1"/>
      <c r="L18" s="1"/>
      <c r="M18" s="1"/>
      <c r="N18" s="92">
        <v>0</v>
      </c>
      <c r="O18" s="1">
        <v>0</v>
      </c>
      <c r="P18" s="92">
        <v>0</v>
      </c>
      <c r="Q18" s="1">
        <v>0</v>
      </c>
      <c r="R18" s="9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92">
        <f>N20/2</f>
        <v>2.3003416935436949E-2</v>
      </c>
      <c r="O19" s="1">
        <f>O20/2</f>
        <v>2.3003416935436949E-2</v>
      </c>
      <c r="P19" s="92">
        <f t="shared" ref="P19:S19" si="8">P20/2</f>
        <v>2.6541805787253701E-2</v>
      </c>
      <c r="Q19" s="1">
        <f t="shared" si="8"/>
        <v>2.0104614443582251E-2</v>
      </c>
      <c r="R19" s="92">
        <f t="shared" si="8"/>
        <v>2.86179832805003E-2</v>
      </c>
      <c r="S19" s="1">
        <f t="shared" si="8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92">
        <v>4.6006833870873898E-2</v>
      </c>
      <c r="O20" s="1">
        <v>4.6006833870873898E-2</v>
      </c>
      <c r="P20" s="92">
        <v>5.3083611574507403E-2</v>
      </c>
      <c r="Q20" s="1">
        <v>4.0209228887164501E-2</v>
      </c>
      <c r="R20" s="9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92">
        <v>0.92642345774604395</v>
      </c>
      <c r="O21" s="1">
        <v>0.92642345774604395</v>
      </c>
      <c r="P21" s="92">
        <v>-0.66868889401109799</v>
      </c>
      <c r="Q21" s="27">
        <v>-0.80452212739749096</v>
      </c>
      <c r="R21" s="9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92">
        <v>0.37648316952801902</v>
      </c>
      <c r="O22" s="1">
        <v>0.37648316952801902</v>
      </c>
      <c r="P22" s="92">
        <v>0.743542307489098</v>
      </c>
      <c r="Q22" s="27">
        <v>0.59392267722980097</v>
      </c>
      <c r="R22" s="9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92">
        <v>1.1485527114568799E-3</v>
      </c>
      <c r="O23" s="1">
        <v>7.8908652171143397E-4</v>
      </c>
      <c r="P23" s="92"/>
      <c r="Q23" s="1"/>
      <c r="R23" s="9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92">
        <f>N21*N20*0.5*(N15+N13)</f>
        <v>-1.4984548290054192E-3</v>
      </c>
      <c r="O24" s="1">
        <f>O21*O20*0.5*(N15+N13)</f>
        <v>-1.4984548290054192E-3</v>
      </c>
      <c r="P24" s="92">
        <f t="shared" ref="P24:R24" si="9">P21*P20*0.5*(P15+P13)</f>
        <v>5.3216963706966339E-4</v>
      </c>
      <c r="Q24" s="1">
        <f>Q21*Q20*0.5*(O15+O13)</f>
        <v>7.2359210140875716E-4</v>
      </c>
      <c r="R24" s="92">
        <f t="shared" si="9"/>
        <v>3.8569018704999514E-5</v>
      </c>
      <c r="S24" s="1">
        <f>S21*S20*0.5*(Q15+Q13)</f>
        <v>1.3137464317106642E-4</v>
      </c>
      <c r="T24" s="92">
        <f>(R24+P24+N24)/$N$23</f>
        <v>-0.80772624884929856</v>
      </c>
      <c r="U24" s="1">
        <f>(S24+Q24+O24)/O23</f>
        <v>-0.8154848254535475</v>
      </c>
      <c r="V24" s="6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92">
        <f>N21*N20*(N15+4*N14+N13)/6</f>
        <v>-1.498454829005419E-3</v>
      </c>
      <c r="O25" s="1">
        <f>O21*O20*(N15+4*N14+N13)/6</f>
        <v>-1.498454829005419E-3</v>
      </c>
      <c r="P25" s="92">
        <f>P21*P20*(P15+4*P14+P13)/6</f>
        <v>2.8434336435540082E-6</v>
      </c>
      <c r="Q25" s="1">
        <f>Q21*Q20*(O15+4*O14+O13)/6</f>
        <v>5.1700344366771025E-4</v>
      </c>
      <c r="R25" s="92">
        <f t="shared" ref="R25:U25" si="10">R21*R20*(R15+4*R14+R13)/6</f>
        <v>1.2673392566508605E-4</v>
      </c>
      <c r="S25" s="1">
        <f>S21*S20*(Q15+4*Q14+Q13)/6</f>
        <v>1.1366268153829308E-4</v>
      </c>
      <c r="T25" s="97">
        <f>(R25+P25+N25)/N23</f>
        <v>-1.1918281642994237</v>
      </c>
      <c r="U25" s="98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92">
        <f>N22*N20*0.5*(N13+N15)</f>
        <v>-6.0894725700390436E-4</v>
      </c>
      <c r="O28" s="1">
        <f>O22*O20*0.5*(N13+N15)</f>
        <v>-6.0894725700390436E-4</v>
      </c>
      <c r="P28" s="92">
        <f>P22*P20*0.5*(P13+P15)</f>
        <v>-5.9174100761399246E-4</v>
      </c>
      <c r="Q28" s="1">
        <f>Q22*Q20*0.5*(O13+O15)</f>
        <v>-5.341776732496207E-4</v>
      </c>
      <c r="R28" s="92">
        <f>R22*R20*0.5*(R13+R15)</f>
        <v>3.0740245430608285E-4</v>
      </c>
      <c r="S28" s="1">
        <f>S22*S20*0.5*(Q13+Q15)</f>
        <v>5.2692566091450197E-4</v>
      </c>
      <c r="T28" s="92">
        <f>(R28+P28+N28)/$N$23</f>
        <v>-0.7777490762080278</v>
      </c>
      <c r="U28" s="1">
        <f>(S28+Q28+O28)/O23</f>
        <v>-0.78090203340764308</v>
      </c>
      <c r="V28" s="6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92">
        <f>N22*N20*(N13+4*N14+N15)/6</f>
        <v>-6.0894725700390436E-4</v>
      </c>
      <c r="O29" s="1">
        <f>O22*O20*(N13+4*N14+N15)/6</f>
        <v>-6.0894725700390436E-4</v>
      </c>
      <c r="P29" s="92">
        <f>P25*P24*(P19+4*P18+P17)/6</f>
        <v>6.6937949812886527E-12</v>
      </c>
      <c r="Q29" s="1">
        <f>Q22*Q20*(O13+4*O14+O15)/6</f>
        <v>-3.8166764958155546E-4</v>
      </c>
      <c r="R29" s="92">
        <f t="shared" ref="R29" si="11">R25*R24*(R19+4*R18+R17)/6</f>
        <v>2.3314132068069583E-11</v>
      </c>
      <c r="S29" s="1">
        <f>S22*S20*(Q13+4*Q14+Q15)/6</f>
        <v>4.5588541399798873E-4</v>
      </c>
      <c r="T29" s="97">
        <f>(R29+P29+N29)/N23</f>
        <v>-0.53018657386961299</v>
      </c>
      <c r="U29" s="98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  <mergeCell ref="A2:A5"/>
    <mergeCell ref="M2:M3"/>
    <mergeCell ref="N2:N3"/>
    <mergeCell ref="O2:O3"/>
    <mergeCell ref="P2:P3"/>
    <mergeCell ref="M4:M5"/>
    <mergeCell ref="N4:N5"/>
    <mergeCell ref="O4:O5"/>
    <mergeCell ref="P4:P5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J27" sqref="J27"/>
    </sheetView>
  </sheetViews>
  <sheetFormatPr defaultRowHeight="15.75" x14ac:dyDescent="0.25"/>
  <cols>
    <col min="3" max="3" width="11.375" bestFit="1" customWidth="1"/>
    <col min="4" max="4" width="12.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73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200" t="s">
        <v>78</v>
      </c>
      <c r="U1" s="27" t="s">
        <v>80</v>
      </c>
      <c r="V1" s="231" t="s">
        <v>3</v>
      </c>
    </row>
    <row r="2" spans="1:22" s="173" customFormat="1" x14ac:dyDescent="0.25">
      <c r="A2" s="164" t="s">
        <v>70</v>
      </c>
      <c r="B2" s="6">
        <v>0</v>
      </c>
      <c r="C2" s="5">
        <v>0.16434804458275601</v>
      </c>
      <c r="D2" s="5">
        <v>-0.306231958188876</v>
      </c>
      <c r="E2" s="5">
        <f t="shared" ref="E2:E5" si="0">SQRT(D2*D2+C2*C2)</f>
        <v>0.34754610050232049</v>
      </c>
      <c r="F2" s="5">
        <f t="shared" ref="F2:F5" si="1">1/0.96*(E2-0.04/E2)</f>
        <v>0.24213901604708857</v>
      </c>
      <c r="G2" s="135">
        <f t="shared" ref="G2:G5" si="2">-F2*D2/E2</f>
        <v>0.21335501946606511</v>
      </c>
      <c r="H2" s="5">
        <v>0.213355019466066</v>
      </c>
      <c r="I2" s="135">
        <f>F2*C2/E2</f>
        <v>0.11450300764996178</v>
      </c>
      <c r="J2" s="5">
        <v>0.114503007649962</v>
      </c>
      <c r="K2" s="4">
        <f>ABS((G2-H2)/G2)*100</f>
        <v>4.1629131666217638E-13</v>
      </c>
      <c r="L2" s="7">
        <f>ABS((I2-J2)/I2)*100</f>
        <v>1.9392032531042902E-13</v>
      </c>
      <c r="M2" s="225">
        <f>-1/12*C2*D2/(D2*D2+C2*C2)^2</f>
        <v>0.2874644381839454</v>
      </c>
      <c r="N2" s="219">
        <f>-1/0.96*(1-0.04*(C2*C2-D2*D2)/(C2*C2+D2*D2)^2)</f>
        <v>-1.2323469133988534</v>
      </c>
      <c r="O2" s="170">
        <f>1/0.96*(1-0.04*(D2*D2-C2*C2)/(C2*C2+D2*D2)^2)</f>
        <v>0.85098641993448032</v>
      </c>
      <c r="P2" s="225">
        <f>1/12*C2*D2/(C2*C2+D2*D2)^2</f>
        <v>-0.2874644381839454</v>
      </c>
      <c r="Q2" s="216">
        <v>6.3629380283494004E-3</v>
      </c>
      <c r="R2" s="236" t="s">
        <v>64</v>
      </c>
      <c r="S2" s="236" t="s">
        <v>64</v>
      </c>
      <c r="T2" s="243" t="s">
        <v>64</v>
      </c>
      <c r="U2" s="243" t="s">
        <v>64</v>
      </c>
      <c r="V2" s="236" t="s">
        <v>64</v>
      </c>
    </row>
    <row r="3" spans="1:22" s="173" customFormat="1" x14ac:dyDescent="0.25">
      <c r="A3" s="165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140">
        <f t="shared" si="2"/>
        <v>0.27973068747088631</v>
      </c>
      <c r="H3" s="30">
        <v>0.25344389173264098</v>
      </c>
      <c r="I3" s="140">
        <f>F3*C3/E3</f>
        <v>6.8771293798320851E-2</v>
      </c>
      <c r="J3" s="30">
        <v>7.3410185145626194E-2</v>
      </c>
      <c r="K3" s="16">
        <f>ABS((G3-H3)/G3)*100</f>
        <v>9.3971798288956734</v>
      </c>
      <c r="L3" s="8">
        <f>ABS((I3-J3)/I3)*100</f>
        <v>6.7453890876466378</v>
      </c>
      <c r="M3" s="226"/>
      <c r="N3" s="220"/>
      <c r="O3" s="171"/>
      <c r="P3" s="226"/>
      <c r="Q3" s="217"/>
      <c r="R3" s="237">
        <f>SQRT(POWER((C4-C3),2)+POWER((D4-D3),2))</f>
        <v>0.20066838043017104</v>
      </c>
      <c r="S3" s="237">
        <f>R3/2</f>
        <v>0.10033419021508552</v>
      </c>
      <c r="T3" s="244">
        <f>G5*T8+I5*U8</f>
        <v>-2.4575249243004765E-15</v>
      </c>
      <c r="U3" s="244">
        <f>H5*T8+J5*U8</f>
        <v>4.5932712425139494E-2</v>
      </c>
      <c r="V3" s="237">
        <f>SQRT(C5*C5+D5*D5)</f>
        <v>0.19999999999999882</v>
      </c>
    </row>
    <row r="4" spans="1:22" s="173" customFormat="1" x14ac:dyDescent="0.25">
      <c r="A4" s="165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140">
        <f t="shared" si="2"/>
        <v>0.31134913494679317</v>
      </c>
      <c r="H4" s="30">
        <v>0.34625859228177303</v>
      </c>
      <c r="I4" s="140">
        <f>F4*C4/E4</f>
        <v>0.24829264977162468</v>
      </c>
      <c r="J4" s="30">
        <v>0.22213466771509899</v>
      </c>
      <c r="K4" s="16">
        <f>ABS((G4-H4)/G4)*100</f>
        <v>11.212318717681862</v>
      </c>
      <c r="L4" s="8">
        <f>ABS((I4-J4)/I4)*100</f>
        <v>10.535141527783992</v>
      </c>
      <c r="M4" s="227">
        <v>0.49003311552115603</v>
      </c>
      <c r="N4" s="53">
        <v>-1.1847673396731999</v>
      </c>
      <c r="O4" s="168">
        <v>0.74624297082319102</v>
      </c>
      <c r="P4" s="227">
        <v>-0.211992642771656</v>
      </c>
      <c r="Q4" s="242"/>
      <c r="R4" s="237">
        <f>SQRT(POWER((C5-C4),2)+POWER((D5-D4),2))</f>
        <v>0.26780667737880604</v>
      </c>
      <c r="S4" s="237">
        <f t="shared" ref="S4:S5" si="3">R4/2</f>
        <v>0.13390333868940302</v>
      </c>
      <c r="T4" s="244">
        <f>G8*T8+I8*U8</f>
        <v>0.2230293649145943</v>
      </c>
      <c r="U4" s="244">
        <f>H8*T8+J8*U8</f>
        <v>0.22575044686660653</v>
      </c>
      <c r="V4" s="237">
        <f>SQRT(C8*C8+D8*D8)</f>
        <v>0.33390333868940225</v>
      </c>
    </row>
    <row r="5" spans="1:22" s="173" customFormat="1" ht="16.5" thickBot="1" x14ac:dyDescent="0.3">
      <c r="A5" s="165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152">
        <f t="shared" si="2"/>
        <v>-1.9213703547679742E-15</v>
      </c>
      <c r="H5" s="31">
        <v>1.6369223854397701E-2</v>
      </c>
      <c r="I5" s="152">
        <f>F5*C5/E5</f>
        <v>-1.532241728115004E-15</v>
      </c>
      <c r="J5" s="31">
        <v>5.3143993331445302E-2</v>
      </c>
      <c r="K5" s="19">
        <f>ABS((G5-H5)/G5)*100</f>
        <v>851955679121341.5</v>
      </c>
      <c r="L5" s="175">
        <f>ABS((I5-J5)/I5)*100</f>
        <v>3468381806624317.5</v>
      </c>
      <c r="M5" s="228"/>
      <c r="N5" s="167"/>
      <c r="O5" s="169"/>
      <c r="P5" s="228"/>
      <c r="Q5" s="218"/>
      <c r="R5" s="238">
        <f>SQRT(POWER((C3-C5),2)+POWER((D3-D5),2))</f>
        <v>0.21664393425670642</v>
      </c>
      <c r="S5" s="238">
        <f t="shared" si="3"/>
        <v>0.10832196712835321</v>
      </c>
      <c r="T5" s="245">
        <f>G4*T8+I4*U8</f>
        <v>0.39823049074968009</v>
      </c>
      <c r="U5" s="245">
        <f>H4*T8+J4*U8</f>
        <v>0.40921456848059423</v>
      </c>
      <c r="V5" s="238">
        <f>SQRT(C4*C4+D4*D4)</f>
        <v>0.46780667737880488</v>
      </c>
    </row>
    <row r="6" spans="1:22" s="173" customFormat="1" ht="19.5" thickBot="1" x14ac:dyDescent="0.3">
      <c r="A6" s="165"/>
      <c r="B6" s="6">
        <v>0</v>
      </c>
      <c r="C6" s="5">
        <v>0.16434804458275601</v>
      </c>
      <c r="D6" s="5">
        <v>-0.306231958188876</v>
      </c>
      <c r="E6" s="5">
        <f t="shared" ref="E6" si="4">SQRT(D6*D6+C6*C6)</f>
        <v>0.34754610050232049</v>
      </c>
      <c r="F6" s="5">
        <f t="shared" ref="F6" si="5">1/0.96*(E6-0.04/E6)</f>
        <v>0.24213901604708857</v>
      </c>
      <c r="G6" s="135">
        <f t="shared" ref="G6" si="6">-F6*D6/E6</f>
        <v>0.21335501946606511</v>
      </c>
      <c r="H6" s="5">
        <v>0.21074119961145901</v>
      </c>
      <c r="I6" s="135">
        <f>F6*C6/E6</f>
        <v>0.11450300764996178</v>
      </c>
      <c r="J6" s="5">
        <v>0.118074429116284</v>
      </c>
      <c r="K6" s="4">
        <f>ABS((G6-H6)/G6)*100</f>
        <v>1.2251035204830676</v>
      </c>
      <c r="L6" s="7">
        <f>ABS((I6-J6)/I6)*100</f>
        <v>3.1190634548571303</v>
      </c>
      <c r="M6" s="225">
        <f>-1/12*C6*D6/(D6*D6+C6*C6)^2</f>
        <v>0.2874644381839454</v>
      </c>
      <c r="N6" s="219">
        <f>-1/0.96*(1-0.04*(C6*C6-D6*D6)/(C6*C6+D6*D6)^2)</f>
        <v>-1.2323469133988534</v>
      </c>
      <c r="O6" s="170">
        <f>1/0.96*(1-0.04*(D6*D6-C6*C6)/(C6*C6+D6*D6)^2)</f>
        <v>0.85098641993448032</v>
      </c>
      <c r="P6" s="225">
        <f>1/12*C6*D6/(C6*C6+D6*D6)^2</f>
        <v>-0.2874644381839454</v>
      </c>
      <c r="Q6" s="216">
        <v>4.3427807501454701E-3</v>
      </c>
      <c r="R6" s="246" t="s">
        <v>77</v>
      </c>
      <c r="S6" s="246" t="s">
        <v>76</v>
      </c>
      <c r="T6" s="241" t="s">
        <v>31</v>
      </c>
      <c r="U6" s="172" t="s">
        <v>32</v>
      </c>
      <c r="V6" s="236"/>
    </row>
    <row r="7" spans="1:22" s="173" customFormat="1" ht="16.5" thickBot="1" x14ac:dyDescent="0.3">
      <c r="A7" s="165"/>
      <c r="B7" s="2" t="s">
        <v>55</v>
      </c>
      <c r="C7" s="30">
        <v>0.19136528810919901</v>
      </c>
      <c r="D7" s="30">
        <v>-0.368064248858951</v>
      </c>
      <c r="E7" s="30">
        <f t="shared" ref="E7:E9" si="7">SQRT(D7*D7+C7*C7)</f>
        <v>0.41483968563918827</v>
      </c>
      <c r="F7" s="30">
        <f t="shared" ref="F7:F9" si="8">1/0.96*(E7-0.04/E7)</f>
        <v>0.33168426601976631</v>
      </c>
      <c r="G7" s="140">
        <f t="shared" ref="G7:G9" si="9">-F7*D7/E7</f>
        <v>0.29428505626889151</v>
      </c>
      <c r="H7" s="30">
        <v>0.29537080776554803</v>
      </c>
      <c r="I7" s="140">
        <f>F7*C7/E7</f>
        <v>0.15300574493098776</v>
      </c>
      <c r="J7" s="30">
        <v>0.148975577832727</v>
      </c>
      <c r="K7" s="16">
        <f>ABS((G7-H7)/G7)*100</f>
        <v>0.36894550828447581</v>
      </c>
      <c r="L7" s="8">
        <f>ABS((I7-J7)/I7)*100</f>
        <v>2.6339972398281795</v>
      </c>
      <c r="M7" s="226"/>
      <c r="N7" s="220"/>
      <c r="O7" s="171"/>
      <c r="P7" s="226"/>
      <c r="Q7" s="217"/>
      <c r="R7" s="229">
        <v>0.68511899206568305</v>
      </c>
      <c r="S7" s="239">
        <f>SUM(R3:R5)</f>
        <v>0.6851189920656835</v>
      </c>
      <c r="T7" s="236">
        <v>2.3105391795827001E-2</v>
      </c>
      <c r="U7" s="236">
        <v>-0.99973303479977105</v>
      </c>
      <c r="V7" s="237"/>
    </row>
    <row r="8" spans="1:22" s="173" customFormat="1" ht="19.5" thickBot="1" x14ac:dyDescent="0.3">
      <c r="A8" s="165"/>
      <c r="B8" s="2" t="s">
        <v>56</v>
      </c>
      <c r="C8" s="30">
        <v>0.208185326479425</v>
      </c>
      <c r="D8" s="30">
        <v>-0.26105614228856</v>
      </c>
      <c r="E8" s="30">
        <f t="shared" si="7"/>
        <v>0.33390333868940225</v>
      </c>
      <c r="F8" s="30">
        <f t="shared" si="8"/>
        <v>0.22302936491459432</v>
      </c>
      <c r="G8" s="140">
        <f t="shared" si="9"/>
        <v>0.17437137900508048</v>
      </c>
      <c r="H8" s="30">
        <v>0.17642461718083</v>
      </c>
      <c r="I8" s="140">
        <f>F8*C8/E8</f>
        <v>0.1390565345392796</v>
      </c>
      <c r="J8" s="30">
        <v>0.14084613190218701</v>
      </c>
      <c r="K8" s="16">
        <f>ABS((G8-H8)/G8)*100</f>
        <v>1.1775087101247779</v>
      </c>
      <c r="L8" s="8">
        <f>ABS((I8-J8)/I8)*100</f>
        <v>1.2869566819255738</v>
      </c>
      <c r="M8" s="227">
        <v>5.3318310616940701E-2</v>
      </c>
      <c r="N8" s="53">
        <v>-0.95309232617540096</v>
      </c>
      <c r="O8" s="168">
        <v>1.1537363051412</v>
      </c>
      <c r="P8" s="227">
        <v>1.4888037333078701E-3</v>
      </c>
      <c r="Q8" s="224"/>
      <c r="R8" s="235" t="s">
        <v>74</v>
      </c>
      <c r="S8" s="240" t="s">
        <v>75</v>
      </c>
      <c r="T8" s="237">
        <v>0.78183148246802903</v>
      </c>
      <c r="U8" s="237">
        <v>0.62348980185873404</v>
      </c>
      <c r="V8" s="237"/>
    </row>
    <row r="9" spans="1:22" ht="16.5" thickBot="1" x14ac:dyDescent="0.3">
      <c r="A9" s="166"/>
      <c r="B9" s="3" t="s">
        <v>57</v>
      </c>
      <c r="C9" s="31">
        <v>0.10787792200151999</v>
      </c>
      <c r="D9" s="31">
        <v>-0.26337440306399601</v>
      </c>
      <c r="E9" s="31">
        <f t="shared" si="7"/>
        <v>0.28461152865736528</v>
      </c>
      <c r="F9" s="31">
        <f t="shared" si="8"/>
        <v>0.15007196255554314</v>
      </c>
      <c r="G9" s="140">
        <f t="shared" si="9"/>
        <v>0.13887390205577918</v>
      </c>
      <c r="H9" s="31">
        <v>0.129410896525398</v>
      </c>
      <c r="I9" s="140">
        <f>F9*C9/E9</f>
        <v>5.688262716396101E-2</v>
      </c>
      <c r="J9" s="31">
        <v>6.1737420831304998E-2</v>
      </c>
      <c r="K9" s="19">
        <f>ABS((G9-H9)/G9)*100</f>
        <v>6.8140992586067988</v>
      </c>
      <c r="L9" s="175">
        <f>ABS((I9-J9)/I9)*100</f>
        <v>8.5347564087543208</v>
      </c>
      <c r="M9" s="228"/>
      <c r="N9" s="167"/>
      <c r="O9" s="169"/>
      <c r="P9" s="228"/>
      <c r="Q9" s="207"/>
      <c r="R9" s="230">
        <v>2.1389424385951799E-2</v>
      </c>
      <c r="S9" s="232">
        <f>SQRT(S7/2*(S7/2-R3)*(S7/2-R4)*(S7/2-R5))</f>
        <v>2.1389424385951882E-2</v>
      </c>
      <c r="T9" s="238">
        <v>-0.987870783805048</v>
      </c>
      <c r="U9" s="238">
        <v>0.155278184251361</v>
      </c>
      <c r="V9" s="238"/>
    </row>
    <row r="10" spans="1:22" ht="35.25" thickBot="1" x14ac:dyDescent="0.3">
      <c r="R10" s="234"/>
      <c r="T10" s="200" t="s">
        <v>79</v>
      </c>
      <c r="U10" s="27" t="s">
        <v>81</v>
      </c>
      <c r="V10" s="231" t="s">
        <v>3</v>
      </c>
    </row>
    <row r="11" spans="1:22" x14ac:dyDescent="0.25">
      <c r="T11" s="237">
        <f>G5*T9+I5*U9</f>
        <v>1.6601419249685562E-15</v>
      </c>
      <c r="U11" s="237">
        <f>H5*T9+J5*U9</f>
        <v>-7.9185752109508824E-3</v>
      </c>
      <c r="V11" s="237">
        <f>SQRT(C5*C5+D5*D5)</f>
        <v>0.19999999999999882</v>
      </c>
    </row>
    <row r="12" spans="1:22" x14ac:dyDescent="0.25">
      <c r="T12" s="237">
        <f>G9*T9+I9*U9</f>
        <v>-0.12835683941244105</v>
      </c>
      <c r="U12" s="237">
        <f>H9*T9+J9*U9</f>
        <v>-0.11825476917641169</v>
      </c>
      <c r="V12" s="237">
        <f>SQRT(C9*C9+D9*D9)</f>
        <v>0.28461152865736528</v>
      </c>
    </row>
    <row r="13" spans="1:22" ht="16.5" thickBot="1" x14ac:dyDescent="0.3">
      <c r="T13" s="238">
        <f>G3*T9+I3*U9</f>
        <v>-0.26565909185656922</v>
      </c>
      <c r="U13" s="238">
        <f>H3*T9+J3*U9</f>
        <v>-0.23897081572155668</v>
      </c>
      <c r="V13" s="238">
        <f>SQRT(C3*C3+D3*D3)</f>
        <v>0.3814115121682578</v>
      </c>
    </row>
    <row r="14" spans="1:22" ht="35.25" thickBot="1" x14ac:dyDescent="0.3">
      <c r="T14" s="200" t="s">
        <v>104</v>
      </c>
      <c r="U14" s="27" t="s">
        <v>105</v>
      </c>
      <c r="V14" s="231" t="s">
        <v>3</v>
      </c>
    </row>
    <row r="15" spans="1:22" x14ac:dyDescent="0.25">
      <c r="T15" s="237">
        <f>G3*T7+I3*U7</f>
        <v>-6.2289647124771114E-2</v>
      </c>
      <c r="U15" s="237">
        <f>H3*T7+J3*U7</f>
        <v>-6.7534666764108117E-2</v>
      </c>
      <c r="V15" s="237">
        <f>SQRT(C3*C3+D3*D3)</f>
        <v>0.3814115121682578</v>
      </c>
    </row>
    <row r="16" spans="1:22" x14ac:dyDescent="0.25">
      <c r="T16" s="237">
        <f>G7*T7+I7*U7</f>
        <v>-0.14616532619690636</v>
      </c>
      <c r="U16" s="237">
        <f>H7*T7+J7*U7</f>
        <v>-0.14211114829928875</v>
      </c>
      <c r="V16" s="237">
        <f>SQRT(C7*C7+D7*D7)</f>
        <v>0.41483968563918827</v>
      </c>
    </row>
    <row r="17" spans="1:22" ht="16.5" thickBot="1" x14ac:dyDescent="0.3">
      <c r="T17" s="238">
        <f>G4*T7+I4*U7</f>
        <v>-0.24103252052642554</v>
      </c>
      <c r="U17" s="238">
        <f>H4*T7+J4*U7</f>
        <v>-0.21407492505171274</v>
      </c>
      <c r="V17" s="238">
        <f>SQRT(C4*C4+D4*D4)</f>
        <v>0.46780667737880488</v>
      </c>
    </row>
    <row r="24" spans="1:22" ht="16.5" thickBot="1" x14ac:dyDescent="0.3"/>
    <row r="25" spans="1:22" s="173" customFormat="1" ht="16.5" thickBot="1" x14ac:dyDescent="0.3">
      <c r="A25" s="251" t="s">
        <v>99</v>
      </c>
      <c r="B25" s="255"/>
      <c r="C25" s="231" t="s">
        <v>100</v>
      </c>
      <c r="D25" s="231" t="s">
        <v>101</v>
      </c>
      <c r="E25" s="231" t="s">
        <v>102</v>
      </c>
      <c r="F25" s="235" t="s">
        <v>103</v>
      </c>
      <c r="G25" s="235" t="s">
        <v>107</v>
      </c>
    </row>
    <row r="26" spans="1:22" s="173" customFormat="1" x14ac:dyDescent="0.25">
      <c r="A26" s="250" t="s">
        <v>70</v>
      </c>
      <c r="B26" s="247">
        <v>1</v>
      </c>
      <c r="C26" s="252">
        <f>(T15+4*T16+T17)*R3/6</f>
        <v>-2.9698367543842977E-2</v>
      </c>
      <c r="D26" s="252">
        <f>(T15+2*T16+T17)*R3/4</f>
        <v>-2.9882171674274042E-2</v>
      </c>
      <c r="E26" s="257">
        <f>T16*R3</f>
        <v>-2.9330759282980852E-2</v>
      </c>
      <c r="F26" s="243">
        <v>-2.8517213970290299E-2</v>
      </c>
      <c r="G26" s="236">
        <f>(H7*T7+J7*U7)*R3</f>
        <v>-2.8517213970290129E-2</v>
      </c>
    </row>
    <row r="27" spans="1:22" s="173" customFormat="1" x14ac:dyDescent="0.25">
      <c r="A27" s="253"/>
      <c r="B27" s="256">
        <v>2</v>
      </c>
      <c r="C27" s="258">
        <f>(T3+4*T4+T5)*R4/6</f>
        <v>5.759396621022226E-2</v>
      </c>
      <c r="D27" s="258">
        <f>(T3+4*T4+T5)*R4/6</f>
        <v>5.759396621022226E-2</v>
      </c>
      <c r="E27" s="233">
        <f>T4*R4</f>
        <v>5.9728753175682756E-2</v>
      </c>
      <c r="F27" s="261">
        <v>6.0457477092126503E-2</v>
      </c>
      <c r="G27" s="260">
        <f>(H8*T8+J8*U8)*R4</f>
        <v>6.0457477092126587E-2</v>
      </c>
    </row>
    <row r="28" spans="1:22" s="173" customFormat="1" x14ac:dyDescent="0.25">
      <c r="A28" s="253"/>
      <c r="B28" s="256">
        <v>3</v>
      </c>
      <c r="C28" s="258">
        <f>(T11+4*T12+T13)*R5/6</f>
        <v>-2.8130725591190092E-2</v>
      </c>
      <c r="D28" s="258">
        <f>(T11+4*T12+T13)*R5/6</f>
        <v>-2.8130725591190092E-2</v>
      </c>
      <c r="E28" s="233">
        <f>T12*R5</f>
        <v>-2.7807730679067503E-2</v>
      </c>
      <c r="F28" s="261">
        <v>-2.5619178438996498E-2</v>
      </c>
      <c r="G28" s="260">
        <f>(H9*T9+J9*U9)*R5</f>
        <v>-2.5619178438996526E-2</v>
      </c>
    </row>
    <row r="29" spans="1:22" s="173" customFormat="1" ht="19.5" thickBot="1" x14ac:dyDescent="0.3">
      <c r="A29" s="254"/>
      <c r="B29" s="239" t="s">
        <v>106</v>
      </c>
      <c r="C29" s="259">
        <f>SUM(C26:C28)</f>
        <v>-2.3512692481080996E-4</v>
      </c>
      <c r="D29" s="259">
        <f>SUM(D26:D28)</f>
        <v>-4.1893105524187443E-4</v>
      </c>
      <c r="E29" s="259">
        <f>SUM(E26:E28)</f>
        <v>2.5902632136344007E-3</v>
      </c>
      <c r="F29" s="262">
        <v>6.3629380283494004E-3</v>
      </c>
      <c r="G29" s="229">
        <f>SUM(G26:G28)</f>
        <v>6.3210846828399281E-3</v>
      </c>
    </row>
  </sheetData>
  <mergeCells count="23"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  <mergeCell ref="O2:O3"/>
    <mergeCell ref="Q2:Q3"/>
    <mergeCell ref="N4:N5"/>
    <mergeCell ref="O4:O5"/>
    <mergeCell ref="Q4:Q5"/>
    <mergeCell ref="P2:P3"/>
    <mergeCell ref="P4:P5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4" workbookViewId="0">
      <selection activeCell="J26" sqref="J26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73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200" t="s">
        <v>87</v>
      </c>
      <c r="U1" s="27" t="s">
        <v>88</v>
      </c>
      <c r="V1" s="231" t="s">
        <v>3</v>
      </c>
    </row>
    <row r="2" spans="1:22" s="173" customFormat="1" x14ac:dyDescent="0.25">
      <c r="A2" s="164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135">
        <f t="shared" ref="G2:G9" si="2">-F2*D2/E2</f>
        <v>8.7042743433275852E-2</v>
      </c>
      <c r="H2" s="5">
        <v>8.7042743433275893E-2</v>
      </c>
      <c r="I2" s="135">
        <f>F2*C2/E2</f>
        <v>0.6259442513394935</v>
      </c>
      <c r="J2" s="5">
        <v>0.62594425133949405</v>
      </c>
      <c r="K2" s="4">
        <f>ABS((G2-H2)/G2)*100</f>
        <v>4.783094119196526E-14</v>
      </c>
      <c r="L2" s="7">
        <f>ABS((I2-J2)/I2)*100</f>
        <v>8.8683858206967119E-14</v>
      </c>
      <c r="M2" s="225">
        <f>-1/12*C2*D2/(D2*D2+C2*C2)^2</f>
        <v>2.5577265057762963E-2</v>
      </c>
      <c r="N2" s="219">
        <f>-1/0.96*(1-0.04*(C2*C2-D2*D2)/(C2*C2+D2*D2)^2)</f>
        <v>-0.95147905432174695</v>
      </c>
      <c r="O2" s="170">
        <f>1/0.96*(1-0.04*(D2*D2-C2*C2)/(C2*C2+D2*D2)^2)</f>
        <v>1.1318542790115866</v>
      </c>
      <c r="P2" s="225">
        <f>1/12*C2*D2/(C2*C2+D2*D2)^2</f>
        <v>-2.5577265057762963E-2</v>
      </c>
      <c r="Q2" s="216">
        <v>4.3427807501454701E-3</v>
      </c>
      <c r="R2" s="236" t="s">
        <v>64</v>
      </c>
      <c r="S2" s="236" t="s">
        <v>64</v>
      </c>
      <c r="T2" s="243" t="s">
        <v>64</v>
      </c>
      <c r="U2" s="243" t="s">
        <v>64</v>
      </c>
      <c r="V2" s="236" t="s">
        <v>64</v>
      </c>
    </row>
    <row r="3" spans="1:22" s="173" customFormat="1" x14ac:dyDescent="0.25">
      <c r="A3" s="165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140">
        <f t="shared" si="2"/>
        <v>-4.9274733802955363E-3</v>
      </c>
      <c r="H3" s="30">
        <v>-1.150351425477E-2</v>
      </c>
      <c r="I3" s="140">
        <f>F3*C3/E3</f>
        <v>0.49820309498116505</v>
      </c>
      <c r="J3" s="30">
        <v>0.49980828672447097</v>
      </c>
      <c r="K3" s="16">
        <f>ABS((G3-H3)/G3)*100</f>
        <v>133.45664942141303</v>
      </c>
      <c r="L3" s="8">
        <f>ABS((I3-J3)/I3)*100</f>
        <v>0.32219626081740982</v>
      </c>
      <c r="M3" s="226"/>
      <c r="N3" s="220"/>
      <c r="O3" s="171"/>
      <c r="P3" s="226"/>
      <c r="Q3" s="217"/>
      <c r="R3" s="237">
        <f>SQRT(POWER((C4-C3),2)+POWER((D4-D3),2))</f>
        <v>0.25698704275732182</v>
      </c>
      <c r="S3" s="237">
        <f>R3/2</f>
        <v>0.12849352137866091</v>
      </c>
      <c r="T3" s="244">
        <f>G5*T8+I5*U8</f>
        <v>-0.85761430547081696</v>
      </c>
      <c r="U3" s="244">
        <f>H5*T8+J5*U8</f>
        <v>-0.86395335544361573</v>
      </c>
      <c r="V3" s="237">
        <f>SQRT(C5*C5+D5*D5)</f>
        <v>1</v>
      </c>
    </row>
    <row r="4" spans="1:22" s="173" customFormat="1" x14ac:dyDescent="0.25">
      <c r="A4" s="165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140">
        <f t="shared" si="2"/>
        <v>0.23400987209251259</v>
      </c>
      <c r="H4" s="30">
        <v>0.233141327315492</v>
      </c>
      <c r="I4" s="140">
        <f>F4*C4/E4</f>
        <v>0.5481582911648526</v>
      </c>
      <c r="J4" s="30">
        <v>0.53781674721247297</v>
      </c>
      <c r="K4" s="16">
        <f>ABS((G4-H4)/G4)*100</f>
        <v>0.37115732308815519</v>
      </c>
      <c r="L4" s="8">
        <f>ABS((I4-J4)/I4)*100</f>
        <v>1.8865981084411843</v>
      </c>
      <c r="M4" s="227">
        <v>5.3318310616940701E-2</v>
      </c>
      <c r="N4" s="53">
        <v>-0.95309232617540096</v>
      </c>
      <c r="O4" s="168">
        <v>1.1537363051412</v>
      </c>
      <c r="P4" s="227">
        <v>1.4888037333078701E-3</v>
      </c>
      <c r="Q4" s="242"/>
      <c r="R4" s="237">
        <f>SQRT(POWER((C5-C4),2)+POWER((D5-D4),2))</f>
        <v>0.48488963030579385</v>
      </c>
      <c r="S4" s="237">
        <f t="shared" ref="S4:S5" si="3">R4/2</f>
        <v>0.24244481515289693</v>
      </c>
      <c r="T4" s="244">
        <f>G8*T8+I8*U8</f>
        <v>-0.60093404885823687</v>
      </c>
      <c r="U4" s="244">
        <f>H8*T8+J8*U8</f>
        <v>-0.59979415401735392</v>
      </c>
      <c r="V4" s="237">
        <f>SQRT(C8*C8+D8*D8)</f>
        <v>0.80182991018657845</v>
      </c>
    </row>
    <row r="5" spans="1:22" s="173" customFormat="1" ht="16.5" thickBot="1" x14ac:dyDescent="0.3">
      <c r="A5" s="165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152">
        <f t="shared" si="2"/>
        <v>0</v>
      </c>
      <c r="H5" s="31">
        <v>1.7635744207218699E-2</v>
      </c>
      <c r="I5" s="152">
        <f>F5*C5/E5</f>
        <v>1</v>
      </c>
      <c r="J5" s="31">
        <v>1.0179672805766899</v>
      </c>
      <c r="K5" s="19" t="e">
        <f>ABS((G5-H5)/G5)*100</f>
        <v>#DIV/0!</v>
      </c>
      <c r="L5" s="175">
        <f>ABS((I5-J5)/I5)*100</f>
        <v>1.7967280576689948</v>
      </c>
      <c r="M5" s="228"/>
      <c r="N5" s="167"/>
      <c r="O5" s="169"/>
      <c r="P5" s="228"/>
      <c r="Q5" s="218"/>
      <c r="R5" s="238">
        <f>SQRT(POWER((C3-C5),2)+POWER((D3-D5),2))</f>
        <v>0.44915396297778803</v>
      </c>
      <c r="S5" s="238">
        <f t="shared" si="3"/>
        <v>0.22457698148889402</v>
      </c>
      <c r="T5" s="245">
        <f>G4*T8+I4*U8</f>
        <v>-0.34975865901110448</v>
      </c>
      <c r="U5" s="245">
        <f>H4*T8+J4*U8</f>
        <v>-0.34133628982480774</v>
      </c>
      <c r="V5" s="238">
        <f>SQRT(C4*C4+D4*D4)</f>
        <v>0.63515461623818759</v>
      </c>
    </row>
    <row r="6" spans="1:22" s="173" customFormat="1" ht="19.5" thickBot="1" x14ac:dyDescent="0.3">
      <c r="A6" s="165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135">
        <f t="shared" si="2"/>
        <v>8.7042743433275852E-2</v>
      </c>
      <c r="H6" s="5">
        <v>8.7042743433275893E-2</v>
      </c>
      <c r="I6" s="135">
        <f>F6*C6/E6</f>
        <v>0.6259442513394935</v>
      </c>
      <c r="J6" s="5">
        <v>0.62594425133949405</v>
      </c>
      <c r="K6" s="4">
        <f>ABS((G6-H6)/G6)*100</f>
        <v>4.783094119196526E-14</v>
      </c>
      <c r="L6" s="7">
        <f>ABS((I6-J6)/I6)*100</f>
        <v>8.8683858206967119E-14</v>
      </c>
      <c r="M6" s="225">
        <f>-1/12*C6*D6/(D6*D6+C6*C6)^2</f>
        <v>2.5577265057762963E-2</v>
      </c>
      <c r="N6" s="219">
        <f>-1/0.96*(1-0.04*(C6*C6-D6*D6)/(C6*C6+D6*D6)^2)</f>
        <v>-0.95147905432174695</v>
      </c>
      <c r="O6" s="170">
        <f>1/0.96*(1-0.04*(D6*D6-C6*C6)/(C6*C6+D6*D6)^2)</f>
        <v>1.1318542790115866</v>
      </c>
      <c r="P6" s="225">
        <f>1/12*C6*D6/(C6*C6+D6*D6)^2</f>
        <v>-2.5577265057762963E-2</v>
      </c>
      <c r="Q6" s="216">
        <v>-2.3529370910404901E-3</v>
      </c>
      <c r="R6" s="246" t="s">
        <v>77</v>
      </c>
      <c r="S6" s="246" t="s">
        <v>76</v>
      </c>
      <c r="T6" s="241" t="s">
        <v>31</v>
      </c>
      <c r="U6" s="172" t="s">
        <v>32</v>
      </c>
      <c r="V6" s="236"/>
    </row>
    <row r="7" spans="1:22" s="173" customFormat="1" ht="16.5" thickBot="1" x14ac:dyDescent="0.3">
      <c r="A7" s="165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140">
        <f t="shared" si="2"/>
        <v>0.11196349367809612</v>
      </c>
      <c r="H7" s="30">
        <v>0.109955917147962</v>
      </c>
      <c r="I7" s="140">
        <f>F7*C7/E7</f>
        <v>0.5209836388594129</v>
      </c>
      <c r="J7" s="30">
        <v>0.519896435549421</v>
      </c>
      <c r="K7" s="16">
        <f>ABS((G7-H7)/G7)*100</f>
        <v>1.7930634925577216</v>
      </c>
      <c r="L7" s="8">
        <f>ABS((I7-J7)/I7)*100</f>
        <v>0.20868281245301892</v>
      </c>
      <c r="M7" s="226"/>
      <c r="N7" s="220"/>
      <c r="O7" s="171"/>
      <c r="P7" s="226"/>
      <c r="Q7" s="206"/>
      <c r="R7" s="229">
        <v>1.1910306360409</v>
      </c>
      <c r="S7" s="239">
        <f>SUM(R3:R5)</f>
        <v>1.1910306360409038</v>
      </c>
      <c r="T7" s="236">
        <v>-0.99158307551798697</v>
      </c>
      <c r="U7" s="236">
        <v>-0.129472021480661</v>
      </c>
      <c r="V7" s="237"/>
    </row>
    <row r="8" spans="1:22" s="173" customFormat="1" ht="19.5" thickBot="1" x14ac:dyDescent="0.3">
      <c r="A8" s="165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140">
        <f t="shared" si="2"/>
        <v>0.12180240872765863</v>
      </c>
      <c r="H8" s="30">
        <v>0.124302663142213</v>
      </c>
      <c r="I8" s="140">
        <f>F8*C8/E8</f>
        <v>0.77374668280057657</v>
      </c>
      <c r="J8" s="30">
        <v>0.77391688694270699</v>
      </c>
      <c r="K8" s="16">
        <f>ABS((G8-H8)/G8)*100</f>
        <v>2.0527134402939096</v>
      </c>
      <c r="L8" s="8">
        <f>ABS((I8-J8)/I8)*100</f>
        <v>2.1997398620743895E-2</v>
      </c>
      <c r="M8" s="227">
        <v>-5.6957584114745899E-2</v>
      </c>
      <c r="N8" s="53">
        <v>-0.95759798272257901</v>
      </c>
      <c r="O8" s="168">
        <v>1.1344986861228901</v>
      </c>
      <c r="P8" s="227">
        <v>5.2676185244459398E-2</v>
      </c>
      <c r="Q8" s="224"/>
      <c r="R8" s="235" t="s">
        <v>74</v>
      </c>
      <c r="S8" s="240" t="s">
        <v>75</v>
      </c>
      <c r="T8" s="237">
        <v>0.51429340171910298</v>
      </c>
      <c r="U8" s="237">
        <v>-0.85761430547081696</v>
      </c>
      <c r="V8" s="237"/>
    </row>
    <row r="9" spans="1:22" ht="16.5" thickBot="1" x14ac:dyDescent="0.3">
      <c r="A9" s="166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140">
        <f t="shared" si="2"/>
        <v>-2.6489726516789117E-3</v>
      </c>
      <c r="H9" s="31">
        <v>-2.7761824377573901E-3</v>
      </c>
      <c r="I9" s="140">
        <f>F9*C9/E9</f>
        <v>0.75401722024317708</v>
      </c>
      <c r="J9" s="31">
        <v>0.75864892720995303</v>
      </c>
      <c r="K9" s="19">
        <f>ABS((G9-H9)/G9)*100</f>
        <v>4.8022310082308035</v>
      </c>
      <c r="L9" s="175">
        <f>ABS((I9-J9)/I9)*100</f>
        <v>0.61427071457097293</v>
      </c>
      <c r="M9" s="228"/>
      <c r="N9" s="167"/>
      <c r="O9" s="169"/>
      <c r="P9" s="228"/>
      <c r="Q9" s="207"/>
      <c r="R9" s="230">
        <v>5.7132752196568798E-2</v>
      </c>
      <c r="S9" s="232">
        <f>SQRT(S7/2*(S7/2-R3)*(S7/2-R4)*(S7/2-R5))</f>
        <v>5.7132752196568784E-2</v>
      </c>
      <c r="T9" s="238">
        <v>1.21305058986247E-2</v>
      </c>
      <c r="U9" s="238">
        <v>0.999926422706512</v>
      </c>
      <c r="V9" s="238"/>
    </row>
    <row r="10" spans="1:22" ht="35.25" thickBot="1" x14ac:dyDescent="0.3">
      <c r="R10" s="234"/>
      <c r="T10" s="200" t="s">
        <v>89</v>
      </c>
      <c r="U10" s="27" t="s">
        <v>90</v>
      </c>
      <c r="V10" s="231" t="s">
        <v>3</v>
      </c>
    </row>
    <row r="11" spans="1:22" x14ac:dyDescent="0.25">
      <c r="T11" s="237">
        <f>G5*T9+I5*U9</f>
        <v>0.999926422706512</v>
      </c>
      <c r="U11" s="237">
        <f>H5*T9+J5*U9</f>
        <v>1.0181063117984579</v>
      </c>
      <c r="V11" s="237">
        <f>SQRT(C5*C5+D5*D5)</f>
        <v>1</v>
      </c>
    </row>
    <row r="12" spans="1:22" x14ac:dyDescent="0.25">
      <c r="T12" s="237">
        <f>G9*T9+I9*U9</f>
        <v>0.75392960831849176</v>
      </c>
      <c r="U12" s="237">
        <f>H9*T9+J9*U9</f>
        <v>0.7585594313777444</v>
      </c>
      <c r="V12" s="237">
        <f>SQRT(C9*C9+D9*D9)</f>
        <v>0.77544432757602222</v>
      </c>
    </row>
    <row r="13" spans="1:22" ht="16.5" thickBot="1" x14ac:dyDescent="0.3">
      <c r="T13" s="238">
        <f>G3*T9+I3*U9</f>
        <v>0.498106665800924</v>
      </c>
      <c r="U13" s="238">
        <f>H3*T9+J3*U9</f>
        <v>0.49963196873594851</v>
      </c>
      <c r="V13" s="238">
        <f>SQRT(C3*C3+D3*D3)</f>
        <v>0.55090602789313003</v>
      </c>
    </row>
    <row r="14" spans="1:22" ht="35.25" thickBot="1" x14ac:dyDescent="0.3">
      <c r="T14" s="200" t="s">
        <v>86</v>
      </c>
      <c r="U14" s="27" t="s">
        <v>81</v>
      </c>
      <c r="V14" s="231" t="s">
        <v>3</v>
      </c>
    </row>
    <row r="15" spans="1:22" x14ac:dyDescent="0.25">
      <c r="T15" s="237">
        <f>G3*T7+I3*U7</f>
        <v>-5.9617362606166735E-2</v>
      </c>
      <c r="U15" s="237">
        <f>H3*T7+J3*U7</f>
        <v>-5.3304499190993233E-2</v>
      </c>
      <c r="V15" s="237">
        <f>SQRT(C3*C3+D3*D3)</f>
        <v>0.55090602789313003</v>
      </c>
    </row>
    <row r="16" spans="1:22" x14ac:dyDescent="0.25">
      <c r="T16" s="237">
        <f>G7*T7+I7*U7</f>
        <v>-0.17847391028854409</v>
      </c>
      <c r="U16" s="237">
        <f>H7*T7+J7*U7</f>
        <v>-0.17634246896815087</v>
      </c>
      <c r="V16" s="237">
        <f>SQRT(C7*C7+D7*D7)</f>
        <v>0.58047293994857707</v>
      </c>
    </row>
    <row r="17" spans="1:22" ht="16.5" thickBot="1" x14ac:dyDescent="0.3">
      <c r="T17" s="238">
        <f>G4*T7+I4*U7</f>
        <v>-0.30301139071956262</v>
      </c>
      <c r="U17" s="238">
        <f>H4*T7+J4*U7</f>
        <v>-0.30081121581759374</v>
      </c>
      <c r="V17" s="238">
        <f>SQRT(C4*C4+D4*D4)</f>
        <v>0.63515461623818759</v>
      </c>
    </row>
    <row r="24" spans="1:22" ht="16.5" thickBot="1" x14ac:dyDescent="0.3"/>
    <row r="25" spans="1:22" ht="16.5" thickBot="1" x14ac:dyDescent="0.3">
      <c r="A25" s="251" t="s">
        <v>99</v>
      </c>
      <c r="B25" s="255"/>
      <c r="C25" s="231" t="s">
        <v>100</v>
      </c>
      <c r="D25" s="231" t="s">
        <v>101</v>
      </c>
      <c r="E25" s="231" t="s">
        <v>102</v>
      </c>
      <c r="F25" s="235" t="s">
        <v>103</v>
      </c>
      <c r="G25" s="235" t="s">
        <v>107</v>
      </c>
    </row>
    <row r="26" spans="1:22" x14ac:dyDescent="0.25">
      <c r="A26" s="250" t="s">
        <v>70</v>
      </c>
      <c r="B26" s="247">
        <v>1</v>
      </c>
      <c r="C26" s="252">
        <f>(T15+4*T16+T17)*R3/6</f>
        <v>-4.6108803432251246E-2</v>
      </c>
      <c r="D26" s="252">
        <f>(T15+2*T16+T17)*R3/4</f>
        <v>-4.6230463941182624E-2</v>
      </c>
      <c r="E26" s="257">
        <f>T16*R3</f>
        <v>-4.5865482414388495E-2</v>
      </c>
      <c r="F26" s="243">
        <v>-4.5317729612650202E-2</v>
      </c>
      <c r="G26" s="236">
        <f>(H7*T7+J7*U7)*R3</f>
        <v>-4.5317729612649883E-2</v>
      </c>
    </row>
    <row r="27" spans="1:22" x14ac:dyDescent="0.25">
      <c r="A27" s="253"/>
      <c r="B27" s="256">
        <v>2</v>
      </c>
      <c r="C27" s="258">
        <f>(T3+4*T4+T5)*R4/6</f>
        <v>-0.29183156425749773</v>
      </c>
      <c r="D27" s="258">
        <f>(T3+4*T4+T5)*R4/6</f>
        <v>-0.29183156425749773</v>
      </c>
      <c r="E27" s="233">
        <f>T4*R4</f>
        <v>-0.29138668878903434</v>
      </c>
      <c r="F27" s="261">
        <v>-0.29083396560105101</v>
      </c>
      <c r="G27" s="260">
        <f>(H8*T8+J8*U8)*R4</f>
        <v>-0.29083396560105113</v>
      </c>
    </row>
    <row r="28" spans="1:22" x14ac:dyDescent="0.25">
      <c r="A28" s="253"/>
      <c r="B28" s="256">
        <v>3</v>
      </c>
      <c r="C28" s="258">
        <f>(T11+4*T12+T13)*R5/6</f>
        <v>0.33789489731752309</v>
      </c>
      <c r="D28" s="258">
        <f>(T11+4*T12+T13)*R5/6</f>
        <v>0.33789489731752309</v>
      </c>
      <c r="E28" s="233">
        <f>T12*R5</f>
        <v>0.3386304713825421</v>
      </c>
      <c r="F28" s="261">
        <v>0.34070997475749099</v>
      </c>
      <c r="G28" s="260">
        <f>(H9*T9+J9*U9)*R5</f>
        <v>0.34070997475749137</v>
      </c>
    </row>
    <row r="29" spans="1:22" ht="19.5" thickBot="1" x14ac:dyDescent="0.3">
      <c r="A29" s="254"/>
      <c r="B29" s="239" t="s">
        <v>106</v>
      </c>
      <c r="C29" s="259">
        <f>SUM(C26:C28)</f>
        <v>-4.5470372225908662E-5</v>
      </c>
      <c r="D29" s="259">
        <f>SUM(D26:D28)</f>
        <v>-1.6713088115727359E-4</v>
      </c>
      <c r="E29" s="259">
        <f>SUM(E26:E28)</f>
        <v>1.3783001791192739E-3</v>
      </c>
      <c r="F29" s="262">
        <v>4.3427807501454701E-3</v>
      </c>
      <c r="G29" s="229">
        <f>SUM(G26:G28)</f>
        <v>4.5582795437903445E-3</v>
      </c>
    </row>
  </sheetData>
  <mergeCells count="23">
    <mergeCell ref="A26:A29"/>
    <mergeCell ref="M8:M9"/>
    <mergeCell ref="N8:N9"/>
    <mergeCell ref="O8:O9"/>
    <mergeCell ref="P8:P9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O4:O5"/>
    <mergeCell ref="P4:P5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4" workbookViewId="0">
      <selection activeCell="I28" sqref="I28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73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200" t="s">
        <v>79</v>
      </c>
      <c r="U1" s="27" t="s">
        <v>98</v>
      </c>
      <c r="V1" s="231" t="s">
        <v>3</v>
      </c>
    </row>
    <row r="2" spans="1:22" s="173" customFormat="1" x14ac:dyDescent="0.25">
      <c r="A2" s="164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135">
        <f t="shared" ref="G2:G9" si="2">-F2*D2/E2</f>
        <v>6.9573764255447118E-2</v>
      </c>
      <c r="H2" s="5">
        <v>6.9573764255448201E-2</v>
      </c>
      <c r="I2" s="135">
        <f>F2*C2/E2</f>
        <v>1.6658216434626338E-2</v>
      </c>
      <c r="J2" s="5">
        <v>1.6658216434626501E-2</v>
      </c>
      <c r="K2" s="4">
        <f>ABS((G2-H2)/G2)*100</f>
        <v>1.555855803683611E-12</v>
      </c>
      <c r="L2" s="7">
        <f>ABS((I2-J2)/I2)*100</f>
        <v>9.7888034641493457E-13</v>
      </c>
      <c r="M2" s="225">
        <f>-1/12*C2*D2/(D2*D2+C2*C2)^2</f>
        <v>0.33521351471629535</v>
      </c>
      <c r="N2" s="219">
        <f>-1/0.96*(1-0.04*(C2*C2-D2*D2)/(C2*C2+D2*D2)^2)</f>
        <v>-1.7015530708291557</v>
      </c>
      <c r="O2" s="170">
        <f>1/0.96*(1-0.04*(D2*D2-C2*C2)/(C2*C2+D2*D2)^2)</f>
        <v>0.38178026250417763</v>
      </c>
      <c r="P2" s="225">
        <f>1/12*C2*D2/(C2*C2+D2*D2)^2</f>
        <v>-0.33521351471629535</v>
      </c>
      <c r="Q2" s="216">
        <v>1.7683012531248901E-4</v>
      </c>
      <c r="R2" s="236" t="s">
        <v>64</v>
      </c>
      <c r="S2" s="236" t="s">
        <v>64</v>
      </c>
      <c r="T2" s="243" t="s">
        <v>64</v>
      </c>
      <c r="U2" s="243" t="s">
        <v>64</v>
      </c>
      <c r="V2" s="236" t="s">
        <v>64</v>
      </c>
    </row>
    <row r="3" spans="1:22" s="173" customFormat="1" x14ac:dyDescent="0.25">
      <c r="A3" s="165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140">
        <f t="shared" si="2"/>
        <v>-1.7194175089243131E-15</v>
      </c>
      <c r="H3" s="30">
        <v>3.1320933234136798E-3</v>
      </c>
      <c r="I3" s="140">
        <f>F3*C3/E3</f>
        <v>3.9244582616413822E-16</v>
      </c>
      <c r="J3" s="30">
        <v>-6.1698377837002397E-2</v>
      </c>
      <c r="K3" s="16">
        <f>ABS((G3-H3)/G3)*100</f>
        <v>182160138951642.53</v>
      </c>
      <c r="L3" s="8">
        <f>ABS((I3-J3)/I3)*100</f>
        <v>1.5721501854168734E+16</v>
      </c>
      <c r="M3" s="226"/>
      <c r="N3" s="220"/>
      <c r="O3" s="171"/>
      <c r="P3" s="226"/>
      <c r="Q3" s="217"/>
      <c r="R3" s="237">
        <f>SQRT(POWER((C4-C3),2)+POWER((D4-D3),2))</f>
        <v>0.22167804809623956</v>
      </c>
      <c r="S3" s="237">
        <f>R3/2</f>
        <v>0.11083902404811978</v>
      </c>
      <c r="T3" s="244">
        <f>G5*T8+I5*U8</f>
        <v>-1.6601419249685562E-15</v>
      </c>
      <c r="U3" s="244">
        <f>H5*T8+J5*U8</f>
        <v>-3.1585395189800095E-2</v>
      </c>
      <c r="V3" s="237">
        <f>SQRT(C5*C5+D5*D5)</f>
        <v>0.19999999999999882</v>
      </c>
    </row>
    <row r="4" spans="1:22" s="173" customFormat="1" x14ac:dyDescent="0.25">
      <c r="A4" s="165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140">
        <f t="shared" si="2"/>
        <v>0.27973068747088631</v>
      </c>
      <c r="H4" s="30">
        <v>0.27110161151504297</v>
      </c>
      <c r="I4" s="140">
        <f>F4*C4/E4</f>
        <v>6.8771293798320851E-2</v>
      </c>
      <c r="J4" s="30">
        <v>6.5033478746062801E-2</v>
      </c>
      <c r="K4" s="16">
        <f>ABS((G4-H4)/G4)*100</f>
        <v>3.0847798766238075</v>
      </c>
      <c r="L4" s="8">
        <f>ABS((I4-J4)/I4)*100</f>
        <v>5.435138479755218</v>
      </c>
      <c r="M4" s="227">
        <v>0.16566277110175201</v>
      </c>
      <c r="N4" s="53">
        <v>-1.4104933914347599</v>
      </c>
      <c r="O4" s="168">
        <v>0.711099224132827</v>
      </c>
      <c r="P4" s="227">
        <v>-0.16558433425369001</v>
      </c>
      <c r="Q4" s="242"/>
      <c r="R4" s="237">
        <f>SQRT(POWER((C5-C4),2)+POWER((D5-D4),2))</f>
        <v>0.21664393425670642</v>
      </c>
      <c r="S4" s="237">
        <f t="shared" ref="S4:S5" si="3">R4/2</f>
        <v>0.10832196712835321</v>
      </c>
      <c r="T4" s="244">
        <f>G8*T8+I8*U8</f>
        <v>0.12835683941244105</v>
      </c>
      <c r="U4" s="244">
        <f>H8*T8+J8*U8</f>
        <v>0.11825476917641169</v>
      </c>
      <c r="V4" s="237">
        <f>SQRT(C8*C8+D8*D8)</f>
        <v>0.28461152865736528</v>
      </c>
    </row>
    <row r="5" spans="1:22" s="173" customFormat="1" ht="16.5" thickBot="1" x14ac:dyDescent="0.3">
      <c r="A5" s="165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152">
        <f t="shared" si="2"/>
        <v>-1.9213703547679742E-15</v>
      </c>
      <c r="H5" s="31">
        <v>-2.3271141000489898E-2</v>
      </c>
      <c r="I5" s="152">
        <f>F5*C5/E5</f>
        <v>-1.532241728115004E-15</v>
      </c>
      <c r="J5" s="31">
        <v>5.5362026102085897E-2</v>
      </c>
      <c r="K5" s="19">
        <f>ABS((G5-H5)/G5)*100</f>
        <v>1211174146761425</v>
      </c>
      <c r="L5" s="175">
        <f>ABS((I5-J5)/I5)*100</f>
        <v>3613139172902892</v>
      </c>
      <c r="M5" s="228"/>
      <c r="N5" s="167"/>
      <c r="O5" s="169"/>
      <c r="P5" s="228"/>
      <c r="Q5" s="218"/>
      <c r="R5" s="238">
        <f>SQRT(POWER((C3-C5),2)+POWER((D3-D5),2))</f>
        <v>0.17355349564702202</v>
      </c>
      <c r="S5" s="238">
        <f t="shared" si="3"/>
        <v>8.6776747823511011E-2</v>
      </c>
      <c r="T5" s="245">
        <f>G4*T8+I4*U8</f>
        <v>0.26565909185656922</v>
      </c>
      <c r="U5" s="245">
        <f>H4*T8+J4*U8</f>
        <v>0.25771508096293905</v>
      </c>
      <c r="V5" s="238">
        <f>SQRT(C4*C4+D4*D4)</f>
        <v>0.3814115121682578</v>
      </c>
    </row>
    <row r="6" spans="1:22" s="173" customFormat="1" ht="19.5" thickBot="1" x14ac:dyDescent="0.3">
      <c r="A6" s="165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135">
        <f t="shared" si="2"/>
        <v>6.9573764255447118E-2</v>
      </c>
      <c r="H6" s="5">
        <v>6.9573764255448201E-2</v>
      </c>
      <c r="I6" s="135">
        <f>F6*C6/E6</f>
        <v>1.6658216434626338E-2</v>
      </c>
      <c r="J6" s="5">
        <v>1.6658216434626501E-2</v>
      </c>
      <c r="K6" s="4">
        <f>ABS((G6-H6)/G6)*100</f>
        <v>1.555855803683611E-12</v>
      </c>
      <c r="L6" s="7">
        <f>ABS((I6-J6)/I6)*100</f>
        <v>9.7888034641493457E-13</v>
      </c>
      <c r="M6" s="225">
        <f>-1/12*C6*D6/(D6*D6+C6*C6)^2</f>
        <v>0.33521351471629535</v>
      </c>
      <c r="N6" s="219">
        <f>-1/0.96*(1-0.04*(C6*C6-D6*D6)/(C6*C6+D6*D6)^2)</f>
        <v>-1.7015530708291557</v>
      </c>
      <c r="O6" s="170">
        <f>1/0.96*(1-0.04*(D6*D6-C6*C6)/(C6*C6+D6*D6)^2)</f>
        <v>0.38178026250417763</v>
      </c>
      <c r="P6" s="225">
        <f>1/12*C6*D6/(C6*C6+D6*D6)^2</f>
        <v>-0.33521351471629535</v>
      </c>
      <c r="Q6" s="216">
        <f>Q2</f>
        <v>1.7683012531248901E-4</v>
      </c>
      <c r="R6" s="246" t="s">
        <v>77</v>
      </c>
      <c r="S6" s="246" t="s">
        <v>76</v>
      </c>
      <c r="T6" s="241" t="s">
        <v>31</v>
      </c>
      <c r="U6" s="172" t="s">
        <v>32</v>
      </c>
      <c r="V6" s="236"/>
    </row>
    <row r="7" spans="1:22" s="173" customFormat="1" ht="16.5" thickBot="1" x14ac:dyDescent="0.3">
      <c r="A7" s="165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140">
        <f t="shared" si="2"/>
        <v>0.14805860550182662</v>
      </c>
      <c r="H7" s="30">
        <v>0.14182740009445</v>
      </c>
      <c r="I7" s="140">
        <f>F7*C7/E7</f>
        <v>1.2191482914864072E-2</v>
      </c>
      <c r="J7" s="30">
        <v>4.0357518499587004E-3</v>
      </c>
      <c r="K7" s="16">
        <f>ABS((G7-H7)/G7)*100</f>
        <v>4.2086073864174995</v>
      </c>
      <c r="L7" s="8">
        <f>ABS((I7-J7)/I7)*100</f>
        <v>66.89695684978372</v>
      </c>
      <c r="M7" s="226"/>
      <c r="N7" s="220"/>
      <c r="O7" s="171"/>
      <c r="P7" s="226"/>
      <c r="Q7" s="206"/>
      <c r="R7" s="229">
        <v>0.611875477999968</v>
      </c>
      <c r="S7" s="239">
        <f>SUM(R3:R5)</f>
        <v>0.611875477999968</v>
      </c>
      <c r="T7" s="236">
        <v>-0.79122370800502395</v>
      </c>
      <c r="U7" s="236">
        <v>-0.61152681371365802</v>
      </c>
      <c r="V7" s="237"/>
    </row>
    <row r="8" spans="1:22" s="173" customFormat="1" ht="19.5" thickBot="1" x14ac:dyDescent="0.3">
      <c r="A8" s="165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140">
        <f t="shared" si="2"/>
        <v>0.13887390205577918</v>
      </c>
      <c r="H8" s="30">
        <v>0.129410896525398</v>
      </c>
      <c r="I8" s="140">
        <f>F8*C8/E8</f>
        <v>5.688262716396101E-2</v>
      </c>
      <c r="J8" s="30">
        <v>6.1737420831304998E-2</v>
      </c>
      <c r="K8" s="16">
        <f>ABS((G8-H8)/G8)*100</f>
        <v>6.8140992586067988</v>
      </c>
      <c r="L8" s="8">
        <f>ABS((I8-J8)/I8)*100</f>
        <v>8.5347564087543208</v>
      </c>
      <c r="M8" s="227">
        <f>M4</f>
        <v>0.16566277110175201</v>
      </c>
      <c r="N8" s="242">
        <f t="shared" ref="N8:P8" si="4">N4</f>
        <v>-1.4104933914347599</v>
      </c>
      <c r="O8" s="248">
        <f t="shared" si="4"/>
        <v>0.711099224132827</v>
      </c>
      <c r="P8" s="227">
        <f t="shared" si="4"/>
        <v>-0.16558433425369001</v>
      </c>
      <c r="Q8" s="224"/>
      <c r="R8" s="235" t="s">
        <v>74</v>
      </c>
      <c r="S8" s="240" t="s">
        <v>75</v>
      </c>
      <c r="T8" s="237">
        <v>0.987870783805048</v>
      </c>
      <c r="U8" s="237">
        <v>-0.155278184251361</v>
      </c>
      <c r="V8" s="237"/>
    </row>
    <row r="9" spans="1:22" ht="16.5" thickBot="1" x14ac:dyDescent="0.3">
      <c r="A9" s="166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140">
        <f t="shared" si="2"/>
        <v>-4.2439301834084835E-2</v>
      </c>
      <c r="H9" s="31">
        <v>0</v>
      </c>
      <c r="I9" s="140">
        <f>F9*C9/E9</f>
        <v>-9.6864937013038752E-3</v>
      </c>
      <c r="J9" s="31">
        <v>0</v>
      </c>
      <c r="K9" s="19">
        <f>ABS((G9-H9)/G9)*100</f>
        <v>100</v>
      </c>
      <c r="L9" s="175">
        <f>ABS((I9-J9)/I9)*100</f>
        <v>100</v>
      </c>
      <c r="M9" s="228"/>
      <c r="N9" s="218"/>
      <c r="O9" s="249"/>
      <c r="P9" s="228"/>
      <c r="Q9" s="207"/>
      <c r="R9" s="230">
        <v>1.74564235241703E-2</v>
      </c>
      <c r="S9" s="232">
        <f>SQRT(S7/2*(S7/2-R3)*(S7/2-R4)*(S7/2-R5))</f>
        <v>1.7456423524170237E-2</v>
      </c>
      <c r="T9" s="238">
        <v>-0.222520933956316</v>
      </c>
      <c r="U9" s="238">
        <v>0.97492791218182295</v>
      </c>
      <c r="V9" s="238"/>
    </row>
    <row r="10" spans="1:22" ht="35.25" thickBot="1" x14ac:dyDescent="0.3">
      <c r="R10" s="234"/>
      <c r="T10" s="200" t="s">
        <v>96</v>
      </c>
      <c r="U10" s="27" t="s">
        <v>97</v>
      </c>
      <c r="V10" s="231" t="s">
        <v>3</v>
      </c>
    </row>
    <row r="11" spans="1:22" x14ac:dyDescent="0.25">
      <c r="T11" s="237">
        <f>G5*T9+I5*U9</f>
        <v>-1.0662801031300814E-15</v>
      </c>
      <c r="U11" s="237">
        <f>H5*T9+J5*U9</f>
        <v>5.915230055152032E-2</v>
      </c>
      <c r="V11" s="237">
        <f>SQRT(C5*C5+D5*D5)</f>
        <v>0.19999999999999882</v>
      </c>
    </row>
    <row r="12" spans="1:22" x14ac:dyDescent="0.25">
      <c r="T12" s="237">
        <f>G9*T9+I9*U9</f>
        <v>-1.3877787807814457E-17</v>
      </c>
      <c r="U12" s="237">
        <f>H9*T9+J9*U9</f>
        <v>0</v>
      </c>
      <c r="V12" s="237">
        <f>SQRT(C9*C9+D9*D9)</f>
        <v>0.18019377358048355</v>
      </c>
    </row>
    <row r="13" spans="1:22" ht="16.5" thickBot="1" x14ac:dyDescent="0.3">
      <c r="T13" s="238">
        <f>G3*T9+I3*U9</f>
        <v>7.6521277989335444E-16</v>
      </c>
      <c r="U13" s="238">
        <f>H3*T9+J3*U9</f>
        <v>-6.0848427021198352E-2</v>
      </c>
      <c r="V13" s="238">
        <f>SQRT(C3*C3+D3*D3)</f>
        <v>0.19999999999999915</v>
      </c>
    </row>
    <row r="14" spans="1:22" ht="35.25" thickBot="1" x14ac:dyDescent="0.3">
      <c r="T14" s="200" t="s">
        <v>94</v>
      </c>
      <c r="U14" s="27" t="s">
        <v>95</v>
      </c>
      <c r="V14" s="231" t="s">
        <v>3</v>
      </c>
    </row>
    <row r="15" spans="1:22" x14ac:dyDescent="0.25">
      <c r="T15" s="237">
        <f>G3*T7+I3*U7</f>
        <v>1.1204527513904768E-15</v>
      </c>
      <c r="U15" s="237">
        <f>H3*T7+J3*U7</f>
        <v>3.52520259167943E-2</v>
      </c>
      <c r="V15" s="237">
        <f>SQRT(C3*C3+D3*D3)</f>
        <v>0.19999999999999915</v>
      </c>
    </row>
    <row r="16" spans="1:22" x14ac:dyDescent="0.25">
      <c r="T16" s="237">
        <f>G7*T7+I7*U7</f>
        <v>-0.12460289754857963</v>
      </c>
      <c r="U16" s="237">
        <f>H7*T7+J7*U7</f>
        <v>-0.11468517186918706</v>
      </c>
      <c r="V16" s="237">
        <f>SQRT(C7*C7+D7*D7)</f>
        <v>0.2836407614488774</v>
      </c>
    </row>
    <row r="17" spans="1:22" ht="16.5" thickBot="1" x14ac:dyDescent="0.3">
      <c r="T17" s="238">
        <f>G4*T7+I4*U7</f>
        <v>-0.26338504195496215</v>
      </c>
      <c r="U17" s="238">
        <f>H4*T7+J4*U7</f>
        <v>-0.25427173835136452</v>
      </c>
      <c r="V17" s="238">
        <f>SQRT(C4*C4+D4*D4)</f>
        <v>0.3814115121682578</v>
      </c>
    </row>
    <row r="24" spans="1:22" ht="16.5" thickBot="1" x14ac:dyDescent="0.3"/>
    <row r="25" spans="1:22" ht="16.5" thickBot="1" x14ac:dyDescent="0.3">
      <c r="A25" s="251" t="s">
        <v>99</v>
      </c>
      <c r="B25" s="255"/>
      <c r="C25" s="231" t="s">
        <v>100</v>
      </c>
      <c r="D25" s="231" t="s">
        <v>101</v>
      </c>
      <c r="E25" s="231" t="s">
        <v>102</v>
      </c>
      <c r="F25" s="235" t="s">
        <v>103</v>
      </c>
      <c r="G25" s="235" t="s">
        <v>107</v>
      </c>
    </row>
    <row r="26" spans="1:22" x14ac:dyDescent="0.25">
      <c r="A26" s="250" t="s">
        <v>70</v>
      </c>
      <c r="B26" s="247">
        <v>1</v>
      </c>
      <c r="C26" s="252">
        <f>(T15+4*T16+T17)*R3/6</f>
        <v>-2.8145598410190219E-2</v>
      </c>
      <c r="D26" s="252">
        <f>(T15+2*T16+T17)*R3/4</f>
        <v>-2.8407534057432904E-2</v>
      </c>
      <c r="E26" s="257">
        <f>T16*R3</f>
        <v>-2.7621727115704847E-2</v>
      </c>
      <c r="F26" s="243">
        <v>-2.5423185045543199E-2</v>
      </c>
      <c r="G26" s="236">
        <f>(H7*T7+J7*U7)*R3</f>
        <v>-2.542318504554315E-2</v>
      </c>
    </row>
    <row r="27" spans="1:22" x14ac:dyDescent="0.25">
      <c r="A27" s="253"/>
      <c r="B27" s="256">
        <v>2</v>
      </c>
      <c r="C27" s="258">
        <f>(T3+4*T4+T5)*R4/6</f>
        <v>2.8130725591190092E-2</v>
      </c>
      <c r="D27" s="258">
        <f>(T3+4*T4+T5)*R4/6</f>
        <v>2.8130725591190092E-2</v>
      </c>
      <c r="E27" s="233">
        <f>T4*R4</f>
        <v>2.7807730679067503E-2</v>
      </c>
      <c r="F27" s="261">
        <v>2.5619178438996498E-2</v>
      </c>
      <c r="G27" s="260">
        <f>(H8*T8+J8*U8)*R4</f>
        <v>2.5619178438996526E-2</v>
      </c>
    </row>
    <row r="28" spans="1:22" x14ac:dyDescent="0.25">
      <c r="A28" s="253"/>
      <c r="B28" s="256">
        <v>3</v>
      </c>
      <c r="C28" s="258">
        <f>(T11+4*T12+T13)*R5/6</f>
        <v>-1.0314240119400191E-17</v>
      </c>
      <c r="D28" s="258">
        <f>(T11+4*T12+T13)*R5/6</f>
        <v>-1.0314240119400191E-17</v>
      </c>
      <c r="E28" s="233">
        <f>T12*R5</f>
        <v>-2.4085385858938216E-18</v>
      </c>
      <c r="F28" s="261">
        <v>0</v>
      </c>
      <c r="G28" s="260">
        <f>(H9*T9+J9*U9)*R5</f>
        <v>0</v>
      </c>
    </row>
    <row r="29" spans="1:22" ht="19.5" thickBot="1" x14ac:dyDescent="0.3">
      <c r="A29" s="254"/>
      <c r="B29" s="239" t="s">
        <v>106</v>
      </c>
      <c r="C29" s="259">
        <f>SUM(C26:C28)</f>
        <v>-1.4872819000137554E-5</v>
      </c>
      <c r="D29" s="259">
        <f>SUM(D26:D28)</f>
        <v>-2.7680846624282193E-4</v>
      </c>
      <c r="E29" s="259">
        <f>SUM(E26:E28)</f>
        <v>1.8600356336265328E-4</v>
      </c>
      <c r="F29" s="262">
        <v>1.7683012531248901E-4</v>
      </c>
      <c r="G29" s="229">
        <f>SUM(G26:G28)</f>
        <v>1.9599339345337599E-4</v>
      </c>
    </row>
  </sheetData>
  <mergeCells count="23">
    <mergeCell ref="A26:A29"/>
    <mergeCell ref="M8:M9"/>
    <mergeCell ref="N8:N9"/>
    <mergeCell ref="O8:O9"/>
    <mergeCell ref="P8:P9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O4:O5"/>
    <mergeCell ref="P4:P5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74" bestFit="1" customWidth="1"/>
    <col min="3" max="6" width="11.375" style="174" bestFit="1" customWidth="1"/>
    <col min="7" max="8" width="12.125" style="174" bestFit="1" customWidth="1"/>
    <col min="9" max="10" width="11.375" style="174" bestFit="1" customWidth="1"/>
    <col min="11" max="11" width="10.375" style="174" customWidth="1"/>
    <col min="12" max="12" width="10.25" style="174" bestFit="1" customWidth="1"/>
    <col min="13" max="13" width="9.5" style="174" customWidth="1"/>
    <col min="14" max="14" width="10.75" style="174" customWidth="1"/>
    <col min="15" max="16" width="11.375" style="174" bestFit="1" customWidth="1"/>
    <col min="17" max="18" width="12.125" style="174" bestFit="1" customWidth="1"/>
    <col min="19" max="19" width="11.375" style="174" bestFit="1" customWidth="1"/>
    <col min="20" max="16384" width="9" style="174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41" t="s">
        <v>60</v>
      </c>
      <c r="B2" s="6">
        <v>0</v>
      </c>
      <c r="C2" s="5">
        <v>0.215999570887704</v>
      </c>
      <c r="D2" s="5">
        <v>8.7535826562047503E-2</v>
      </c>
      <c r="E2" s="5">
        <f t="shared" ref="E2:E5" si="0">SQRT(D2*D2+C2*C2)</f>
        <v>0.23306294333414124</v>
      </c>
      <c r="F2" s="5">
        <f t="shared" ref="F2:F5" si="1">1/0.96*(E2-0.04/E2)</f>
        <v>6.3995299540198489E-2</v>
      </c>
      <c r="G2" s="135">
        <f t="shared" ref="G2:G5" si="2">-F2*D2/E2</f>
        <v>-2.4035916483324003E-2</v>
      </c>
      <c r="H2" s="5">
        <v>-2.9028580553714899E-2</v>
      </c>
      <c r="I2" s="135">
        <f>F2*C2/E2</f>
        <v>5.9309974557795943E-2</v>
      </c>
      <c r="J2" s="5">
        <v>7.37070171687665E-2</v>
      </c>
      <c r="K2" s="221" t="s">
        <v>64</v>
      </c>
      <c r="L2" s="4">
        <f>ABS((G2-H2)/G2)*100</f>
        <v>20.771681719957634</v>
      </c>
      <c r="M2" s="7">
        <f>ABS((I2-J2)/I2)*100</f>
        <v>24.274235014113916</v>
      </c>
      <c r="N2" s="208">
        <f>-1/12*C2*D2/(D2*D2+C2*C2)^2</f>
        <v>-0.53402866836813123</v>
      </c>
      <c r="O2" s="219">
        <f>-1/0.96*(1-0.04*(C2*C2-D2*D2)/(C2*C2+D2*D2)^2)</f>
        <v>-0.49100382475466869</v>
      </c>
      <c r="P2" s="170">
        <f>1/0.96*(1-0.04*(D2*D2-C2*C2)/(C2*C2+D2*D2)^2)</f>
        <v>1.5923295085786646</v>
      </c>
      <c r="Q2" s="212">
        <f>1/12*C2*D2/(C2*C2+D2*D2)^2</f>
        <v>0.53402866836813123</v>
      </c>
      <c r="R2" s="205">
        <v>-2.3529370910404901E-3</v>
      </c>
    </row>
    <row r="3" spans="1:18" x14ac:dyDescent="0.25">
      <c r="A3" s="42"/>
      <c r="B3" s="2" t="s">
        <v>55</v>
      </c>
      <c r="C3" s="30">
        <v>0.26387200699677998</v>
      </c>
      <c r="D3" s="30">
        <v>6.0759982506205297E-2</v>
      </c>
      <c r="E3" s="30">
        <f t="shared" si="0"/>
        <v>0.27077705137375119</v>
      </c>
      <c r="F3" s="30">
        <f t="shared" si="1"/>
        <v>0.12818129720564639</v>
      </c>
      <c r="G3" s="140">
        <f t="shared" si="2"/>
        <v>-2.8762752738184093E-2</v>
      </c>
      <c r="H3" s="30">
        <v>-2.71776400341752E-2</v>
      </c>
      <c r="I3" s="140">
        <f>F3*C3/E3</f>
        <v>0.12491256545377782</v>
      </c>
      <c r="J3" s="30">
        <v>0.133975249197297</v>
      </c>
      <c r="K3" s="222">
        <v>-2.0404952538293199E-2</v>
      </c>
      <c r="L3" s="16">
        <f>ABS((G3-H3)/G3)*100</f>
        <v>5.5109909626437474</v>
      </c>
      <c r="M3" s="8">
        <f>ABS((I3-J3)/I3)*100</f>
        <v>7.2552218510576498</v>
      </c>
      <c r="N3" s="209"/>
      <c r="O3" s="220"/>
      <c r="P3" s="171"/>
      <c r="Q3" s="213"/>
      <c r="R3" s="206"/>
    </row>
    <row r="4" spans="1:18" x14ac:dyDescent="0.25">
      <c r="A4" s="42"/>
      <c r="B4" s="2" t="s">
        <v>56</v>
      </c>
      <c r="C4" s="30">
        <v>0.22622098718265299</v>
      </c>
      <c r="D4" s="30">
        <v>0.13894313075300799</v>
      </c>
      <c r="E4" s="30">
        <f t="shared" si="0"/>
        <v>0.26548282171421472</v>
      </c>
      <c r="F4" s="30">
        <f t="shared" si="1"/>
        <v>0.11959785362525914</v>
      </c>
      <c r="G4" s="140">
        <f t="shared" si="2"/>
        <v>-6.2592751224866738E-2</v>
      </c>
      <c r="H4" s="30">
        <v>-7.2232755478001495E-2</v>
      </c>
      <c r="I4" s="140">
        <f>F4*C4/E4</f>
        <v>0.10191071624648143</v>
      </c>
      <c r="J4" s="30">
        <v>0.101247965715746</v>
      </c>
      <c r="K4" s="222">
        <v>1.8052015447252701E-2</v>
      </c>
      <c r="L4" s="16">
        <f>ABS((G4-H4)/G4)*100</f>
        <v>15.401151194812785</v>
      </c>
      <c r="M4" s="8">
        <f>ABS((I4-J4)/I4)*100</f>
        <v>0.65032467158066276</v>
      </c>
      <c r="N4" s="210">
        <v>-5.6957584114745899E-2</v>
      </c>
      <c r="O4" s="53">
        <v>-0.95759798272257901</v>
      </c>
      <c r="P4" s="168">
        <v>1.1344986861228901</v>
      </c>
      <c r="Q4" s="214">
        <v>5.2676185244459398E-2</v>
      </c>
      <c r="R4" s="224">
        <f>K3+K4+K5</f>
        <v>-2.3529370910404974E-3</v>
      </c>
    </row>
    <row r="5" spans="1:18" ht="16.5" thickBot="1" x14ac:dyDescent="0.3">
      <c r="A5" s="48"/>
      <c r="B5" s="3" t="s">
        <v>57</v>
      </c>
      <c r="C5" s="31">
        <v>0.16234898018587299</v>
      </c>
      <c r="D5" s="31">
        <v>7.81831482468031E-2</v>
      </c>
      <c r="E5" s="31">
        <f t="shared" si="0"/>
        <v>0.18019377358048355</v>
      </c>
      <c r="F5" s="31">
        <f t="shared" si="1"/>
        <v>-4.353070755673466E-2</v>
      </c>
      <c r="G5" s="152">
        <f t="shared" si="2"/>
        <v>1.8887266161149035E-2</v>
      </c>
      <c r="H5" s="31">
        <v>0</v>
      </c>
      <c r="I5" s="152">
        <f>F5*C5/E5</f>
        <v>-3.9219812306382482E-2</v>
      </c>
      <c r="J5" s="31">
        <v>0</v>
      </c>
      <c r="K5" s="223">
        <v>0</v>
      </c>
      <c r="L5" s="19">
        <f>ABS((G5-H5)/G5)*100</f>
        <v>100</v>
      </c>
      <c r="M5" s="175">
        <f>ABS((I5-J5)/I5)*100</f>
        <v>100</v>
      </c>
      <c r="N5" s="211"/>
      <c r="O5" s="167"/>
      <c r="P5" s="169"/>
      <c r="Q5" s="215"/>
      <c r="R5" s="207"/>
    </row>
    <row r="6" spans="1:18" x14ac:dyDescent="0.25">
      <c r="A6" s="42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3">SQRT(D6*D6+C6*C6)</f>
        <v>0.23306294333414124</v>
      </c>
      <c r="F6" s="5">
        <f t="shared" ref="F6:F13" si="4">1/0.96*(E6-0.04/E6)</f>
        <v>6.3995299540198489E-2</v>
      </c>
      <c r="G6" s="135">
        <f t="shared" ref="G6:G13" si="5">-F6*D6/E6</f>
        <v>-2.4035916483324003E-2</v>
      </c>
      <c r="H6" s="5">
        <v>-2.9028580553714899E-2</v>
      </c>
      <c r="I6" s="135">
        <f>F6*C6/E6</f>
        <v>5.9309974557795943E-2</v>
      </c>
      <c r="J6" s="5">
        <v>7.37070171687665E-2</v>
      </c>
      <c r="K6" s="221" t="s">
        <v>64</v>
      </c>
      <c r="L6" s="4">
        <f>ABS((G6-H6)/G6)*100</f>
        <v>20.771681719957634</v>
      </c>
      <c r="M6" s="7">
        <f>ABS((I6-J6)/I6)*100</f>
        <v>24.274235014113916</v>
      </c>
      <c r="N6" s="208">
        <f>-1/12*C6*D6/(D6*D6+C6*C6)^2</f>
        <v>-0.53402866836813123</v>
      </c>
      <c r="O6" s="219">
        <f>-1/0.96*(1-0.04*(C6*C6-D6*D6)/(C6*C6+D6*D6)^2)</f>
        <v>-0.49100382475466869</v>
      </c>
      <c r="P6" s="170">
        <f>1/0.96*(1-0.04*(D6*D6-C6*C6)/(C6*C6+D6*D6)^2)</f>
        <v>1.5923295085786646</v>
      </c>
      <c r="Q6" s="212">
        <f>1/12*C6*D6/(C6*C6+D6*D6)^2</f>
        <v>0.53402866836813123</v>
      </c>
      <c r="R6" s="205">
        <v>1.52082465948405E-2</v>
      </c>
    </row>
    <row r="7" spans="1:18" x14ac:dyDescent="0.25">
      <c r="A7" s="42"/>
      <c r="B7" s="2" t="s">
        <v>55</v>
      </c>
      <c r="C7" s="30">
        <v>0.26387200699677998</v>
      </c>
      <c r="D7" s="30">
        <v>6.0759982506205297E-2</v>
      </c>
      <c r="E7" s="30">
        <f t="shared" si="3"/>
        <v>0.27077705137375119</v>
      </c>
      <c r="F7" s="30">
        <f t="shared" si="4"/>
        <v>0.12818129720564639</v>
      </c>
      <c r="G7" s="140">
        <f t="shared" si="5"/>
        <v>-2.8762752738184093E-2</v>
      </c>
      <c r="H7" s="30">
        <v>-1.9446955419259601E-2</v>
      </c>
      <c r="I7" s="140">
        <f>F7*C7/E7</f>
        <v>0.12491256545377782</v>
      </c>
      <c r="J7" s="30">
        <v>0.128605755576468</v>
      </c>
      <c r="K7" s="222">
        <v>-1.8779599346129099E-2</v>
      </c>
      <c r="L7" s="16">
        <f>ABS((G7-H7)/G7)*100</f>
        <v>32.388406644254438</v>
      </c>
      <c r="M7" s="8">
        <f>ABS((I7-J7)/I7)*100</f>
        <v>2.9566201841053297</v>
      </c>
      <c r="N7" s="209"/>
      <c r="O7" s="220"/>
      <c r="P7" s="171"/>
      <c r="Q7" s="213"/>
      <c r="R7" s="206"/>
    </row>
    <row r="8" spans="1:18" x14ac:dyDescent="0.25">
      <c r="A8" s="42"/>
      <c r="B8" s="2" t="s">
        <v>56</v>
      </c>
      <c r="C8" s="30">
        <v>0.22622098718265299</v>
      </c>
      <c r="D8" s="30">
        <v>0.13894313075300799</v>
      </c>
      <c r="E8" s="30">
        <f t="shared" si="3"/>
        <v>0.26548282171421472</v>
      </c>
      <c r="F8" s="30">
        <f t="shared" si="4"/>
        <v>0.11959785362525914</v>
      </c>
      <c r="G8" s="140">
        <f t="shared" si="5"/>
        <v>-6.2592751224866738E-2</v>
      </c>
      <c r="H8" s="30">
        <v>-7.2147538592033295E-2</v>
      </c>
      <c r="I8" s="140">
        <f>F8*C8/E8</f>
        <v>0.10191071624648143</v>
      </c>
      <c r="J8" s="30">
        <v>0.17971716378022401</v>
      </c>
      <c r="K8" s="222">
        <v>3.3987845940969597E-2</v>
      </c>
      <c r="L8" s="16">
        <f>ABS((G8-H8)/G8)*100</f>
        <v>15.265006219075808</v>
      </c>
      <c r="M8" s="8">
        <f>ABS((I8-J8)/I8)*100</f>
        <v>76.34766038299621</v>
      </c>
      <c r="N8" s="210">
        <v>-5.6957584114745899E-2</v>
      </c>
      <c r="O8" s="53">
        <v>-0.95759798272257901</v>
      </c>
      <c r="P8" s="168">
        <v>1.1344986861228901</v>
      </c>
      <c r="Q8" s="214">
        <v>5.2676185244459398E-2</v>
      </c>
      <c r="R8" s="224">
        <f>K7+K8+K9</f>
        <v>1.5208246594840498E-2</v>
      </c>
    </row>
    <row r="9" spans="1:18" ht="16.5" thickBot="1" x14ac:dyDescent="0.3">
      <c r="A9" s="43"/>
      <c r="B9" s="3" t="s">
        <v>57</v>
      </c>
      <c r="C9" s="31">
        <v>0.16234898018587299</v>
      </c>
      <c r="D9" s="31">
        <v>7.81831482468031E-2</v>
      </c>
      <c r="E9" s="31">
        <f t="shared" si="3"/>
        <v>0.18019377358048355</v>
      </c>
      <c r="F9" s="31">
        <f t="shared" si="4"/>
        <v>-4.353070755673466E-2</v>
      </c>
      <c r="G9" s="152">
        <f t="shared" si="5"/>
        <v>1.8887266161149035E-2</v>
      </c>
      <c r="H9" s="31">
        <v>0</v>
      </c>
      <c r="I9" s="152">
        <f>F9*C9/E9</f>
        <v>-3.9219812306382482E-2</v>
      </c>
      <c r="J9" s="31">
        <v>0</v>
      </c>
      <c r="K9" s="223">
        <v>0</v>
      </c>
      <c r="L9" s="19">
        <f>ABS((G9-H9)/G9)*100</f>
        <v>100</v>
      </c>
      <c r="M9" s="175">
        <f>ABS((I9-J9)/I9)*100</f>
        <v>100</v>
      </c>
      <c r="N9" s="211"/>
      <c r="O9" s="167"/>
      <c r="P9" s="169"/>
      <c r="Q9" s="215"/>
      <c r="R9" s="207"/>
    </row>
    <row r="10" spans="1:18" x14ac:dyDescent="0.25">
      <c r="A10" s="41" t="s">
        <v>65</v>
      </c>
      <c r="B10" s="6">
        <v>0</v>
      </c>
      <c r="C10" s="5">
        <v>0.247879199310308</v>
      </c>
      <c r="D10" s="5">
        <v>0.20326976144112499</v>
      </c>
      <c r="E10" s="5">
        <f t="shared" si="3"/>
        <v>0.32056620746275061</v>
      </c>
      <c r="F10" s="5">
        <f t="shared" si="4"/>
        <v>0.20394478291438509</v>
      </c>
      <c r="G10" s="135">
        <f t="shared" si="5"/>
        <v>-0.12932057841744343</v>
      </c>
      <c r="H10" s="5">
        <v>-0.13515577123328601</v>
      </c>
      <c r="I10" s="135">
        <f>F10*C10/E10</f>
        <v>0.15770118095871546</v>
      </c>
      <c r="J10" s="5">
        <v>0.154317453343947</v>
      </c>
      <c r="K10" s="221" t="s">
        <v>64</v>
      </c>
      <c r="L10" s="4">
        <f>ABS((G10-H10)/G10)*100</f>
        <v>4.5121920171179006</v>
      </c>
      <c r="M10" s="7">
        <f>ABS((I10-J10)/I10)*100</f>
        <v>2.1456577523374958</v>
      </c>
      <c r="N10" s="208">
        <f>-1/12*C10*D10/(D10*D10+C10*C10)^2</f>
        <v>-0.39761307687490022</v>
      </c>
      <c r="O10" s="219">
        <f>-1/0.96*(1-0.04*(C10*C10-D10*D10)/(C10*C10+D10*D10)^2)</f>
        <v>-0.96225861994314255</v>
      </c>
      <c r="P10" s="170">
        <f>1/0.96*(1-0.04*(D10*D10-C10*C10)/(C10*C10+D10*D10)^2)</f>
        <v>1.1210747133901908</v>
      </c>
      <c r="Q10" s="212">
        <f>1/12*C10*D10/(C10*C10+D10*D10)^2</f>
        <v>0.39761307687490022</v>
      </c>
      <c r="R10" s="205">
        <v>5.5289471330137504E-3</v>
      </c>
    </row>
    <row r="11" spans="1:18" x14ac:dyDescent="0.25">
      <c r="A11" s="42"/>
      <c r="B11" s="2" t="s">
        <v>55</v>
      </c>
      <c r="C11" s="30">
        <v>0.30970835329033097</v>
      </c>
      <c r="D11" s="30">
        <v>0.24363297654796201</v>
      </c>
      <c r="E11" s="30">
        <f t="shared" si="3"/>
        <v>0.39405112784945595</v>
      </c>
      <c r="F11" s="30">
        <f t="shared" si="4"/>
        <v>0.30473068513065271</v>
      </c>
      <c r="G11" s="140">
        <f t="shared" si="5"/>
        <v>-0.18840814964560751</v>
      </c>
      <c r="H11" s="30">
        <v>-0.18554090555397601</v>
      </c>
      <c r="I11" s="140">
        <f>F11*C11/E11</f>
        <v>0.23950607425974685</v>
      </c>
      <c r="J11" s="30">
        <v>0.23748255535377899</v>
      </c>
      <c r="K11" s="222">
        <v>-3.6742325791069397E-2</v>
      </c>
      <c r="L11" s="16">
        <f>ABS((G11-H11)/G11)*100</f>
        <v>1.5218259385407349</v>
      </c>
      <c r="M11" s="8">
        <f>ABS((I11-J11)/I11)*100</f>
        <v>0.84487164353641009</v>
      </c>
      <c r="N11" s="209"/>
      <c r="O11" s="220"/>
      <c r="P11" s="171"/>
      <c r="Q11" s="213"/>
      <c r="R11" s="206"/>
    </row>
    <row r="12" spans="1:18" x14ac:dyDescent="0.25">
      <c r="A12" s="42"/>
      <c r="B12" s="2" t="s">
        <v>56</v>
      </c>
      <c r="C12" s="30">
        <v>0.208185326479424</v>
      </c>
      <c r="D12" s="30">
        <v>0.26105614228856</v>
      </c>
      <c r="E12" s="30">
        <f t="shared" si="3"/>
        <v>0.33390333868940164</v>
      </c>
      <c r="F12" s="30">
        <f t="shared" si="4"/>
        <v>0.22302936491459346</v>
      </c>
      <c r="G12" s="140">
        <f t="shared" si="5"/>
        <v>-0.1743713790050801</v>
      </c>
      <c r="H12" s="30">
        <v>-0.17841260948587401</v>
      </c>
      <c r="I12" s="140">
        <f>F12*C12/E12</f>
        <v>0.13905653453927863</v>
      </c>
      <c r="J12" s="30">
        <v>0.137698288618117</v>
      </c>
      <c r="K12" s="222">
        <v>6.0323288371335798E-2</v>
      </c>
      <c r="L12" s="16">
        <f>ABS((G12-H12)/G12)*100</f>
        <v>2.3175996564643646</v>
      </c>
      <c r="M12" s="8">
        <f>ABS((I12-J12)/I12)*100</f>
        <v>0.97675806869613158</v>
      </c>
      <c r="N12" s="210">
        <v>-5.6957584114745899E-2</v>
      </c>
      <c r="O12" s="53">
        <v>-0.95759798272257901</v>
      </c>
      <c r="P12" s="168">
        <v>1.1344986861228901</v>
      </c>
      <c r="Q12" s="214">
        <v>5.2676185244459398E-2</v>
      </c>
      <c r="R12" s="224">
        <f>K11+K12+K13</f>
        <v>5.5289471330137001E-3</v>
      </c>
    </row>
    <row r="13" spans="1:18" ht="16.5" thickBot="1" x14ac:dyDescent="0.3">
      <c r="A13" s="48"/>
      <c r="B13" s="3" t="s">
        <v>57</v>
      </c>
      <c r="C13" s="31">
        <v>0.22622098718265299</v>
      </c>
      <c r="D13" s="31">
        <v>0.13894313075300799</v>
      </c>
      <c r="E13" s="31">
        <f t="shared" si="3"/>
        <v>0.26548282171421472</v>
      </c>
      <c r="F13" s="31">
        <f t="shared" si="4"/>
        <v>0.11959785362525914</v>
      </c>
      <c r="G13" s="152">
        <f t="shared" si="5"/>
        <v>-6.2592751224866738E-2</v>
      </c>
      <c r="H13" s="31">
        <v>-7.2232755478001495E-2</v>
      </c>
      <c r="I13" s="152">
        <f>F13*C13/E13</f>
        <v>0.10191071624648143</v>
      </c>
      <c r="J13" s="31">
        <v>0.101247965715746</v>
      </c>
      <c r="K13" s="223">
        <v>-1.8052015447252701E-2</v>
      </c>
      <c r="L13" s="19">
        <f>ABS((G13-H13)/G13)*100</f>
        <v>15.401151194812785</v>
      </c>
      <c r="M13" s="175">
        <f>ABS((I13-J13)/I13)*100</f>
        <v>0.65032467158066276</v>
      </c>
      <c r="N13" s="211"/>
      <c r="O13" s="167"/>
      <c r="P13" s="169"/>
      <c r="Q13" s="215"/>
      <c r="R13" s="207"/>
    </row>
    <row r="14" spans="1:18" x14ac:dyDescent="0.25">
      <c r="A14" s="42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6">SQRT(D14*D14+C14*C14)</f>
        <v>0.32056620746275061</v>
      </c>
      <c r="F14" s="5">
        <f t="shared" ref="F14:F21" si="7">1/0.96*(E14-0.04/E14)</f>
        <v>0.20394478291438509</v>
      </c>
      <c r="G14" s="135">
        <f t="shared" ref="G14:G21" si="8">-F14*D14/E14</f>
        <v>-0.12932057841744343</v>
      </c>
      <c r="H14" s="5">
        <v>-0.13515577123328601</v>
      </c>
      <c r="I14" s="135">
        <f>F14*C14/E14</f>
        <v>0.15770118095871546</v>
      </c>
      <c r="J14" s="5">
        <v>0.154317453343947</v>
      </c>
      <c r="K14" s="221" t="s">
        <v>64</v>
      </c>
      <c r="L14" s="4">
        <f>ABS((G14-H14)/G14)*100</f>
        <v>4.5121920171179006</v>
      </c>
      <c r="M14" s="7">
        <f>ABS((I14-J14)/I14)*100</f>
        <v>2.1456577523374958</v>
      </c>
      <c r="N14" s="208">
        <f>-1/12*C14*D14/(D14*D14+C14*C14)^2</f>
        <v>-0.39761307687490022</v>
      </c>
      <c r="O14" s="219">
        <f>-1/0.96*(1-0.04*(C14*C14-D14*D14)/(C14*C14+D14*D14)^2)</f>
        <v>-0.96225861994314255</v>
      </c>
      <c r="P14" s="170">
        <f>1/0.96*(1-0.04*(D14*D14-C14*C14)/(C14*C14+D14*D14)^2)</f>
        <v>1.1210747133901908</v>
      </c>
      <c r="Q14" s="212">
        <f>1/12*C14*D14/(C14*C14+D14*D14)^2</f>
        <v>0.39761307687490022</v>
      </c>
      <c r="R14" s="205">
        <v>4.0323231025556301E-2</v>
      </c>
    </row>
    <row r="15" spans="1:18" x14ac:dyDescent="0.25">
      <c r="A15" s="42"/>
      <c r="B15" s="2" t="s">
        <v>55</v>
      </c>
      <c r="C15" s="30">
        <v>0.30970835329033097</v>
      </c>
      <c r="D15" s="30">
        <v>0.24363297654796201</v>
      </c>
      <c r="E15" s="30">
        <f t="shared" si="6"/>
        <v>0.39405112784945595</v>
      </c>
      <c r="F15" s="30">
        <f t="shared" si="7"/>
        <v>0.30473068513065271</v>
      </c>
      <c r="G15" s="140">
        <f t="shared" si="8"/>
        <v>-0.18840814964560751</v>
      </c>
      <c r="H15" s="30">
        <v>-0.10928521800916099</v>
      </c>
      <c r="I15" s="140">
        <f>F15*C15/E15</f>
        <v>0.23950607425974685</v>
      </c>
      <c r="J15" s="30">
        <v>0.20891546658270099</v>
      </c>
      <c r="K15" s="222">
        <v>-1.91491551261549E-2</v>
      </c>
      <c r="L15" s="16">
        <f>ABS((G15-H15)/G15)*100</f>
        <v>41.995493180775561</v>
      </c>
      <c r="M15" s="8">
        <f>ABS((I15-J15)/I15)*100</f>
        <v>12.772372379946415</v>
      </c>
      <c r="N15" s="209"/>
      <c r="O15" s="220"/>
      <c r="P15" s="171"/>
      <c r="Q15" s="213"/>
      <c r="R15" s="206"/>
    </row>
    <row r="16" spans="1:18" x14ac:dyDescent="0.25">
      <c r="A16" s="42"/>
      <c r="B16" s="2" t="s">
        <v>56</v>
      </c>
      <c r="C16" s="30">
        <v>0.208185326479424</v>
      </c>
      <c r="D16" s="30">
        <v>0.26105614228856</v>
      </c>
      <c r="E16" s="30">
        <f t="shared" si="6"/>
        <v>0.33390333868940164</v>
      </c>
      <c r="F16" s="30">
        <f t="shared" si="7"/>
        <v>0.22302936491459346</v>
      </c>
      <c r="G16" s="140">
        <f t="shared" si="8"/>
        <v>-0.1743713790050801</v>
      </c>
      <c r="H16" s="30">
        <v>-0.23443812529143099</v>
      </c>
      <c r="I16" s="140">
        <f>F16*C16/E16</f>
        <v>0.13905653453927863</v>
      </c>
      <c r="J16" s="30">
        <v>0.18780054897422499</v>
      </c>
      <c r="K16" s="222">
        <v>8.0419705098214195E-2</v>
      </c>
      <c r="L16" s="16">
        <f>ABS((G16-H16)/G16)*100</f>
        <v>34.447594914415923</v>
      </c>
      <c r="M16" s="8">
        <f>ABS((I16-J16)/I16)*100</f>
        <v>35.053379257900225</v>
      </c>
      <c r="N16" s="210">
        <v>-5.6957584114745899E-2</v>
      </c>
      <c r="O16" s="53">
        <v>-0.95759798272257901</v>
      </c>
      <c r="P16" s="168">
        <v>1.1344986861228901</v>
      </c>
      <c r="Q16" s="214">
        <v>5.2676185244459398E-2</v>
      </c>
      <c r="R16" s="224">
        <f>K15+K16+K17</f>
        <v>4.0323231025556391E-2</v>
      </c>
    </row>
    <row r="17" spans="1:18" ht="16.5" thickBot="1" x14ac:dyDescent="0.3">
      <c r="A17" s="43"/>
      <c r="B17" s="3" t="s">
        <v>57</v>
      </c>
      <c r="C17" s="31">
        <v>0.22622098718265299</v>
      </c>
      <c r="D17" s="31">
        <v>0.13894313075300799</v>
      </c>
      <c r="E17" s="31">
        <f t="shared" si="6"/>
        <v>0.26548282171421472</v>
      </c>
      <c r="F17" s="31">
        <f t="shared" si="7"/>
        <v>0.11959785362525914</v>
      </c>
      <c r="G17" s="152">
        <f t="shared" si="8"/>
        <v>-6.2592751224866738E-2</v>
      </c>
      <c r="H17" s="31">
        <v>-9.3570629844627898E-2</v>
      </c>
      <c r="I17" s="152">
        <f>F17*C17/E17</f>
        <v>0.10191071624648143</v>
      </c>
      <c r="J17" s="31">
        <v>0.119169270156912</v>
      </c>
      <c r="K17" s="223">
        <v>-2.09473189465029E-2</v>
      </c>
      <c r="L17" s="19">
        <f>ABS((G17-H17)/G17)*100</f>
        <v>49.49115994034517</v>
      </c>
      <c r="M17" s="175">
        <f>ABS((I17-J17)/I17)*100</f>
        <v>16.934974599421913</v>
      </c>
      <c r="N17" s="211"/>
      <c r="O17" s="167"/>
      <c r="P17" s="169"/>
      <c r="Q17" s="215"/>
      <c r="R17" s="207"/>
    </row>
    <row r="18" spans="1:18" x14ac:dyDescent="0.25">
      <c r="A18" s="41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6"/>
        <v>0.45908043981072943</v>
      </c>
      <c r="F18" s="5">
        <f t="shared" si="7"/>
        <v>0.38744764581092966</v>
      </c>
      <c r="G18" s="135">
        <f t="shared" si="8"/>
        <v>-0.20428210527228444</v>
      </c>
      <c r="H18" s="5">
        <v>-0.20361845640537399</v>
      </c>
      <c r="I18" s="135">
        <f>F18*C18/E18</f>
        <v>0.32921801243242288</v>
      </c>
      <c r="J18" s="5">
        <v>0.330064925268372</v>
      </c>
      <c r="K18" s="221" t="s">
        <v>64</v>
      </c>
      <c r="L18" s="4">
        <f>ABS((G18-H18)/G18)*100</f>
        <v>0.32486882099921666</v>
      </c>
      <c r="M18" s="7">
        <f>ABS((I18-J18)/I18)*100</f>
        <v>0.25724984781109528</v>
      </c>
      <c r="N18" s="208">
        <f>-1/12*C18*D18/(D18*D18+C18*C18)^2</f>
        <v>-0.17714505627851754</v>
      </c>
      <c r="O18" s="219">
        <f>-1/0.96*(1-0.04*(C18*C18-D18*D18)/(C18*C18+D18*D18)^2)</f>
        <v>-0.95388437356372024</v>
      </c>
      <c r="P18" s="170">
        <f>1/0.96*(1-0.04*(D18*D18-C18*C18)/(C18*C18+D18*D18)^2)</f>
        <v>1.1294489597696131</v>
      </c>
      <c r="Q18" s="212">
        <f>1/12*C18*D18/(C18*C18+D18*D18)^2</f>
        <v>0.17714505627851754</v>
      </c>
      <c r="R18" s="205">
        <v>-4.6216095055825798E-3</v>
      </c>
    </row>
    <row r="19" spans="1:18" x14ac:dyDescent="0.25">
      <c r="A19" s="42"/>
      <c r="B19" s="2" t="s">
        <v>55</v>
      </c>
      <c r="C19" s="30">
        <v>0.455713651858564</v>
      </c>
      <c r="D19" s="30">
        <v>0.186443664387938</v>
      </c>
      <c r="E19" s="30">
        <f t="shared" si="6"/>
        <v>0.49237807879785889</v>
      </c>
      <c r="F19" s="30">
        <f t="shared" si="7"/>
        <v>0.42827051422666923</v>
      </c>
      <c r="G19" s="140">
        <f t="shared" si="8"/>
        <v>-0.16216872249202571</v>
      </c>
      <c r="H19" s="30">
        <v>-0.163882011377116</v>
      </c>
      <c r="I19" s="140">
        <f>F19*C19/E19</f>
        <v>0.396379791111101</v>
      </c>
      <c r="J19" s="30">
        <v>0.39936987018611902</v>
      </c>
      <c r="K19" s="222">
        <v>-0.12358051977053899</v>
      </c>
      <c r="L19" s="16">
        <f>ABS((G19-H19)/G19)*100</f>
        <v>1.0564854053003552</v>
      </c>
      <c r="M19" s="8">
        <f>ABS((I19-J19)/I19)*100</f>
        <v>0.75434700306906899</v>
      </c>
      <c r="N19" s="209"/>
      <c r="O19" s="220"/>
      <c r="P19" s="171"/>
      <c r="Q19" s="213"/>
      <c r="R19" s="206"/>
    </row>
    <row r="20" spans="1:18" x14ac:dyDescent="0.25">
      <c r="A20" s="42"/>
      <c r="B20" s="2" t="s">
        <v>56</v>
      </c>
      <c r="C20" s="30">
        <v>0.43767799115533501</v>
      </c>
      <c r="D20" s="30">
        <v>0.30855667592349001</v>
      </c>
      <c r="E20" s="30">
        <f t="shared" si="6"/>
        <v>0.53550839974618802</v>
      </c>
      <c r="F20" s="30">
        <f t="shared" si="7"/>
        <v>0.48001356887306179</v>
      </c>
      <c r="G20" s="140">
        <f t="shared" si="8"/>
        <v>-0.27658089262435981</v>
      </c>
      <c r="H20" s="30">
        <v>-0.27858397278539698</v>
      </c>
      <c r="I20" s="140">
        <f>F20*C20/E20</f>
        <v>0.39232134295417326</v>
      </c>
      <c r="J20" s="30">
        <v>0.39071233441443498</v>
      </c>
      <c r="K20" s="222">
        <v>8.2216584473887702E-2</v>
      </c>
      <c r="L20" s="16">
        <f>ABS((G20-H20)/G20)*100</f>
        <v>0.72422940790695567</v>
      </c>
      <c r="M20" s="8">
        <f>ABS((I20-J20)/I20)*100</f>
        <v>0.41012516107904529</v>
      </c>
      <c r="N20" s="210">
        <v>-5.6957584114745899E-2</v>
      </c>
      <c r="O20" s="53">
        <v>-0.95759798272257901</v>
      </c>
      <c r="P20" s="168">
        <v>1.1344986861228901</v>
      </c>
      <c r="Q20" s="214">
        <v>5.2676185244459398E-2</v>
      </c>
      <c r="R20" s="224">
        <f>K19+K20+K21</f>
        <v>-4.6216095055818945E-3</v>
      </c>
    </row>
    <row r="21" spans="1:18" ht="16.5" thickBot="1" x14ac:dyDescent="0.3">
      <c r="A21" s="48"/>
      <c r="B21" s="3" t="s">
        <v>57</v>
      </c>
      <c r="C21" s="31">
        <v>0.30970835329033097</v>
      </c>
      <c r="D21" s="31">
        <v>0.24363297654796201</v>
      </c>
      <c r="E21" s="31">
        <f t="shared" si="6"/>
        <v>0.39405112784945595</v>
      </c>
      <c r="F21" s="31">
        <f t="shared" si="7"/>
        <v>0.30473068513065271</v>
      </c>
      <c r="G21" s="152">
        <f t="shared" si="8"/>
        <v>-0.18840814964560751</v>
      </c>
      <c r="H21" s="31">
        <v>-0.18554090555397601</v>
      </c>
      <c r="I21" s="152">
        <f>F21*C21/E21</f>
        <v>0.23950607425974685</v>
      </c>
      <c r="J21" s="31">
        <v>0.23748255535377899</v>
      </c>
      <c r="K21" s="223">
        <v>3.6742325791069397E-2</v>
      </c>
      <c r="L21" s="19">
        <f>ABS((G21-H21)/G21)*100</f>
        <v>1.5218259385407349</v>
      </c>
      <c r="M21" s="175">
        <f>ABS((I21-J21)/I21)*100</f>
        <v>0.84487164353641009</v>
      </c>
      <c r="N21" s="211"/>
      <c r="O21" s="167"/>
      <c r="P21" s="169"/>
      <c r="Q21" s="215"/>
      <c r="R21" s="207"/>
    </row>
    <row r="22" spans="1:18" x14ac:dyDescent="0.25">
      <c r="A22" s="42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9">SQRT(D22*D22+C22*C22)</f>
        <v>0.45908043981072943</v>
      </c>
      <c r="F22" s="5">
        <f t="shared" ref="F22:F29" si="10">1/0.96*(E22-0.04/E22)</f>
        <v>0.38744764581092966</v>
      </c>
      <c r="G22" s="135">
        <f t="shared" ref="G22:G29" si="11">-F22*D22/E22</f>
        <v>-0.20428210527228444</v>
      </c>
      <c r="H22" s="5">
        <v>-0.20361845640537399</v>
      </c>
      <c r="I22" s="135">
        <f>F22*C22/E22</f>
        <v>0.32921801243242288</v>
      </c>
      <c r="J22" s="5">
        <v>0.330064925268372</v>
      </c>
      <c r="K22" s="221" t="s">
        <v>64</v>
      </c>
      <c r="L22" s="4">
        <f>ABS((G22-H22)/G22)*100</f>
        <v>0.32486882099921666</v>
      </c>
      <c r="M22" s="7">
        <f>ABS((I22-J22)/I22)*100</f>
        <v>0.25724984781109528</v>
      </c>
      <c r="N22" s="208">
        <f>-1/12*C22*D22/(D22*D22+C22*C22)^2</f>
        <v>-0.17714505627851754</v>
      </c>
      <c r="O22" s="219">
        <f>-1/0.96*(1-0.04*(C22*C22-D22*D22)/(C22*C22+D22*D22)^2)</f>
        <v>-0.95388437356372024</v>
      </c>
      <c r="P22" s="170">
        <f>1/0.96*(1-0.04*(D22*D22-C22*C22)/(C22*C22+D22*D22)^2)</f>
        <v>1.1294489597696131</v>
      </c>
      <c r="Q22" s="212">
        <f>1/12*C22*D22/(C22*C22+D22*D22)^2</f>
        <v>0.17714505627851754</v>
      </c>
      <c r="R22" s="205">
        <v>5.9126179060860602E-2</v>
      </c>
    </row>
    <row r="23" spans="1:18" x14ac:dyDescent="0.25">
      <c r="A23" s="42"/>
      <c r="B23" s="2" t="s">
        <v>55</v>
      </c>
      <c r="C23" s="30">
        <v>0.455713651858564</v>
      </c>
      <c r="D23" s="30">
        <v>0.186443664387938</v>
      </c>
      <c r="E23" s="30">
        <f t="shared" si="9"/>
        <v>0.49237807879785889</v>
      </c>
      <c r="F23" s="30">
        <f t="shared" si="10"/>
        <v>0.42827051422666923</v>
      </c>
      <c r="G23" s="140">
        <f t="shared" si="11"/>
        <v>-0.16216872249202571</v>
      </c>
      <c r="H23" s="30">
        <v>-9.2213600873070997E-2</v>
      </c>
      <c r="I23" s="140">
        <f>F23*C23/E23</f>
        <v>0.396379791111101</v>
      </c>
      <c r="J23" s="30">
        <v>0.25256679995706899</v>
      </c>
      <c r="K23" s="222">
        <v>-7.67018916246021E-2</v>
      </c>
      <c r="L23" s="16">
        <f>ABS((G23-H23)/G23)*100</f>
        <v>43.137246531861038</v>
      </c>
      <c r="M23" s="8">
        <f>ABS((I23-J23)/I23)*100</f>
        <v>36.281615354533244</v>
      </c>
      <c r="N23" s="209"/>
      <c r="O23" s="220"/>
      <c r="P23" s="171"/>
      <c r="Q23" s="213"/>
      <c r="R23" s="206"/>
    </row>
    <row r="24" spans="1:18" x14ac:dyDescent="0.25">
      <c r="A24" s="42"/>
      <c r="B24" s="2" t="s">
        <v>56</v>
      </c>
      <c r="C24" s="30">
        <v>0.43767799115533501</v>
      </c>
      <c r="D24" s="30">
        <v>0.30855667592349001</v>
      </c>
      <c r="E24" s="30">
        <f t="shared" si="9"/>
        <v>0.53550839974618802</v>
      </c>
      <c r="F24" s="30">
        <f t="shared" si="10"/>
        <v>0.48001356887306179</v>
      </c>
      <c r="G24" s="140">
        <f t="shared" si="11"/>
        <v>-0.27658089262435981</v>
      </c>
      <c r="H24" s="30">
        <v>-0.249148420634765</v>
      </c>
      <c r="I24" s="140">
        <f>F24*C24/E24</f>
        <v>0.39232134295417326</v>
      </c>
      <c r="J24" s="30">
        <v>0.40821995712584502</v>
      </c>
      <c r="K24" s="222">
        <v>9.0695793797376606E-2</v>
      </c>
      <c r="L24" s="16">
        <f>ABS((G24-H24)/G24)*100</f>
        <v>9.9184262981074411</v>
      </c>
      <c r="M24" s="8">
        <f>ABS((I24-J24)/I24)*100</f>
        <v>4.0524469181195855</v>
      </c>
      <c r="N24" s="210">
        <v>-5.6957584114745899E-2</v>
      </c>
      <c r="O24" s="53">
        <v>-0.95759798272257901</v>
      </c>
      <c r="P24" s="168">
        <v>1.1344986861228901</v>
      </c>
      <c r="Q24" s="214">
        <v>5.2676185244459398E-2</v>
      </c>
      <c r="R24" s="224">
        <f>K23+K24+K25</f>
        <v>5.9126179060860505E-2</v>
      </c>
    </row>
    <row r="25" spans="1:18" ht="16.5" thickBot="1" x14ac:dyDescent="0.3">
      <c r="A25" s="43"/>
      <c r="B25" s="3" t="s">
        <v>57</v>
      </c>
      <c r="C25" s="31">
        <v>0.30970835329033097</v>
      </c>
      <c r="D25" s="31">
        <v>0.24363297654796201</v>
      </c>
      <c r="E25" s="31">
        <f t="shared" si="9"/>
        <v>0.39405112784945595</v>
      </c>
      <c r="F25" s="31">
        <f t="shared" si="10"/>
        <v>0.30473068513065271</v>
      </c>
      <c r="G25" s="152">
        <f t="shared" si="11"/>
        <v>-0.18840814964560751</v>
      </c>
      <c r="H25" s="31">
        <v>-0.217046816661215</v>
      </c>
      <c r="I25" s="152">
        <f>F25*C25/E25</f>
        <v>0.23950607425974685</v>
      </c>
      <c r="J25" s="31">
        <v>0.21820442256157499</v>
      </c>
      <c r="K25" s="223">
        <v>4.5132276888086E-2</v>
      </c>
      <c r="L25" s="19">
        <f>ABS((G25-H25)/G25)*100</f>
        <v>15.200333461942241</v>
      </c>
      <c r="M25" s="175">
        <f>ABS((I25-J25)/I25)*100</f>
        <v>8.8939922563592244</v>
      </c>
      <c r="N25" s="211"/>
      <c r="O25" s="167"/>
      <c r="P25" s="169"/>
      <c r="Q25" s="215"/>
      <c r="R25" s="207"/>
    </row>
    <row r="26" spans="1:18" x14ac:dyDescent="0.25">
      <c r="A26" s="41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9"/>
        <v>0.83862007708632547</v>
      </c>
      <c r="F26" s="5">
        <f t="shared" si="10"/>
        <v>0.82387778523416422</v>
      </c>
      <c r="G26" s="135">
        <f t="shared" si="11"/>
        <v>-0.79668042246916526</v>
      </c>
      <c r="H26" s="5">
        <v>-0.79768972897205603</v>
      </c>
      <c r="I26" s="135">
        <f>F26*C26/E26</f>
        <v>0.20994025211165193</v>
      </c>
      <c r="J26" s="5">
        <v>0.20354624043290701</v>
      </c>
      <c r="K26" s="221" t="s">
        <v>64</v>
      </c>
      <c r="L26" s="4">
        <f>ABS((G26-H26)/G26)*100</f>
        <v>0.12668900533072111</v>
      </c>
      <c r="M26" s="7">
        <f>ABS((I26-J26)/I26)*100</f>
        <v>3.0456339908291703</v>
      </c>
      <c r="N26" s="208">
        <f>-1/12*C26*D26/(D26*D26+C26*C26)^2</f>
        <v>-2.9197288200581158E-2</v>
      </c>
      <c r="O26" s="219">
        <f>-1/0.96*(1-0.04*(C26*C26-D26*D26)/(C26*C26+D26*D26)^2)</f>
        <v>-1.0932185255859852</v>
      </c>
      <c r="P26" s="170">
        <f>1/0.96*(1-0.04*(D26*D26-C26*C26)/(C26*C26+D26*D26)^2)</f>
        <v>0.99011480774734817</v>
      </c>
      <c r="Q26" s="212">
        <f>1/12*C26*D26/(C26*C26+D26*D26)^2</f>
        <v>2.9197288200581158E-2</v>
      </c>
      <c r="R26" s="205">
        <v>-2.3529370910404901E-3</v>
      </c>
    </row>
    <row r="27" spans="1:18" x14ac:dyDescent="0.25">
      <c r="A27" s="42"/>
      <c r="B27" s="2" t="s">
        <v>55</v>
      </c>
      <c r="C27" s="30">
        <v>7.8782216460385301E-2</v>
      </c>
      <c r="D27" s="30">
        <v>0.80500445235153695</v>
      </c>
      <c r="E27" s="30">
        <f t="shared" si="9"/>
        <v>0.80885029884163906</v>
      </c>
      <c r="F27" s="30">
        <f t="shared" si="10"/>
        <v>0.79103894803920183</v>
      </c>
      <c r="G27" s="140">
        <f t="shared" si="11"/>
        <v>-0.78727778931031545</v>
      </c>
      <c r="H27" s="30">
        <v>-0.78669057342002002</v>
      </c>
      <c r="I27" s="140">
        <f>F27*C27/E27</f>
        <v>7.7047386546396243E-2</v>
      </c>
      <c r="J27" s="30">
        <v>6.7870822556525406E-2</v>
      </c>
      <c r="K27" s="222">
        <v>-2.0404952538293199E-2</v>
      </c>
      <c r="L27" s="16">
        <f>ABS((G27-H27)/G27)*100</f>
        <v>7.4588143888810285E-2</v>
      </c>
      <c r="M27" s="8">
        <f>ABS((I27-J27)/I27)*100</f>
        <v>11.910285865887108</v>
      </c>
      <c r="N27" s="209"/>
      <c r="O27" s="220"/>
      <c r="P27" s="171"/>
      <c r="Q27" s="213"/>
      <c r="R27" s="206"/>
    </row>
    <row r="28" spans="1:18" x14ac:dyDescent="0.25">
      <c r="A28" s="42"/>
      <c r="B28" s="2" t="s">
        <v>56</v>
      </c>
      <c r="C28" s="30">
        <v>0.32878221646038502</v>
      </c>
      <c r="D28" s="30">
        <v>0.73801715424375602</v>
      </c>
      <c r="E28" s="30">
        <f t="shared" si="9"/>
        <v>0.80794001375018898</v>
      </c>
      <c r="F28" s="30">
        <f t="shared" si="10"/>
        <v>0.79003269553597311</v>
      </c>
      <c r="G28" s="140">
        <f t="shared" si="11"/>
        <v>-0.72165961803602563</v>
      </c>
      <c r="H28" s="30">
        <v>-0.72636715957160303</v>
      </c>
      <c r="I28" s="140">
        <f>F28*C28/E28</f>
        <v>0.32149503217302311</v>
      </c>
      <c r="J28" s="30">
        <v>0.31149134468011203</v>
      </c>
      <c r="K28" s="222">
        <v>1.8052015447252701E-2</v>
      </c>
      <c r="L28" s="16">
        <f>ABS((G28-H28)/G28)*100</f>
        <v>0.65232159565597236</v>
      </c>
      <c r="M28" s="8">
        <f>ABS((I28-J28)/I28)*100</f>
        <v>3.1116149525841728</v>
      </c>
      <c r="N28" s="210">
        <v>-5.6957584114745899E-2</v>
      </c>
      <c r="O28" s="53">
        <v>-0.95759798272257901</v>
      </c>
      <c r="P28" s="168">
        <v>1.1344986861228901</v>
      </c>
      <c r="Q28" s="214">
        <v>5.2676185244459398E-2</v>
      </c>
      <c r="R28" s="224">
        <f>K27+K28+K29</f>
        <v>-2.3529370910404974E-3</v>
      </c>
    </row>
    <row r="29" spans="1:18" ht="16.5" thickBot="1" x14ac:dyDescent="0.3">
      <c r="A29" s="43"/>
      <c r="B29" s="3" t="s">
        <v>57</v>
      </c>
      <c r="C29" s="31">
        <v>0.249999999999999</v>
      </c>
      <c r="D29" s="31">
        <v>0.93301270189221897</v>
      </c>
      <c r="E29" s="31">
        <f t="shared" si="9"/>
        <v>0.96592582628906765</v>
      </c>
      <c r="F29" s="31">
        <f t="shared" si="10"/>
        <v>0.96303622820069212</v>
      </c>
      <c r="G29" s="152">
        <f>-F29*D29/E29</f>
        <v>-0.93022156447106152</v>
      </c>
      <c r="H29" s="31">
        <v>-0.93301270189221897</v>
      </c>
      <c r="I29" s="152">
        <f>F29*C29/E29</f>
        <v>0.24925211698203556</v>
      </c>
      <c r="J29" s="31">
        <v>0.249999999999999</v>
      </c>
      <c r="K29" s="223">
        <v>0</v>
      </c>
      <c r="L29" s="19">
        <f>ABS((G29-H29)/G29)*100</f>
        <v>0.30005081883309442</v>
      </c>
      <c r="M29" s="175">
        <f>ABS((I29-J29)/I29)*100</f>
        <v>0.30005081883310281</v>
      </c>
      <c r="N29" s="211"/>
      <c r="O29" s="167"/>
      <c r="P29" s="169"/>
      <c r="Q29" s="215"/>
      <c r="R29" s="207"/>
    </row>
  </sheetData>
  <mergeCells count="49"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A26:A29"/>
    <mergeCell ref="O26:O27"/>
    <mergeCell ref="P26:P27"/>
    <mergeCell ref="O28:O29"/>
    <mergeCell ref="P28:P29"/>
    <mergeCell ref="A22:A25"/>
    <mergeCell ref="O22:O23"/>
    <mergeCell ref="P22:P23"/>
    <mergeCell ref="O24:O25"/>
    <mergeCell ref="P24:P25"/>
    <mergeCell ref="A18:A21"/>
    <mergeCell ref="O18:O19"/>
    <mergeCell ref="P18:P19"/>
    <mergeCell ref="O20:O21"/>
    <mergeCell ref="P20:P21"/>
    <mergeCell ref="A14:A17"/>
    <mergeCell ref="O14:O15"/>
    <mergeCell ref="P14:P15"/>
    <mergeCell ref="O16:O17"/>
    <mergeCell ref="P16:P17"/>
    <mergeCell ref="A10:A13"/>
    <mergeCell ref="O10:O11"/>
    <mergeCell ref="P10:P11"/>
    <mergeCell ref="O12:O13"/>
    <mergeCell ref="P12:P13"/>
    <mergeCell ref="A6:A9"/>
    <mergeCell ref="A2:A5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MUSCL; beta</vt:lpstr>
      <vt:lpstr>Лист1</vt:lpstr>
      <vt:lpstr>43</vt:lpstr>
      <vt:lpstr>23</vt:lpstr>
      <vt:lpstr>71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2023-02-14T01:13:33Z</dcterms:modified>
</cp:coreProperties>
</file>