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9040" windowHeight="15840" activeTab="2"/>
  </bookViews>
  <sheets>
    <sheet name="MUSCL; beta" sheetId="2" r:id="rId1"/>
    <sheet name="Лист1" sheetId="4" r:id="rId2"/>
    <sheet name="43" sheetId="5" r:id="rId3"/>
    <sheet name="23" sheetId="6" r:id="rId4"/>
    <sheet name="71" sheetId="7" r:id="rId5"/>
    <sheet name="Лист3" sheetId="3" r:id="rId6"/>
    <sheet name="Лист2" sheetId="8" r:id="rId7"/>
  </sheets>
  <calcPr calcId="144525"/>
</workbook>
</file>

<file path=xl/calcChain.xml><?xml version="1.0" encoding="utf-8"?>
<calcChain xmlns="http://schemas.openxmlformats.org/spreadsheetml/2006/main">
  <c r="D32" i="5" l="1"/>
  <c r="B32" i="5"/>
  <c r="D24" i="8" l="1"/>
  <c r="D23" i="8"/>
  <c r="H19" i="8"/>
  <c r="G19" i="8"/>
  <c r="H18" i="8"/>
  <c r="G18" i="8"/>
  <c r="H17" i="8"/>
  <c r="G17" i="8"/>
  <c r="H14" i="8"/>
  <c r="H13" i="8"/>
  <c r="H12" i="8"/>
  <c r="G14" i="8"/>
  <c r="G13" i="8"/>
  <c r="G12" i="8"/>
  <c r="U13" i="5"/>
  <c r="I26" i="5"/>
  <c r="D27" i="5"/>
  <c r="U3" i="5"/>
  <c r="H27" i="5" s="1"/>
  <c r="I27" i="5" s="1"/>
  <c r="G29" i="5"/>
  <c r="H26" i="5"/>
  <c r="H26" i="6"/>
  <c r="H29" i="6"/>
  <c r="H28" i="6"/>
  <c r="H27" i="6"/>
  <c r="T15" i="6"/>
  <c r="C26" i="6"/>
  <c r="C27" i="6"/>
  <c r="C28" i="6"/>
  <c r="T16" i="5"/>
  <c r="C26" i="5"/>
  <c r="G28" i="7" l="1"/>
  <c r="E28" i="7"/>
  <c r="D28" i="7"/>
  <c r="C28" i="7"/>
  <c r="G27" i="7"/>
  <c r="E27" i="7"/>
  <c r="D27" i="7"/>
  <c r="C27" i="7"/>
  <c r="G26" i="7"/>
  <c r="G29" i="7" s="1"/>
  <c r="E26" i="7"/>
  <c r="E29" i="7" s="1"/>
  <c r="D26" i="7"/>
  <c r="D29" i="7" s="1"/>
  <c r="C26" i="7"/>
  <c r="C29" i="7" s="1"/>
  <c r="C29" i="6"/>
  <c r="G28" i="6"/>
  <c r="E28" i="6"/>
  <c r="D28" i="6"/>
  <c r="G27" i="6"/>
  <c r="E27" i="6"/>
  <c r="D27" i="6"/>
  <c r="G26" i="6"/>
  <c r="G29" i="6" s="1"/>
  <c r="E26" i="6"/>
  <c r="E29" i="6" s="1"/>
  <c r="D26" i="6"/>
  <c r="D29" i="6" s="1"/>
  <c r="C29" i="5"/>
  <c r="D29" i="5"/>
  <c r="E29" i="5"/>
  <c r="G28" i="5"/>
  <c r="G27" i="5"/>
  <c r="G26" i="5"/>
  <c r="E26" i="5"/>
  <c r="E27" i="5"/>
  <c r="E28" i="5"/>
  <c r="D28" i="5"/>
  <c r="D26" i="5"/>
  <c r="C27" i="5"/>
  <c r="C28" i="5"/>
  <c r="O25" i="4"/>
  <c r="T15" i="5"/>
  <c r="O24" i="4"/>
  <c r="Q24" i="4"/>
  <c r="S24" i="4"/>
  <c r="N8" i="7"/>
  <c r="O8" i="7"/>
  <c r="P8" i="7"/>
  <c r="M8" i="7"/>
  <c r="Q6" i="7"/>
  <c r="T24" i="4"/>
  <c r="U5" i="7"/>
  <c r="T5" i="7"/>
  <c r="U4" i="7"/>
  <c r="T4" i="7"/>
  <c r="U3" i="7"/>
  <c r="T3" i="7"/>
  <c r="U13" i="7"/>
  <c r="T13" i="7"/>
  <c r="U12" i="7"/>
  <c r="U11" i="7"/>
  <c r="T11" i="7"/>
  <c r="U17" i="7"/>
  <c r="T17" i="7"/>
  <c r="U16" i="7"/>
  <c r="T16" i="7"/>
  <c r="U15" i="7"/>
  <c r="T15" i="7"/>
  <c r="V17" i="7"/>
  <c r="V16" i="7"/>
  <c r="V15" i="7"/>
  <c r="V13" i="7"/>
  <c r="V12" i="7"/>
  <c r="V11" i="7"/>
  <c r="E9" i="7"/>
  <c r="F9" i="7" s="1"/>
  <c r="F8" i="7"/>
  <c r="I8" i="7" s="1"/>
  <c r="L8" i="7" s="1"/>
  <c r="E8" i="7"/>
  <c r="E7" i="7"/>
  <c r="F7" i="7" s="1"/>
  <c r="I7" i="7" s="1"/>
  <c r="L7" i="7" s="1"/>
  <c r="P6" i="7"/>
  <c r="O6" i="7"/>
  <c r="N6" i="7"/>
  <c r="M6" i="7"/>
  <c r="E6" i="7"/>
  <c r="F6" i="7" s="1"/>
  <c r="V5" i="7"/>
  <c r="R5" i="7"/>
  <c r="S5" i="7" s="1"/>
  <c r="E5" i="7"/>
  <c r="F5" i="7" s="1"/>
  <c r="V4" i="7"/>
  <c r="R4" i="7"/>
  <c r="S4" i="7" s="1"/>
  <c r="F4" i="7"/>
  <c r="I4" i="7" s="1"/>
  <c r="L4" i="7" s="1"/>
  <c r="E4" i="7"/>
  <c r="V3" i="7"/>
  <c r="R3" i="7"/>
  <c r="E3" i="7"/>
  <c r="F3" i="7" s="1"/>
  <c r="P2" i="7"/>
  <c r="O2" i="7"/>
  <c r="N2" i="7"/>
  <c r="M2" i="7"/>
  <c r="E2" i="7"/>
  <c r="F2" i="7" s="1"/>
  <c r="U13" i="6"/>
  <c r="T13" i="6"/>
  <c r="U12" i="6"/>
  <c r="T12" i="6"/>
  <c r="U11" i="6"/>
  <c r="T11" i="6"/>
  <c r="T5" i="6"/>
  <c r="U4" i="6"/>
  <c r="T4" i="6"/>
  <c r="U3" i="6"/>
  <c r="T3" i="6"/>
  <c r="U16" i="6"/>
  <c r="U15" i="6"/>
  <c r="U17" i="6"/>
  <c r="T17" i="6"/>
  <c r="T16" i="6"/>
  <c r="V17" i="6"/>
  <c r="V16" i="6"/>
  <c r="V15" i="6"/>
  <c r="V13" i="6"/>
  <c r="V12" i="6"/>
  <c r="V11" i="6"/>
  <c r="E9" i="6"/>
  <c r="F9" i="6" s="1"/>
  <c r="E8" i="6"/>
  <c r="F8" i="6" s="1"/>
  <c r="E7" i="6"/>
  <c r="F7" i="6" s="1"/>
  <c r="I7" i="6" s="1"/>
  <c r="L7" i="6" s="1"/>
  <c r="P6" i="6"/>
  <c r="O6" i="6"/>
  <c r="N6" i="6"/>
  <c r="M6" i="6"/>
  <c r="E6" i="6"/>
  <c r="F6" i="6" s="1"/>
  <c r="V5" i="6"/>
  <c r="U5" i="6"/>
  <c r="R5" i="6"/>
  <c r="S5" i="6" s="1"/>
  <c r="E5" i="6"/>
  <c r="F5" i="6" s="1"/>
  <c r="V4" i="6"/>
  <c r="R4" i="6"/>
  <c r="S4" i="6" s="1"/>
  <c r="E4" i="6"/>
  <c r="F4" i="6" s="1"/>
  <c r="I4" i="6" s="1"/>
  <c r="L4" i="6" s="1"/>
  <c r="V3" i="6"/>
  <c r="R3" i="6"/>
  <c r="E3" i="6"/>
  <c r="F3" i="6" s="1"/>
  <c r="P2" i="6"/>
  <c r="O2" i="6"/>
  <c r="N2" i="6"/>
  <c r="M2" i="6"/>
  <c r="E2" i="6"/>
  <c r="F2" i="6" s="1"/>
  <c r="U17" i="5"/>
  <c r="U16" i="5"/>
  <c r="U15" i="5"/>
  <c r="T17" i="5"/>
  <c r="V16" i="5"/>
  <c r="V17" i="5"/>
  <c r="V15" i="5"/>
  <c r="U12" i="5"/>
  <c r="U11" i="5"/>
  <c r="H28" i="5" s="1"/>
  <c r="V12" i="5"/>
  <c r="V13" i="5"/>
  <c r="V11" i="5"/>
  <c r="T13" i="5"/>
  <c r="T12" i="5"/>
  <c r="T11" i="5"/>
  <c r="U5" i="5"/>
  <c r="U4" i="5"/>
  <c r="V5" i="5"/>
  <c r="V4" i="5"/>
  <c r="V3" i="5"/>
  <c r="R5" i="5"/>
  <c r="S5" i="5" s="1"/>
  <c r="R4" i="5"/>
  <c r="S4" i="5" s="1"/>
  <c r="R3" i="5"/>
  <c r="S3" i="5" s="1"/>
  <c r="P6" i="5"/>
  <c r="O6" i="5"/>
  <c r="N6" i="5"/>
  <c r="M6" i="5"/>
  <c r="E6" i="5"/>
  <c r="F6" i="5" s="1"/>
  <c r="M2" i="5"/>
  <c r="N2" i="5"/>
  <c r="O2" i="5"/>
  <c r="P2" i="5"/>
  <c r="E9" i="5"/>
  <c r="F9" i="5" s="1"/>
  <c r="I9" i="5" s="1"/>
  <c r="E8" i="5"/>
  <c r="F8" i="5" s="1"/>
  <c r="E7" i="5"/>
  <c r="F7" i="5" s="1"/>
  <c r="E5" i="5"/>
  <c r="F5" i="5" s="1"/>
  <c r="E4" i="5"/>
  <c r="F4" i="5" s="1"/>
  <c r="E3" i="5"/>
  <c r="F3" i="5" s="1"/>
  <c r="E2" i="5"/>
  <c r="F2" i="5" s="1"/>
  <c r="G29" i="3"/>
  <c r="E29" i="3"/>
  <c r="F29" i="3" s="1"/>
  <c r="R28" i="3"/>
  <c r="E28" i="3"/>
  <c r="F28" i="3" s="1"/>
  <c r="E27" i="3"/>
  <c r="F27" i="3" s="1"/>
  <c r="Q26" i="3"/>
  <c r="P26" i="3"/>
  <c r="O26" i="3"/>
  <c r="N26" i="3"/>
  <c r="E26" i="3"/>
  <c r="F26" i="3" s="1"/>
  <c r="E25" i="3"/>
  <c r="F25" i="3" s="1"/>
  <c r="R24" i="3"/>
  <c r="E24" i="3"/>
  <c r="F24" i="3" s="1"/>
  <c r="E23" i="3"/>
  <c r="F23" i="3" s="1"/>
  <c r="Q22" i="3"/>
  <c r="P22" i="3"/>
  <c r="O22" i="3"/>
  <c r="N22" i="3"/>
  <c r="E22" i="3"/>
  <c r="F22" i="3" s="1"/>
  <c r="E21" i="3"/>
  <c r="F21" i="3" s="1"/>
  <c r="R20" i="3"/>
  <c r="E20" i="3"/>
  <c r="F20" i="3" s="1"/>
  <c r="E19" i="3"/>
  <c r="F19" i="3" s="1"/>
  <c r="I19" i="3" s="1"/>
  <c r="M19" i="3" s="1"/>
  <c r="Q18" i="3"/>
  <c r="P18" i="3"/>
  <c r="O18" i="3"/>
  <c r="N18" i="3"/>
  <c r="E18" i="3"/>
  <c r="F18" i="3" s="1"/>
  <c r="E17" i="3"/>
  <c r="F17" i="3" s="1"/>
  <c r="R16" i="3"/>
  <c r="E16" i="3"/>
  <c r="F16" i="3" s="1"/>
  <c r="E15" i="3"/>
  <c r="F15" i="3" s="1"/>
  <c r="Q14" i="3"/>
  <c r="P14" i="3"/>
  <c r="O14" i="3"/>
  <c r="N14" i="3"/>
  <c r="E14" i="3"/>
  <c r="F14" i="3" s="1"/>
  <c r="E13" i="3"/>
  <c r="F13" i="3" s="1"/>
  <c r="R12" i="3"/>
  <c r="E12" i="3"/>
  <c r="F12" i="3" s="1"/>
  <c r="E11" i="3"/>
  <c r="F11" i="3" s="1"/>
  <c r="I11" i="3" s="1"/>
  <c r="M11" i="3" s="1"/>
  <c r="Q10" i="3"/>
  <c r="P10" i="3"/>
  <c r="O10" i="3"/>
  <c r="N10" i="3"/>
  <c r="E10" i="3"/>
  <c r="F10" i="3" s="1"/>
  <c r="R8" i="3"/>
  <c r="R4" i="3"/>
  <c r="E9" i="3"/>
  <c r="F9" i="3" s="1"/>
  <c r="E8" i="3"/>
  <c r="F8" i="3" s="1"/>
  <c r="E7" i="3"/>
  <c r="F7" i="3" s="1"/>
  <c r="Q6" i="3"/>
  <c r="P6" i="3"/>
  <c r="O6" i="3"/>
  <c r="N6" i="3"/>
  <c r="E6" i="3"/>
  <c r="F6" i="3" s="1"/>
  <c r="E4" i="3"/>
  <c r="F4" i="3"/>
  <c r="I4" i="3" s="1"/>
  <c r="M4" i="3" s="1"/>
  <c r="E5" i="3"/>
  <c r="F5" i="3" s="1"/>
  <c r="G5" i="3" s="1"/>
  <c r="E2" i="4"/>
  <c r="F2" i="4" s="1"/>
  <c r="M2" i="4"/>
  <c r="V24" i="4" s="1"/>
  <c r="N2" i="4"/>
  <c r="V28" i="4" s="1"/>
  <c r="O2" i="4"/>
  <c r="P2" i="4"/>
  <c r="E3" i="4"/>
  <c r="F3" i="4" s="1"/>
  <c r="E4" i="4"/>
  <c r="F4" i="4" s="1"/>
  <c r="E5" i="4"/>
  <c r="F5" i="4" s="1"/>
  <c r="F25" i="4"/>
  <c r="E25" i="4"/>
  <c r="F24" i="4"/>
  <c r="E24" i="4"/>
  <c r="S19" i="4"/>
  <c r="R19" i="4"/>
  <c r="Q19" i="4"/>
  <c r="P19" i="4"/>
  <c r="O19" i="4"/>
  <c r="N19" i="4"/>
  <c r="D18" i="4"/>
  <c r="C18" i="4"/>
  <c r="D17" i="4"/>
  <c r="C17" i="4"/>
  <c r="H16" i="4"/>
  <c r="G16" i="4"/>
  <c r="P14" i="4" s="1"/>
  <c r="D16" i="4"/>
  <c r="C16" i="4"/>
  <c r="V15" i="4"/>
  <c r="T15" i="4"/>
  <c r="R15" i="4"/>
  <c r="Q15" i="4"/>
  <c r="P15" i="4"/>
  <c r="O15" i="4"/>
  <c r="H15" i="4"/>
  <c r="D15" i="4"/>
  <c r="C15" i="4"/>
  <c r="H14" i="4"/>
  <c r="H17" i="4" s="1"/>
  <c r="D14" i="4"/>
  <c r="C14" i="4"/>
  <c r="E13" i="4"/>
  <c r="E12" i="4"/>
  <c r="F12" i="4" s="1"/>
  <c r="E11" i="4"/>
  <c r="F11" i="4" s="1"/>
  <c r="E10" i="4"/>
  <c r="F10" i="4" s="1"/>
  <c r="I10" i="4" s="1"/>
  <c r="E9" i="4"/>
  <c r="F9" i="4" s="1"/>
  <c r="E8" i="4"/>
  <c r="F8" i="4" s="1"/>
  <c r="E7" i="4"/>
  <c r="F7" i="4" s="1"/>
  <c r="P6" i="4"/>
  <c r="O6" i="4"/>
  <c r="N6" i="4"/>
  <c r="M6" i="4"/>
  <c r="E6" i="4"/>
  <c r="F6" i="4" s="1"/>
  <c r="Q2" i="3"/>
  <c r="P2" i="3"/>
  <c r="O2" i="3"/>
  <c r="N2" i="3"/>
  <c r="E3" i="3"/>
  <c r="F3" i="3" s="1"/>
  <c r="E2" i="3"/>
  <c r="F2" i="3" s="1"/>
  <c r="I2" i="3" s="1"/>
  <c r="M2" i="3" s="1"/>
  <c r="T63" i="2"/>
  <c r="Q86" i="2" s="1"/>
  <c r="V86" i="2"/>
  <c r="V82" i="2"/>
  <c r="T82" i="2"/>
  <c r="O83" i="2"/>
  <c r="N83" i="2"/>
  <c r="O87" i="2"/>
  <c r="O86" i="2"/>
  <c r="P86" i="2"/>
  <c r="R86" i="2"/>
  <c r="N87" i="2"/>
  <c r="N86" i="2"/>
  <c r="R82" i="2"/>
  <c r="O82" i="2"/>
  <c r="P82" i="2"/>
  <c r="N82" i="2"/>
  <c r="T86" i="2"/>
  <c r="F75" i="2"/>
  <c r="E75" i="2"/>
  <c r="F73" i="2"/>
  <c r="E73" i="2"/>
  <c r="F72" i="2"/>
  <c r="E72" i="2"/>
  <c r="Q76" i="2"/>
  <c r="Q63" i="2"/>
  <c r="S73" i="2" s="1"/>
  <c r="O77" i="2"/>
  <c r="N77" i="2"/>
  <c r="V76" i="2"/>
  <c r="R76" i="2"/>
  <c r="P76" i="2"/>
  <c r="O76" i="2"/>
  <c r="N76" i="2"/>
  <c r="W63" i="2"/>
  <c r="V63" i="2"/>
  <c r="S87" i="2" s="1"/>
  <c r="V62" i="2"/>
  <c r="W61" i="2"/>
  <c r="V61" i="2"/>
  <c r="U61" i="2"/>
  <c r="U63" i="2"/>
  <c r="T61" i="2"/>
  <c r="S63" i="2"/>
  <c r="S62" i="2"/>
  <c r="S61" i="2"/>
  <c r="O73" i="2"/>
  <c r="O72" i="2"/>
  <c r="T72" i="2"/>
  <c r="S67" i="2"/>
  <c r="Q67" i="2"/>
  <c r="O67" i="2"/>
  <c r="P63" i="2"/>
  <c r="N73" i="2"/>
  <c r="V72" i="2"/>
  <c r="N72" i="2"/>
  <c r="R61" i="2"/>
  <c r="P67" i="2"/>
  <c r="R67" i="2"/>
  <c r="N67" i="2"/>
  <c r="E65" i="2"/>
  <c r="F65" i="2"/>
  <c r="H65" i="2"/>
  <c r="I65" i="2"/>
  <c r="E66" i="2"/>
  <c r="F66" i="2"/>
  <c r="H66" i="2"/>
  <c r="D65" i="2"/>
  <c r="D66" i="2"/>
  <c r="C66" i="2"/>
  <c r="C65" i="2"/>
  <c r="Q61" i="2"/>
  <c r="P61" i="2"/>
  <c r="E64" i="2"/>
  <c r="F64" i="2"/>
  <c r="G64" i="2"/>
  <c r="P62" i="2" s="1"/>
  <c r="H64" i="2"/>
  <c r="I64" i="2"/>
  <c r="U62" i="2" s="1"/>
  <c r="D64" i="2"/>
  <c r="C64" i="2"/>
  <c r="C63" i="2"/>
  <c r="E61" i="2"/>
  <c r="F61" i="2"/>
  <c r="I61" i="2"/>
  <c r="O61" i="2"/>
  <c r="H63" i="2"/>
  <c r="D63" i="2"/>
  <c r="N63" i="2"/>
  <c r="N62" i="2"/>
  <c r="N61" i="2"/>
  <c r="D62" i="2"/>
  <c r="E62" i="2"/>
  <c r="F62" i="2"/>
  <c r="G62" i="2"/>
  <c r="H62" i="2"/>
  <c r="I62" i="2"/>
  <c r="C62" i="2"/>
  <c r="I59" i="2"/>
  <c r="G59" i="2"/>
  <c r="F59" i="2"/>
  <c r="E59" i="2"/>
  <c r="E60" i="2"/>
  <c r="F60" i="2" s="1"/>
  <c r="E58" i="2"/>
  <c r="H29" i="5" l="1"/>
  <c r="I28" i="5"/>
  <c r="G8" i="7"/>
  <c r="S7" i="7"/>
  <c r="S9" i="7" s="1"/>
  <c r="G6" i="7"/>
  <c r="K6" i="7" s="1"/>
  <c r="I6" i="7"/>
  <c r="L6" i="7" s="1"/>
  <c r="G5" i="7"/>
  <c r="I5" i="7"/>
  <c r="L5" i="7" s="1"/>
  <c r="G2" i="7"/>
  <c r="K2" i="7" s="1"/>
  <c r="I2" i="7"/>
  <c r="L2" i="7" s="1"/>
  <c r="I3" i="7"/>
  <c r="L3" i="7" s="1"/>
  <c r="G3" i="7"/>
  <c r="I9" i="7"/>
  <c r="L9" i="7" s="1"/>
  <c r="G9" i="7"/>
  <c r="T12" i="7" s="1"/>
  <c r="G4" i="7"/>
  <c r="G7" i="7"/>
  <c r="S3" i="7"/>
  <c r="G6" i="6"/>
  <c r="K6" i="6" s="1"/>
  <c r="I6" i="6"/>
  <c r="L6" i="6" s="1"/>
  <c r="I5" i="6"/>
  <c r="G5" i="6"/>
  <c r="S7" i="6"/>
  <c r="S9" i="6" s="1"/>
  <c r="S3" i="6"/>
  <c r="I3" i="6"/>
  <c r="L3" i="6" s="1"/>
  <c r="G3" i="6"/>
  <c r="I8" i="6"/>
  <c r="L8" i="6" s="1"/>
  <c r="G8" i="6"/>
  <c r="G2" i="6"/>
  <c r="K2" i="6" s="1"/>
  <c r="I2" i="6"/>
  <c r="L2" i="6" s="1"/>
  <c r="I9" i="6"/>
  <c r="L9" i="6" s="1"/>
  <c r="G9" i="6"/>
  <c r="L5" i="6"/>
  <c r="K5" i="6"/>
  <c r="G4" i="6"/>
  <c r="G7" i="6"/>
  <c r="S7" i="5"/>
  <c r="S9" i="5" s="1"/>
  <c r="G9" i="5"/>
  <c r="K9" i="5" s="1"/>
  <c r="G6" i="5"/>
  <c r="K6" i="5" s="1"/>
  <c r="I6" i="5"/>
  <c r="L6" i="5" s="1"/>
  <c r="I8" i="5"/>
  <c r="L8" i="5" s="1"/>
  <c r="G8" i="5"/>
  <c r="L9" i="5"/>
  <c r="I7" i="5"/>
  <c r="L7" i="5" s="1"/>
  <c r="G7" i="5"/>
  <c r="K7" i="5" s="1"/>
  <c r="I4" i="5"/>
  <c r="L4" i="5" s="1"/>
  <c r="G4" i="5"/>
  <c r="I2" i="5"/>
  <c r="L2" i="5" s="1"/>
  <c r="G2" i="5"/>
  <c r="K2" i="5" s="1"/>
  <c r="I5" i="5"/>
  <c r="L5" i="5" s="1"/>
  <c r="G5" i="5"/>
  <c r="T3" i="5" s="1"/>
  <c r="I3" i="5"/>
  <c r="L3" i="5" s="1"/>
  <c r="G3" i="5"/>
  <c r="K3" i="5" s="1"/>
  <c r="I28" i="3"/>
  <c r="M28" i="3" s="1"/>
  <c r="G28" i="3"/>
  <c r="L28" i="3" s="1"/>
  <c r="I26" i="3"/>
  <c r="M26" i="3" s="1"/>
  <c r="G26" i="3"/>
  <c r="L26" i="3" s="1"/>
  <c r="L29" i="3"/>
  <c r="I29" i="3"/>
  <c r="M29" i="3" s="1"/>
  <c r="I27" i="3"/>
  <c r="M27" i="3" s="1"/>
  <c r="G27" i="3"/>
  <c r="L27" i="3" s="1"/>
  <c r="I24" i="3"/>
  <c r="M24" i="3" s="1"/>
  <c r="G24" i="3"/>
  <c r="L24" i="3" s="1"/>
  <c r="G22" i="3"/>
  <c r="L22" i="3" s="1"/>
  <c r="I22" i="3"/>
  <c r="M22" i="3" s="1"/>
  <c r="I25" i="3"/>
  <c r="M25" i="3" s="1"/>
  <c r="G25" i="3"/>
  <c r="L25" i="3" s="1"/>
  <c r="G23" i="3"/>
  <c r="L23" i="3" s="1"/>
  <c r="I23" i="3"/>
  <c r="M23" i="3" s="1"/>
  <c r="I18" i="3"/>
  <c r="M18" i="3" s="1"/>
  <c r="G18" i="3"/>
  <c r="L18" i="3" s="1"/>
  <c r="I21" i="3"/>
  <c r="M21" i="3" s="1"/>
  <c r="G21" i="3"/>
  <c r="L21" i="3" s="1"/>
  <c r="I20" i="3"/>
  <c r="M20" i="3" s="1"/>
  <c r="G20" i="3"/>
  <c r="L20" i="3" s="1"/>
  <c r="G19" i="3"/>
  <c r="L19" i="3" s="1"/>
  <c r="I16" i="3"/>
  <c r="M16" i="3" s="1"/>
  <c r="G16" i="3"/>
  <c r="L16" i="3" s="1"/>
  <c r="I14" i="3"/>
  <c r="M14" i="3" s="1"/>
  <c r="G14" i="3"/>
  <c r="L14" i="3" s="1"/>
  <c r="G17" i="3"/>
  <c r="L17" i="3" s="1"/>
  <c r="I17" i="3"/>
  <c r="M17" i="3" s="1"/>
  <c r="I15" i="3"/>
  <c r="M15" i="3" s="1"/>
  <c r="G15" i="3"/>
  <c r="L15" i="3" s="1"/>
  <c r="I12" i="3"/>
  <c r="M12" i="3" s="1"/>
  <c r="G12" i="3"/>
  <c r="L12" i="3" s="1"/>
  <c r="I10" i="3"/>
  <c r="M10" i="3" s="1"/>
  <c r="G10" i="3"/>
  <c r="L10" i="3" s="1"/>
  <c r="G13" i="3"/>
  <c r="L13" i="3" s="1"/>
  <c r="I13" i="3"/>
  <c r="M13" i="3" s="1"/>
  <c r="G11" i="3"/>
  <c r="L11" i="3" s="1"/>
  <c r="G7" i="3"/>
  <c r="L7" i="3" s="1"/>
  <c r="I7" i="3"/>
  <c r="M7" i="3" s="1"/>
  <c r="I8" i="3"/>
  <c r="M8" i="3" s="1"/>
  <c r="G8" i="3"/>
  <c r="L8" i="3" s="1"/>
  <c r="G6" i="3"/>
  <c r="L6" i="3" s="1"/>
  <c r="I6" i="3"/>
  <c r="M6" i="3" s="1"/>
  <c r="I9" i="3"/>
  <c r="M9" i="3" s="1"/>
  <c r="G9" i="3"/>
  <c r="L9" i="3" s="1"/>
  <c r="G4" i="3"/>
  <c r="L4" i="3" s="1"/>
  <c r="E27" i="4"/>
  <c r="G2" i="4"/>
  <c r="K2" i="4" s="1"/>
  <c r="I2" i="4"/>
  <c r="L2" i="4" s="1"/>
  <c r="G5" i="4"/>
  <c r="K5" i="4" s="1"/>
  <c r="I5" i="4"/>
  <c r="L5" i="4" s="1"/>
  <c r="G4" i="4"/>
  <c r="K4" i="4" s="1"/>
  <c r="I4" i="4"/>
  <c r="L4" i="4" s="1"/>
  <c r="G3" i="4"/>
  <c r="K3" i="4" s="1"/>
  <c r="I3" i="4"/>
  <c r="L3" i="4" s="1"/>
  <c r="E14" i="4"/>
  <c r="E17" i="4" s="1"/>
  <c r="E15" i="4"/>
  <c r="E16" i="4"/>
  <c r="F15" i="4"/>
  <c r="F27" i="4"/>
  <c r="G6" i="4"/>
  <c r="K6" i="4" s="1"/>
  <c r="I6" i="4"/>
  <c r="L6" i="4" s="1"/>
  <c r="T13" i="4"/>
  <c r="S13" i="4"/>
  <c r="G8" i="4"/>
  <c r="K8" i="4" s="1"/>
  <c r="I8" i="4"/>
  <c r="L8" i="4" s="1"/>
  <c r="G11" i="4"/>
  <c r="R13" i="4" s="1"/>
  <c r="R24" i="4" s="1"/>
  <c r="I11" i="4"/>
  <c r="I15" i="4" s="1"/>
  <c r="T14" i="4" s="1"/>
  <c r="F14" i="4"/>
  <c r="F18" i="4" s="1"/>
  <c r="H18" i="4"/>
  <c r="G10" i="4"/>
  <c r="P13" i="4" s="1"/>
  <c r="P28" i="4" s="1"/>
  <c r="I9" i="4"/>
  <c r="L9" i="4" s="1"/>
  <c r="G9" i="4"/>
  <c r="K9" i="4" s="1"/>
  <c r="I7" i="4"/>
  <c r="L7" i="4" s="1"/>
  <c r="G7" i="4"/>
  <c r="K7" i="4" s="1"/>
  <c r="U13" i="4"/>
  <c r="G15" i="4"/>
  <c r="O14" i="4" s="1"/>
  <c r="F13" i="4"/>
  <c r="F16" i="4" s="1"/>
  <c r="I3" i="3"/>
  <c r="M3" i="3" s="1"/>
  <c r="G3" i="3"/>
  <c r="L3" i="3" s="1"/>
  <c r="L5" i="3"/>
  <c r="I5" i="3"/>
  <c r="M5" i="3" s="1"/>
  <c r="G2" i="3"/>
  <c r="L2" i="3" s="1"/>
  <c r="Q82" i="2"/>
  <c r="P83" i="2"/>
  <c r="P87" i="2"/>
  <c r="S82" i="2"/>
  <c r="U82" i="2" s="1"/>
  <c r="S83" i="2"/>
  <c r="S86" i="2"/>
  <c r="U86" i="2" s="1"/>
  <c r="S77" i="2"/>
  <c r="S76" i="2"/>
  <c r="S72" i="2"/>
  <c r="P72" i="2"/>
  <c r="P73" i="2"/>
  <c r="P77" i="2" s="1"/>
  <c r="G65" i="2"/>
  <c r="Q62" i="2" s="1"/>
  <c r="R63" i="2"/>
  <c r="I63" i="2"/>
  <c r="F63" i="2"/>
  <c r="E63" i="2"/>
  <c r="F58" i="2"/>
  <c r="E57" i="2"/>
  <c r="F57" i="2" s="1"/>
  <c r="I57" i="2" s="1"/>
  <c r="L57" i="2" s="1"/>
  <c r="F56" i="2"/>
  <c r="I56" i="2" s="1"/>
  <c r="L56" i="2" s="1"/>
  <c r="E56" i="2"/>
  <c r="E55" i="2"/>
  <c r="F55" i="2" s="1"/>
  <c r="I55" i="2" s="1"/>
  <c r="L55" i="2" s="1"/>
  <c r="P54" i="2"/>
  <c r="O54" i="2"/>
  <c r="N54" i="2"/>
  <c r="M54" i="2"/>
  <c r="E54" i="2"/>
  <c r="F54" i="2" s="1"/>
  <c r="E53" i="2"/>
  <c r="F53" i="2" s="1"/>
  <c r="I53" i="2" s="1"/>
  <c r="L53" i="2" s="1"/>
  <c r="F52" i="2"/>
  <c r="I52" i="2" s="1"/>
  <c r="L52" i="2" s="1"/>
  <c r="E52" i="2"/>
  <c r="E51" i="2"/>
  <c r="F51" i="2" s="1"/>
  <c r="I51" i="2" s="1"/>
  <c r="L51" i="2" s="1"/>
  <c r="P50" i="2"/>
  <c r="O50" i="2"/>
  <c r="N50" i="2"/>
  <c r="M50" i="2"/>
  <c r="E50" i="2"/>
  <c r="F50" i="2" s="1"/>
  <c r="E49" i="2"/>
  <c r="F49" i="2" s="1"/>
  <c r="I49" i="2" s="1"/>
  <c r="L49" i="2" s="1"/>
  <c r="E48" i="2"/>
  <c r="F48" i="2" s="1"/>
  <c r="I48" i="2" s="1"/>
  <c r="L48" i="2" s="1"/>
  <c r="E47" i="2"/>
  <c r="F47" i="2" s="1"/>
  <c r="I47" i="2" s="1"/>
  <c r="L47" i="2" s="1"/>
  <c r="P46" i="2"/>
  <c r="O46" i="2"/>
  <c r="N46" i="2"/>
  <c r="M46" i="2"/>
  <c r="E46" i="2"/>
  <c r="F46" i="2" s="1"/>
  <c r="E45" i="2"/>
  <c r="F45" i="2" s="1"/>
  <c r="E44" i="2"/>
  <c r="F44" i="2" s="1"/>
  <c r="E43" i="2"/>
  <c r="F43" i="2" s="1"/>
  <c r="P42" i="2"/>
  <c r="O42" i="2"/>
  <c r="N42" i="2"/>
  <c r="M42" i="2"/>
  <c r="E42" i="2"/>
  <c r="F42" i="2" s="1"/>
  <c r="M34" i="2"/>
  <c r="E41" i="2"/>
  <c r="F41" i="2" s="1"/>
  <c r="E40" i="2"/>
  <c r="F40" i="2" s="1"/>
  <c r="E39" i="2"/>
  <c r="F39" i="2" s="1"/>
  <c r="P38" i="2"/>
  <c r="O38" i="2"/>
  <c r="N38" i="2"/>
  <c r="M38" i="2"/>
  <c r="E38" i="2"/>
  <c r="F38" i="2" s="1"/>
  <c r="E37" i="2"/>
  <c r="F37" i="2" s="1"/>
  <c r="E36" i="2"/>
  <c r="F36" i="2" s="1"/>
  <c r="E35" i="2"/>
  <c r="F35" i="2" s="1"/>
  <c r="P34" i="2"/>
  <c r="O34" i="2"/>
  <c r="N34" i="2"/>
  <c r="E34" i="2"/>
  <c r="F34" i="2" s="1"/>
  <c r="K8" i="7" l="1"/>
  <c r="K9" i="7"/>
  <c r="K3" i="7"/>
  <c r="K7" i="7"/>
  <c r="K4" i="7"/>
  <c r="K5" i="7"/>
  <c r="K3" i="6"/>
  <c r="K9" i="6"/>
  <c r="K7" i="6"/>
  <c r="K4" i="6"/>
  <c r="K8" i="6"/>
  <c r="K8" i="5"/>
  <c r="T4" i="5"/>
  <c r="K4" i="5"/>
  <c r="T5" i="5"/>
  <c r="K5" i="5"/>
  <c r="N15" i="4"/>
  <c r="Q13" i="4"/>
  <c r="S28" i="4" s="1"/>
  <c r="E18" i="4"/>
  <c r="O13" i="4"/>
  <c r="N13" i="4"/>
  <c r="N28" i="4" s="1"/>
  <c r="W13" i="4"/>
  <c r="R28" i="4"/>
  <c r="S15" i="4"/>
  <c r="I14" i="4"/>
  <c r="S14" i="4" s="1"/>
  <c r="G14" i="4"/>
  <c r="V13" i="4"/>
  <c r="P24" i="4"/>
  <c r="P25" i="4"/>
  <c r="F17" i="4"/>
  <c r="I13" i="4"/>
  <c r="T62" i="2"/>
  <c r="I66" i="2"/>
  <c r="W62" i="2" s="1"/>
  <c r="U76" i="2"/>
  <c r="R72" i="2"/>
  <c r="G63" i="2"/>
  <c r="O63" i="2"/>
  <c r="G58" i="2"/>
  <c r="I58" i="2"/>
  <c r="I54" i="2"/>
  <c r="L54" i="2" s="1"/>
  <c r="G54" i="2"/>
  <c r="K54" i="2" s="1"/>
  <c r="G55" i="2"/>
  <c r="G56" i="2"/>
  <c r="G57" i="2"/>
  <c r="I50" i="2"/>
  <c r="L50" i="2" s="1"/>
  <c r="G50" i="2"/>
  <c r="K50" i="2" s="1"/>
  <c r="G51" i="2"/>
  <c r="G52" i="2"/>
  <c r="G53" i="2"/>
  <c r="G46" i="2"/>
  <c r="K46" i="2" s="1"/>
  <c r="I46" i="2"/>
  <c r="L46" i="2" s="1"/>
  <c r="G47" i="2"/>
  <c r="G48" i="2"/>
  <c r="G49" i="2"/>
  <c r="I43" i="2"/>
  <c r="L43" i="2" s="1"/>
  <c r="G43" i="2"/>
  <c r="I44" i="2"/>
  <c r="L44" i="2" s="1"/>
  <c r="G44" i="2"/>
  <c r="I45" i="2"/>
  <c r="L45" i="2" s="1"/>
  <c r="G45" i="2"/>
  <c r="G42" i="2"/>
  <c r="K42" i="2" s="1"/>
  <c r="I42" i="2"/>
  <c r="L42" i="2" s="1"/>
  <c r="I40" i="2"/>
  <c r="L40" i="2" s="1"/>
  <c r="G40" i="2"/>
  <c r="I39" i="2"/>
  <c r="L39" i="2" s="1"/>
  <c r="G39" i="2"/>
  <c r="I41" i="2"/>
  <c r="L41" i="2" s="1"/>
  <c r="G41" i="2"/>
  <c r="G38" i="2"/>
  <c r="K38" i="2" s="1"/>
  <c r="I38" i="2"/>
  <c r="L38" i="2" s="1"/>
  <c r="G35" i="2"/>
  <c r="I35" i="2"/>
  <c r="L35" i="2" s="1"/>
  <c r="G36" i="2"/>
  <c r="I36" i="2"/>
  <c r="L36" i="2" s="1"/>
  <c r="G34" i="2"/>
  <c r="K34" i="2" s="1"/>
  <c r="I34" i="2"/>
  <c r="L34" i="2" s="1"/>
  <c r="G37" i="2"/>
  <c r="I37" i="2"/>
  <c r="L37" i="2" s="1"/>
  <c r="E33" i="2"/>
  <c r="F33" i="2" s="1"/>
  <c r="E32" i="2"/>
  <c r="F32" i="2" s="1"/>
  <c r="E31" i="2"/>
  <c r="F31" i="2" s="1"/>
  <c r="P30" i="2"/>
  <c r="O30" i="2"/>
  <c r="N30" i="2"/>
  <c r="M30" i="2"/>
  <c r="E30" i="2"/>
  <c r="F30" i="2" s="1"/>
  <c r="E29" i="2"/>
  <c r="F29" i="2" s="1"/>
  <c r="E28" i="2"/>
  <c r="F28" i="2" s="1"/>
  <c r="E27" i="2"/>
  <c r="F27" i="2" s="1"/>
  <c r="P26" i="2"/>
  <c r="O26" i="2"/>
  <c r="N26" i="2"/>
  <c r="M26" i="2"/>
  <c r="E26" i="2"/>
  <c r="F26" i="2" s="1"/>
  <c r="K25" i="2"/>
  <c r="E25" i="2"/>
  <c r="F25" i="2" s="1"/>
  <c r="E24" i="2"/>
  <c r="F24" i="2" s="1"/>
  <c r="I24" i="2" s="1"/>
  <c r="E23" i="2"/>
  <c r="F23" i="2" s="1"/>
  <c r="P22" i="2"/>
  <c r="O22" i="2"/>
  <c r="N22" i="2"/>
  <c r="M22" i="2"/>
  <c r="E22" i="2"/>
  <c r="F22" i="2" s="1"/>
  <c r="I22" i="2" s="1"/>
  <c r="L22" i="2" s="1"/>
  <c r="P18" i="2"/>
  <c r="O18" i="2"/>
  <c r="N18" i="2"/>
  <c r="M18" i="2"/>
  <c r="E21" i="2"/>
  <c r="F21" i="2" s="1"/>
  <c r="E20" i="2"/>
  <c r="F20" i="2" s="1"/>
  <c r="E19" i="2"/>
  <c r="F19" i="2" s="1"/>
  <c r="E18" i="2"/>
  <c r="F18" i="2" s="1"/>
  <c r="P14" i="2"/>
  <c r="O14" i="2"/>
  <c r="N14" i="2"/>
  <c r="M14" i="2"/>
  <c r="P10" i="2"/>
  <c r="P6" i="2"/>
  <c r="O10" i="2"/>
  <c r="N10" i="2"/>
  <c r="M10" i="2"/>
  <c r="O6" i="2"/>
  <c r="N6" i="2"/>
  <c r="M6" i="2"/>
  <c r="P2" i="2"/>
  <c r="O2" i="2"/>
  <c r="N2" i="2"/>
  <c r="M2" i="2"/>
  <c r="T28" i="4" l="1"/>
  <c r="Q25" i="4"/>
  <c r="O28" i="4"/>
  <c r="N24" i="4"/>
  <c r="Q28" i="4"/>
  <c r="Q29" i="4"/>
  <c r="N14" i="4"/>
  <c r="G17" i="4"/>
  <c r="Q14" i="4" s="1"/>
  <c r="G18" i="4"/>
  <c r="R14" i="4" s="1"/>
  <c r="R25" i="4" s="1"/>
  <c r="R29" i="4" s="1"/>
  <c r="I18" i="4"/>
  <c r="W14" i="4" s="1"/>
  <c r="P29" i="4"/>
  <c r="U24" i="4"/>
  <c r="U28" i="4"/>
  <c r="W15" i="4"/>
  <c r="I16" i="4"/>
  <c r="U14" i="4" s="1"/>
  <c r="I17" i="4"/>
  <c r="V14" i="4" s="1"/>
  <c r="U15" i="4"/>
  <c r="R87" i="2"/>
  <c r="T87" i="2" s="1"/>
  <c r="R83" i="2"/>
  <c r="T83" i="2" s="1"/>
  <c r="Q83" i="2"/>
  <c r="U83" i="2" s="1"/>
  <c r="Q87" i="2"/>
  <c r="U87" i="2" s="1"/>
  <c r="O62" i="2"/>
  <c r="G66" i="2"/>
  <c r="R62" i="2" s="1"/>
  <c r="R73" i="2" s="1"/>
  <c r="Q72" i="2"/>
  <c r="U72" i="2" s="1"/>
  <c r="K55" i="2"/>
  <c r="K57" i="2"/>
  <c r="K56" i="2"/>
  <c r="K51" i="2"/>
  <c r="K53" i="2"/>
  <c r="K52" i="2"/>
  <c r="K47" i="2"/>
  <c r="K49" i="2"/>
  <c r="K48" i="2"/>
  <c r="K43" i="2"/>
  <c r="K45" i="2"/>
  <c r="K44" i="2"/>
  <c r="K40" i="2"/>
  <c r="K41" i="2"/>
  <c r="K39" i="2"/>
  <c r="K35" i="2"/>
  <c r="K37" i="2"/>
  <c r="K36" i="2"/>
  <c r="I30" i="2"/>
  <c r="L30" i="2" s="1"/>
  <c r="G30" i="2"/>
  <c r="K30" i="2" s="1"/>
  <c r="G31" i="2"/>
  <c r="I31" i="2"/>
  <c r="L31" i="2" s="1"/>
  <c r="G33" i="2"/>
  <c r="I33" i="2"/>
  <c r="L33" i="2" s="1"/>
  <c r="G32" i="2"/>
  <c r="I32" i="2"/>
  <c r="L32" i="2" s="1"/>
  <c r="I26" i="2"/>
  <c r="L26" i="2" s="1"/>
  <c r="G26" i="2"/>
  <c r="K26" i="2" s="1"/>
  <c r="G27" i="2"/>
  <c r="I27" i="2"/>
  <c r="L27" i="2" s="1"/>
  <c r="I28" i="2"/>
  <c r="L28" i="2" s="1"/>
  <c r="G28" i="2"/>
  <c r="I29" i="2"/>
  <c r="L29" i="2" s="1"/>
  <c r="G29" i="2"/>
  <c r="G25" i="2"/>
  <c r="R25" i="2" s="1"/>
  <c r="T25" i="2" s="1"/>
  <c r="I25" i="2"/>
  <c r="L25" i="2" s="1"/>
  <c r="G23" i="2"/>
  <c r="R23" i="2" s="1"/>
  <c r="T23" i="2" s="1"/>
  <c r="I23" i="2"/>
  <c r="L23" i="2" s="1"/>
  <c r="L24" i="2"/>
  <c r="G22" i="2"/>
  <c r="K22" i="2" s="1"/>
  <c r="G24" i="2"/>
  <c r="I21" i="2"/>
  <c r="G21" i="2"/>
  <c r="I20" i="2"/>
  <c r="G20" i="2"/>
  <c r="I19" i="2"/>
  <c r="G19" i="2"/>
  <c r="G18" i="2"/>
  <c r="K18" i="2" s="1"/>
  <c r="I18" i="2"/>
  <c r="L18" i="2" s="1"/>
  <c r="E17" i="2"/>
  <c r="F17" i="2" s="1"/>
  <c r="E16" i="2"/>
  <c r="F16" i="2" s="1"/>
  <c r="E15" i="2"/>
  <c r="F15" i="2" s="1"/>
  <c r="E14" i="2"/>
  <c r="F14" i="2" s="1"/>
  <c r="E10" i="2"/>
  <c r="F10" i="2" s="1"/>
  <c r="E11" i="2"/>
  <c r="F11" i="2" s="1"/>
  <c r="E13" i="2"/>
  <c r="F13" i="2" s="1"/>
  <c r="E12" i="2"/>
  <c r="F12" i="2" s="1"/>
  <c r="E9" i="2"/>
  <c r="F9" i="2" s="1"/>
  <c r="E8" i="2"/>
  <c r="F8" i="2" s="1"/>
  <c r="E7" i="2"/>
  <c r="F7" i="2" s="1"/>
  <c r="E6" i="2"/>
  <c r="F6" i="2" s="1"/>
  <c r="E5" i="2"/>
  <c r="F5" i="2" s="1"/>
  <c r="G5" i="2" s="1"/>
  <c r="R5" i="2" s="1"/>
  <c r="T5" i="2" s="1"/>
  <c r="E4" i="2"/>
  <c r="F4" i="2" s="1"/>
  <c r="G4" i="2" s="1"/>
  <c r="E3" i="2"/>
  <c r="F3" i="2" s="1"/>
  <c r="G3" i="2" s="1"/>
  <c r="R3" i="2" s="1"/>
  <c r="T3" i="2" s="1"/>
  <c r="E2" i="2"/>
  <c r="F2" i="2" s="1"/>
  <c r="I2" i="2" s="1"/>
  <c r="L2" i="2" s="1"/>
  <c r="S25" i="4" l="1"/>
  <c r="S29" i="4"/>
  <c r="O29" i="4"/>
  <c r="N29" i="4"/>
  <c r="T29" i="4" s="1"/>
  <c r="N25" i="4"/>
  <c r="T25" i="4" s="1"/>
  <c r="T73" i="2"/>
  <c r="R77" i="2"/>
  <c r="T77" i="2" s="1"/>
  <c r="Q73" i="2"/>
  <c r="U73" i="2" s="1"/>
  <c r="Q77" i="2"/>
  <c r="U77" i="2" s="1"/>
  <c r="R32" i="2"/>
  <c r="T32" i="2" s="1"/>
  <c r="K32" i="2"/>
  <c r="R31" i="2"/>
  <c r="T31" i="2" s="1"/>
  <c r="K31" i="2"/>
  <c r="R33" i="2"/>
  <c r="T33" i="2" s="1"/>
  <c r="K33" i="2"/>
  <c r="R29" i="2"/>
  <c r="T29" i="2" s="1"/>
  <c r="K29" i="2"/>
  <c r="R28" i="2"/>
  <c r="T28" i="2" s="1"/>
  <c r="K28" i="2"/>
  <c r="R27" i="2"/>
  <c r="T27" i="2" s="1"/>
  <c r="K27" i="2"/>
  <c r="K23" i="2"/>
  <c r="K24" i="2"/>
  <c r="R24" i="2"/>
  <c r="T24" i="2" s="1"/>
  <c r="T22" i="2" s="1"/>
  <c r="G6" i="2"/>
  <c r="K6" i="2" s="1"/>
  <c r="I6" i="2"/>
  <c r="L6" i="2" s="1"/>
  <c r="I8" i="2"/>
  <c r="G8" i="2"/>
  <c r="I9" i="2"/>
  <c r="G9" i="2"/>
  <c r="L20" i="2"/>
  <c r="K21" i="2"/>
  <c r="R21" i="2"/>
  <c r="T21" i="2" s="1"/>
  <c r="L21" i="2"/>
  <c r="R4" i="2"/>
  <c r="T4" i="2" s="1"/>
  <c r="T2" i="2" s="1"/>
  <c r="K19" i="2"/>
  <c r="R19" i="2"/>
  <c r="T19" i="2" s="1"/>
  <c r="L19" i="2"/>
  <c r="R20" i="2"/>
  <c r="T20" i="2" s="1"/>
  <c r="K20" i="2"/>
  <c r="G14" i="2"/>
  <c r="K14" i="2" s="1"/>
  <c r="I14" i="2"/>
  <c r="L14" i="2" s="1"/>
  <c r="I16" i="2"/>
  <c r="G16" i="2"/>
  <c r="R16" i="2" s="1"/>
  <c r="T16" i="2" s="1"/>
  <c r="I17" i="2"/>
  <c r="G17" i="2"/>
  <c r="R17" i="2" s="1"/>
  <c r="T17" i="2" s="1"/>
  <c r="I15" i="2"/>
  <c r="G15" i="2"/>
  <c r="R15" i="2" s="1"/>
  <c r="T15" i="2" s="1"/>
  <c r="I10" i="2"/>
  <c r="L10" i="2" s="1"/>
  <c r="G10" i="2"/>
  <c r="K10" i="2" s="1"/>
  <c r="I11" i="2"/>
  <c r="G11" i="2"/>
  <c r="R11" i="2" s="1"/>
  <c r="T11" i="2" s="1"/>
  <c r="I12" i="2"/>
  <c r="G12" i="2"/>
  <c r="R12" i="2" s="1"/>
  <c r="T12" i="2" s="1"/>
  <c r="G13" i="2"/>
  <c r="R13" i="2" s="1"/>
  <c r="T13" i="2" s="1"/>
  <c r="I13" i="2"/>
  <c r="I7" i="2"/>
  <c r="G7" i="2"/>
  <c r="K5" i="2"/>
  <c r="K3" i="2"/>
  <c r="I3" i="2"/>
  <c r="I4" i="2"/>
  <c r="I5" i="2"/>
  <c r="K4" i="2"/>
  <c r="G2" i="2"/>
  <c r="K2" i="2" s="1"/>
  <c r="U25" i="4" l="1"/>
  <c r="U29" i="4"/>
  <c r="T30" i="2"/>
  <c r="T26" i="2"/>
  <c r="T18" i="2"/>
  <c r="L8" i="2"/>
  <c r="R7" i="2"/>
  <c r="T7" i="2" s="1"/>
  <c r="K7" i="2"/>
  <c r="L7" i="2"/>
  <c r="T14" i="2"/>
  <c r="R9" i="2"/>
  <c r="T9" i="2" s="1"/>
  <c r="K9" i="2"/>
  <c r="L9" i="2"/>
  <c r="T10" i="2"/>
  <c r="R8" i="2"/>
  <c r="T8" i="2" s="1"/>
  <c r="K8" i="2"/>
  <c r="L17" i="2"/>
  <c r="K15" i="2"/>
  <c r="L15" i="2"/>
  <c r="K17" i="2"/>
  <c r="K16" i="2"/>
  <c r="L16" i="2"/>
  <c r="L12" i="2"/>
  <c r="L13" i="2"/>
  <c r="K13" i="2"/>
  <c r="K12" i="2"/>
  <c r="K11" i="2"/>
  <c r="L11" i="2"/>
  <c r="L5" i="2"/>
  <c r="L4" i="2"/>
  <c r="L3" i="2"/>
  <c r="T6" i="2" l="1"/>
  <c r="T76" i="2"/>
</calcChain>
</file>

<file path=xl/sharedStrings.xml><?xml version="1.0" encoding="utf-8"?>
<sst xmlns="http://schemas.openxmlformats.org/spreadsheetml/2006/main" count="383" uniqueCount="125">
  <si>
    <r>
      <t>Uφ</t>
    </r>
    <r>
      <rPr>
        <vertAlign val="subscript"/>
        <sz val="12"/>
        <color theme="1"/>
        <rFont val="Times New Roman"/>
        <family val="1"/>
        <charset val="204"/>
      </rPr>
      <t>ан</t>
    </r>
  </si>
  <si>
    <t>x</t>
  </si>
  <si>
    <t>y</t>
  </si>
  <si>
    <t>r</t>
  </si>
  <si>
    <r>
      <t>Ux</t>
    </r>
    <r>
      <rPr>
        <vertAlign val="subscript"/>
        <sz val="12"/>
        <color theme="1"/>
        <rFont val="Times New Roman"/>
        <family val="1"/>
        <charset val="204"/>
      </rPr>
      <t>ан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</si>
  <si>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ан</t>
    </r>
  </si>
  <si>
    <t>№ Эл-та</t>
  </si>
  <si>
    <t>№ Грани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</si>
  <si>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</si>
  <si>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</si>
  <si>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t>δUx(М)</t>
  </si>
  <si>
    <t>δUy(M)</t>
  </si>
  <si>
    <r>
      <t>n</t>
    </r>
    <r>
      <rPr>
        <vertAlign val="subscript"/>
        <sz val="12"/>
        <color theme="1"/>
        <rFont val="Times New Roman"/>
        <family val="1"/>
        <charset val="204"/>
      </rPr>
      <t>x</t>
    </r>
  </si>
  <si>
    <t>dl</t>
  </si>
  <si>
    <t>S =</t>
  </si>
  <si>
    <t>Поток</t>
  </si>
  <si>
    <t>A</t>
  </si>
  <si>
    <t>B</t>
  </si>
  <si>
    <t>C</t>
  </si>
  <si>
    <t>AB</t>
  </si>
  <si>
    <t>AC</t>
  </si>
  <si>
    <t>BC</t>
  </si>
  <si>
    <t>С'</t>
  </si>
  <si>
    <t>CC'</t>
  </si>
  <si>
    <t>AA</t>
  </si>
  <si>
    <t>CC</t>
  </si>
  <si>
    <t>AC'</t>
  </si>
  <si>
    <t>BC'</t>
  </si>
  <si>
    <t>BB'</t>
  </si>
  <si>
    <t>BB</t>
  </si>
  <si>
    <t>l</t>
  </si>
  <si>
    <t>nx</t>
  </si>
  <si>
    <t>ny</t>
  </si>
  <si>
    <t>l/2</t>
  </si>
  <si>
    <t>U_x nx l</t>
  </si>
  <si>
    <t>S</t>
  </si>
  <si>
    <t>фикт</t>
  </si>
  <si>
    <t>на стенке</t>
  </si>
  <si>
    <t>simp</t>
  </si>
  <si>
    <t>U_x</t>
  </si>
  <si>
    <t>U_y</t>
  </si>
  <si>
    <t>U_x ny l</t>
  </si>
  <si>
    <t>n</t>
  </si>
  <si>
    <t>V</t>
  </si>
  <si>
    <t>W</t>
  </si>
  <si>
    <t>T</t>
  </si>
  <si>
    <t>U</t>
  </si>
  <si>
    <t>61 63</t>
  </si>
  <si>
    <t>69 68</t>
  </si>
  <si>
    <t>U_y nx l</t>
  </si>
  <si>
    <t>U_y ny l</t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</si>
  <si>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</si>
  <si>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</si>
  <si>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</si>
  <si>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</si>
  <si>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t>1(г)</t>
  </si>
  <si>
    <t>2(г)</t>
  </si>
  <si>
    <t>3(г)</t>
  </si>
  <si>
    <t>div</t>
  </si>
  <si>
    <r>
      <t>div</t>
    </r>
    <r>
      <rPr>
        <vertAlign val="subscript"/>
        <sz val="12"/>
        <color theme="1"/>
        <rFont val="Times New Roman"/>
        <family val="1"/>
        <charset val="204"/>
      </rPr>
      <t>(М)</t>
    </r>
  </si>
  <si>
    <t>66 (92)      М</t>
  </si>
  <si>
    <t>66 (92)      СВ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</si>
  <si>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</si>
  <si>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</t>
    </r>
  </si>
  <si>
    <t>-</t>
  </si>
  <si>
    <t>42 (92)      М</t>
  </si>
  <si>
    <t>42 (92)      СВ</t>
  </si>
  <si>
    <t>22 (92)      М</t>
  </si>
  <si>
    <t>22 (92)      СВ</t>
  </si>
  <si>
    <t>64 (92)      М</t>
  </si>
  <si>
    <t>43 (92)</t>
  </si>
  <si>
    <t>1(20)</t>
  </si>
  <si>
    <t>2(39)</t>
  </si>
  <si>
    <t>3(19)</t>
  </si>
  <si>
    <r>
      <t>S</t>
    </r>
    <r>
      <rPr>
        <vertAlign val="subscript"/>
        <sz val="12"/>
        <color theme="1"/>
        <rFont val="Times New Roman"/>
        <family val="1"/>
        <charset val="204"/>
      </rPr>
      <t>числ</t>
    </r>
  </si>
  <si>
    <r>
      <t>S</t>
    </r>
    <r>
      <rPr>
        <vertAlign val="subscript"/>
        <sz val="12"/>
        <color theme="1"/>
        <rFont val="Times New Roman"/>
        <family val="1"/>
        <charset val="204"/>
      </rPr>
      <t>аналит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</si>
  <si>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аналит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</si>
  <si>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числ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</si>
  <si>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</si>
  <si>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</si>
  <si>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(19-39)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</si>
  <si>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(19-20)</t>
    </r>
  </si>
  <si>
    <t>23 (92)</t>
  </si>
  <si>
    <t>1(41)</t>
  </si>
  <si>
    <t>2(43)</t>
  </si>
  <si>
    <t>3(1)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</si>
  <si>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(41-43)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</si>
  <si>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</si>
  <si>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</t>
    </r>
    <r>
      <rPr>
        <sz val="12"/>
        <color theme="1"/>
        <rFont val="Times New Roman"/>
        <family val="1"/>
        <charset val="204"/>
      </rPr>
      <t>(1-43)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</si>
  <si>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(1-41)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</si>
  <si>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 </t>
    </r>
    <r>
      <rPr>
        <sz val="12"/>
        <color theme="1"/>
        <rFont val="Times New Roman"/>
        <family val="1"/>
        <charset val="204"/>
      </rPr>
      <t>(1-41)</t>
    </r>
  </si>
  <si>
    <t>71 (92)</t>
  </si>
  <si>
    <t>1(18)</t>
  </si>
  <si>
    <t>2(20)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</si>
  <si>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(18-20)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</si>
  <si>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(18-20)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</si>
  <si>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(19-18)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</si>
  <si>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 </t>
    </r>
    <r>
      <rPr>
        <sz val="12"/>
        <color theme="1"/>
        <rFont val="Times New Roman"/>
        <family val="1"/>
        <charset val="204"/>
      </rPr>
      <t>(19-18)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</si>
  <si>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</t>
    </r>
    <r>
      <rPr>
        <sz val="12"/>
        <color theme="1"/>
        <rFont val="Times New Roman"/>
        <family val="1"/>
        <charset val="204"/>
      </rPr>
      <t>(19-20)</t>
    </r>
  </si>
  <si>
    <t>divU</t>
  </si>
  <si>
    <t>м. Симпс</t>
  </si>
  <si>
    <t>м. Трап</t>
  </si>
  <si>
    <t>м. Прям</t>
  </si>
  <si>
    <t>Прогр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</si>
  <si>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(20-39)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</si>
  <si>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(20-39)</t>
    </r>
  </si>
  <si>
    <r>
      <t>U</t>
    </r>
    <r>
      <rPr>
        <vertAlign val="subscript"/>
        <sz val="12"/>
        <color theme="1"/>
        <rFont val="Times New Roman"/>
        <family val="1"/>
        <charset val="204"/>
      </rPr>
      <t>n</t>
    </r>
    <r>
      <rPr>
        <vertAlign val="subscript"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l</t>
    </r>
  </si>
  <si>
    <t>Прогр_т</t>
  </si>
  <si>
    <r>
      <t>divU</t>
    </r>
    <r>
      <rPr>
        <vertAlign val="subscript"/>
        <sz val="12"/>
        <color theme="1"/>
        <rFont val="Times New Roman"/>
        <family val="1"/>
        <charset val="204"/>
      </rPr>
      <t xml:space="preserve">n </t>
    </r>
  </si>
  <si>
    <t>33-41-43</t>
  </si>
  <si>
    <t>71-41-43</t>
  </si>
  <si>
    <t>71-33-43</t>
  </si>
  <si>
    <t>j</t>
  </si>
  <si>
    <t>U_vert</t>
  </si>
  <si>
    <t>nx*U_vert*l</t>
  </si>
  <si>
    <t>33-41-71</t>
  </si>
  <si>
    <t>Ux</t>
  </si>
  <si>
    <t>l / S</t>
  </si>
  <si>
    <t>Ux * nx</t>
  </si>
  <si>
    <t>33-43-71</t>
  </si>
  <si>
    <t>43(92)</t>
  </si>
  <si>
    <t>dP/dx ан</t>
  </si>
  <si>
    <t>dP/dx числ</t>
  </si>
  <si>
    <t>dP/dy ан</t>
  </si>
  <si>
    <t>dP/dy числ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</si>
</sst>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rgb="FF9C0006"/>
      <name val="Times New Roman"/>
      <family val="2"/>
      <charset val="204"/>
    </font>
    <font>
      <sz val="12"/>
      <color rgb="FF006100"/>
      <name val="Times New Roman"/>
      <family val="2"/>
      <charset val="204"/>
    </font>
    <font>
      <sz val="12"/>
      <color rgb="FF9C0006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6" tint="-0.249977111117893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9C0006"/>
      <name val="Times New Roman"/>
      <family val="1"/>
      <charset val="204"/>
    </font>
    <font>
      <sz val="12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286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4" xfId="0" applyNumberFormat="1" applyFont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164" fontId="0" fillId="0" borderId="24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164" fontId="0" fillId="0" borderId="14" xfId="0" applyNumberFormat="1" applyFont="1" applyFill="1" applyBorder="1" applyAlignment="1">
      <alignment horizontal="center" vertical="center" wrapText="1"/>
    </xf>
    <xf numFmtId="164" fontId="0" fillId="0" borderId="13" xfId="0" applyNumberFormat="1" applyFont="1" applyBorder="1" applyAlignment="1">
      <alignment horizontal="center" vertical="center" wrapText="1"/>
    </xf>
    <xf numFmtId="164" fontId="0" fillId="0" borderId="2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164" fontId="0" fillId="0" borderId="10" xfId="0" applyNumberFormat="1" applyFont="1" applyBorder="1" applyAlignment="1">
      <alignment horizontal="center" vertical="center" wrapText="1"/>
    </xf>
    <xf numFmtId="164" fontId="0" fillId="0" borderId="10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Font="1" applyFill="1" applyBorder="1" applyAlignment="1">
      <alignment horizontal="center" vertical="center" wrapText="1"/>
    </xf>
    <xf numFmtId="164" fontId="0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0" borderId="25" xfId="0" applyFont="1" applyBorder="1" applyAlignment="1">
      <alignment horizontal="right" vertical="center" wrapText="1"/>
    </xf>
    <xf numFmtId="11" fontId="0" fillId="0" borderId="6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32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2" xfId="0" applyFont="1" applyBorder="1" applyAlignment="1">
      <alignment vertical="center" wrapText="1"/>
    </xf>
    <xf numFmtId="0" fontId="6" fillId="3" borderId="20" xfId="2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4" borderId="10" xfId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6" fillId="0" borderId="10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4" borderId="6" xfId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6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right" vertical="center" wrapText="1"/>
    </xf>
    <xf numFmtId="0" fontId="10" fillId="3" borderId="20" xfId="2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9" fillId="4" borderId="10" xfId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1" fillId="4" borderId="3" xfId="1" applyFont="1" applyFill="1" applyBorder="1" applyAlignment="1">
      <alignment horizontal="center" vertical="center" wrapText="1"/>
    </xf>
    <xf numFmtId="0" fontId="4" fillId="3" borderId="20" xfId="2" applyFont="1" applyBorder="1" applyAlignment="1">
      <alignment vertical="center" wrapText="1"/>
    </xf>
    <xf numFmtId="0" fontId="11" fillId="4" borderId="10" xfId="1" applyFont="1" applyFill="1" applyBorder="1" applyAlignment="1">
      <alignment horizontal="center" vertical="center" wrapText="1"/>
    </xf>
    <xf numFmtId="0" fontId="11" fillId="4" borderId="22" xfId="1" applyFont="1" applyFill="1" applyBorder="1" applyAlignment="1">
      <alignment horizontal="center" vertical="center" wrapText="1"/>
    </xf>
    <xf numFmtId="164" fontId="11" fillId="0" borderId="14" xfId="2" applyNumberFormat="1" applyFont="1" applyFill="1" applyBorder="1" applyAlignment="1">
      <alignment horizontal="center" vertical="center" wrapText="1"/>
    </xf>
    <xf numFmtId="0" fontId="11" fillId="4" borderId="6" xfId="1" applyFont="1" applyFill="1" applyBorder="1" applyAlignment="1">
      <alignment horizontal="center" vertical="center" wrapText="1"/>
    </xf>
    <xf numFmtId="164" fontId="11" fillId="0" borderId="7" xfId="2" applyNumberFormat="1" applyFont="1" applyFill="1" applyBorder="1" applyAlignment="1">
      <alignment horizontal="center" vertical="center" wrapText="1"/>
    </xf>
    <xf numFmtId="164" fontId="11" fillId="0" borderId="24" xfId="2" applyNumberFormat="1" applyFont="1" applyFill="1" applyBorder="1" applyAlignment="1">
      <alignment horizontal="center" vertical="center" wrapText="1"/>
    </xf>
    <xf numFmtId="11" fontId="7" fillId="0" borderId="6" xfId="0" applyNumberFormat="1" applyFont="1" applyBorder="1" applyAlignment="1">
      <alignment horizontal="center" vertical="center" wrapText="1"/>
    </xf>
    <xf numFmtId="11" fontId="6" fillId="0" borderId="6" xfId="0" applyNumberFormat="1" applyFont="1" applyBorder="1" applyAlignment="1">
      <alignment horizontal="center" vertical="center" wrapText="1"/>
    </xf>
    <xf numFmtId="11" fontId="0" fillId="0" borderId="22" xfId="0" applyNumberFormat="1" applyFont="1" applyBorder="1" applyAlignment="1">
      <alignment horizontal="center" vertical="center" wrapText="1"/>
    </xf>
    <xf numFmtId="0" fontId="0" fillId="4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2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164" fontId="6" fillId="0" borderId="8" xfId="0" applyNumberFormat="1" applyFont="1" applyFill="1" applyBorder="1" applyAlignment="1">
      <alignment horizontal="center" vertical="center" wrapText="1"/>
    </xf>
    <xf numFmtId="164" fontId="6" fillId="0" borderId="21" xfId="0" applyNumberFormat="1" applyFont="1" applyFill="1" applyBorder="1" applyAlignment="1">
      <alignment horizontal="center" vertical="center" wrapText="1"/>
    </xf>
    <xf numFmtId="164" fontId="6" fillId="0" borderId="43" xfId="0" applyNumberFormat="1" applyFont="1" applyFill="1" applyBorder="1" applyAlignment="1">
      <alignment horizontal="center" vertical="center" wrapText="1"/>
    </xf>
    <xf numFmtId="0" fontId="0" fillId="4" borderId="42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11" fillId="4" borderId="36" xfId="1" applyFont="1" applyFill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 wrapText="1"/>
    </xf>
    <xf numFmtId="164" fontId="0" fillId="0" borderId="7" xfId="0" applyNumberFormat="1" applyFont="1" applyFill="1" applyBorder="1" applyAlignment="1">
      <alignment horizontal="center" vertical="center" wrapText="1"/>
    </xf>
    <xf numFmtId="0" fontId="4" fillId="3" borderId="44" xfId="2" applyFont="1" applyBorder="1" applyAlignment="1">
      <alignment horizontal="center" vertical="center" wrapText="1"/>
    </xf>
    <xf numFmtId="0" fontId="4" fillId="3" borderId="46" xfId="2" applyFont="1" applyBorder="1" applyAlignment="1">
      <alignment horizontal="center" vertical="center" wrapText="1"/>
    </xf>
    <xf numFmtId="0" fontId="4" fillId="3" borderId="47" xfId="2" applyFont="1" applyBorder="1" applyAlignment="1">
      <alignment horizontal="center" vertical="center" wrapText="1"/>
    </xf>
    <xf numFmtId="0" fontId="4" fillId="3" borderId="48" xfId="2" applyFont="1" applyBorder="1" applyAlignment="1">
      <alignment horizontal="center" vertical="center" wrapText="1"/>
    </xf>
    <xf numFmtId="0" fontId="4" fillId="3" borderId="12" xfId="2" applyFont="1" applyBorder="1" applyAlignment="1">
      <alignment horizontal="center" vertical="center" wrapText="1"/>
    </xf>
    <xf numFmtId="0" fontId="4" fillId="3" borderId="49" xfId="2" applyFont="1" applyBorder="1" applyAlignment="1">
      <alignment horizontal="center" vertical="center" wrapText="1"/>
    </xf>
    <xf numFmtId="0" fontId="4" fillId="3" borderId="50" xfId="2" applyFont="1" applyBorder="1" applyAlignment="1">
      <alignment horizontal="center" vertical="center" wrapText="1"/>
    </xf>
    <xf numFmtId="0" fontId="4" fillId="3" borderId="51" xfId="2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4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1" fontId="0" fillId="0" borderId="0" xfId="0" applyNumberFormat="1"/>
    <xf numFmtId="0" fontId="0" fillId="0" borderId="3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0" xfId="0" applyBorder="1"/>
    <xf numFmtId="0" fontId="0" fillId="0" borderId="59" xfId="0" applyBorder="1"/>
    <xf numFmtId="0" fontId="0" fillId="0" borderId="32" xfId="0" applyBorder="1"/>
    <xf numFmtId="0" fontId="0" fillId="0" borderId="4" xfId="0" applyBorder="1"/>
    <xf numFmtId="0" fontId="0" fillId="0" borderId="14" xfId="0" applyBorder="1"/>
    <xf numFmtId="0" fontId="0" fillId="0" borderId="4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10" fillId="3" borderId="2" xfId="2" applyFont="1" applyBorder="1" applyAlignment="1">
      <alignment horizontal="center" vertical="center" wrapText="1"/>
    </xf>
    <xf numFmtId="0" fontId="10" fillId="3" borderId="13" xfId="2" applyFont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10" fillId="3" borderId="4" xfId="2" applyFont="1" applyBorder="1" applyAlignment="1">
      <alignment horizontal="center" vertical="center" wrapText="1"/>
    </xf>
    <xf numFmtId="0" fontId="10" fillId="3" borderId="14" xfId="2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10" fillId="3" borderId="15" xfId="2" applyFont="1" applyBorder="1" applyAlignment="1">
      <alignment horizontal="center" vertical="center" wrapText="1"/>
    </xf>
    <xf numFmtId="0" fontId="10" fillId="3" borderId="16" xfId="2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0" fillId="3" borderId="7" xfId="2" applyFont="1" applyBorder="1" applyAlignment="1">
      <alignment horizontal="center" vertical="center" wrapText="1"/>
    </xf>
    <xf numFmtId="0" fontId="4" fillId="3" borderId="15" xfId="2" applyFont="1" applyBorder="1" applyAlignment="1">
      <alignment horizontal="center" vertical="center" wrapText="1"/>
    </xf>
    <xf numFmtId="0" fontId="4" fillId="3" borderId="16" xfId="2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4" fillId="3" borderId="14" xfId="2" applyFont="1" applyBorder="1" applyAlignment="1">
      <alignment horizontal="center" vertical="center" wrapText="1"/>
    </xf>
    <xf numFmtId="0" fontId="4" fillId="3" borderId="7" xfId="2" applyFont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4" fillId="3" borderId="2" xfId="2" applyFont="1" applyBorder="1" applyAlignment="1">
      <alignment horizontal="center" vertical="center" wrapText="1"/>
    </xf>
    <xf numFmtId="0" fontId="4" fillId="3" borderId="13" xfId="2" applyFont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1" fillId="0" borderId="10" xfId="1" applyFont="1" applyFill="1" applyBorder="1" applyAlignment="1">
      <alignment horizontal="center" vertical="center" wrapText="1"/>
    </xf>
    <xf numFmtId="0" fontId="4" fillId="3" borderId="4" xfId="2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 vertical="center" wrapText="1"/>
    </xf>
    <xf numFmtId="0" fontId="11" fillId="0" borderId="13" xfId="2" applyFont="1" applyFill="1" applyBorder="1" applyAlignment="1">
      <alignment horizontal="center" vertical="center" wrapText="1"/>
    </xf>
    <xf numFmtId="0" fontId="0" fillId="4" borderId="25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0" fillId="4" borderId="27" xfId="0" applyFont="1" applyFill="1" applyBorder="1" applyAlignment="1">
      <alignment horizontal="center" vertical="center" wrapText="1"/>
    </xf>
    <xf numFmtId="0" fontId="0" fillId="4" borderId="31" xfId="0" applyFont="1" applyFill="1" applyBorder="1" applyAlignment="1">
      <alignment horizontal="center" vertical="center" wrapText="1"/>
    </xf>
    <xf numFmtId="0" fontId="4" fillId="3" borderId="23" xfId="2" applyFont="1" applyBorder="1" applyAlignment="1">
      <alignment horizontal="center" vertical="center" wrapText="1"/>
    </xf>
    <xf numFmtId="0" fontId="4" fillId="3" borderId="5" xfId="2" applyFont="1" applyBorder="1" applyAlignment="1">
      <alignment horizontal="center" vertical="center" wrapText="1"/>
    </xf>
    <xf numFmtId="0" fontId="11" fillId="0" borderId="8" xfId="1" applyFont="1" applyFill="1" applyBorder="1" applyAlignment="1">
      <alignment horizontal="center" vertical="center" wrapText="1"/>
    </xf>
    <xf numFmtId="0" fontId="11" fillId="0" borderId="21" xfId="1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4" fillId="3" borderId="30" xfId="2" applyFont="1" applyBorder="1" applyAlignment="1">
      <alignment horizontal="center" vertical="center" wrapText="1"/>
    </xf>
    <xf numFmtId="0" fontId="4" fillId="3" borderId="9" xfId="2" applyFont="1" applyBorder="1" applyAlignment="1">
      <alignment horizontal="center" vertical="center" wrapText="1"/>
    </xf>
    <xf numFmtId="0" fontId="4" fillId="3" borderId="24" xfId="2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6" fillId="3" borderId="15" xfId="2" applyFont="1" applyBorder="1" applyAlignment="1">
      <alignment horizontal="center" vertical="center" wrapText="1"/>
    </xf>
    <xf numFmtId="0" fontId="6" fillId="3" borderId="16" xfId="2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3" borderId="14" xfId="2" applyFont="1" applyBorder="1" applyAlignment="1">
      <alignment horizontal="center" vertical="center" wrapText="1"/>
    </xf>
    <xf numFmtId="0" fontId="6" fillId="3" borderId="7" xfId="2" applyFont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3" borderId="2" xfId="2" applyFont="1" applyBorder="1" applyAlignment="1">
      <alignment horizontal="center" vertical="center" wrapText="1"/>
    </xf>
    <xf numFmtId="0" fontId="6" fillId="3" borderId="13" xfId="2" applyFont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3" borderId="4" xfId="2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6" fillId="3" borderId="37" xfId="2" applyFont="1" applyBorder="1" applyAlignment="1">
      <alignment horizontal="center" vertical="center" wrapText="1"/>
    </xf>
    <xf numFmtId="0" fontId="6" fillId="3" borderId="38" xfId="2" applyFont="1" applyBorder="1" applyAlignment="1">
      <alignment horizontal="center" vertical="center" wrapText="1"/>
    </xf>
    <xf numFmtId="0" fontId="6" fillId="0" borderId="35" xfId="1" applyFont="1" applyFill="1" applyBorder="1" applyAlignment="1">
      <alignment horizontal="center" vertical="center" wrapText="1"/>
    </xf>
    <xf numFmtId="0" fontId="6" fillId="0" borderId="36" xfId="1" applyFont="1" applyFill="1" applyBorder="1" applyAlignment="1">
      <alignment horizontal="center" vertical="center" wrapText="1"/>
    </xf>
    <xf numFmtId="0" fontId="6" fillId="3" borderId="30" xfId="2" applyFont="1" applyBorder="1" applyAlignment="1">
      <alignment horizontal="center" vertical="center" wrapText="1"/>
    </xf>
    <xf numFmtId="0" fontId="6" fillId="3" borderId="9" xfId="2" applyFont="1" applyBorder="1" applyAlignment="1">
      <alignment horizontal="center" vertical="center" wrapText="1"/>
    </xf>
    <xf numFmtId="0" fontId="6" fillId="3" borderId="23" xfId="2" applyFont="1" applyBorder="1" applyAlignment="1">
      <alignment horizontal="center" vertical="center" wrapText="1"/>
    </xf>
    <xf numFmtId="0" fontId="6" fillId="3" borderId="41" xfId="2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3" borderId="24" xfId="2" applyFont="1" applyBorder="1" applyAlignment="1">
      <alignment horizontal="center" vertical="center" wrapText="1"/>
    </xf>
    <xf numFmtId="0" fontId="6" fillId="3" borderId="33" xfId="2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11" fillId="0" borderId="44" xfId="2" applyFont="1" applyFill="1" applyBorder="1" applyAlignment="1">
      <alignment horizontal="center" vertical="center" wrapText="1"/>
    </xf>
    <xf numFmtId="0" fontId="11" fillId="0" borderId="52" xfId="2" applyFont="1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4" fillId="3" borderId="31" xfId="2" applyFont="1" applyBorder="1" applyAlignment="1">
      <alignment horizontal="center" vertical="center" wrapText="1"/>
    </xf>
    <xf numFmtId="0" fontId="4" fillId="3" borderId="40" xfId="2" applyFont="1" applyBorder="1" applyAlignment="1">
      <alignment horizontal="center" vertical="center" wrapText="1"/>
    </xf>
    <xf numFmtId="0" fontId="11" fillId="0" borderId="31" xfId="2" applyFont="1" applyFill="1" applyBorder="1" applyAlignment="1">
      <alignment horizontal="center" vertical="center" wrapText="1"/>
    </xf>
    <xf numFmtId="0" fontId="11" fillId="0" borderId="40" xfId="2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9" xfId="0" applyFont="1" applyFill="1" applyBorder="1" applyAlignment="1">
      <alignment horizontal="center" vertical="center" wrapText="1"/>
    </xf>
    <xf numFmtId="0" fontId="0" fillId="4" borderId="40" xfId="0" applyFont="1" applyFill="1" applyBorder="1" applyAlignment="1">
      <alignment horizontal="center" vertical="center" wrapText="1"/>
    </xf>
    <xf numFmtId="0" fontId="4" fillId="3" borderId="1" xfId="2" applyFont="1" applyBorder="1" applyAlignment="1">
      <alignment horizontal="center" vertical="center" wrapText="1"/>
    </xf>
    <xf numFmtId="0" fontId="4" fillId="3" borderId="45" xfId="2" applyFont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8" xfId="1" applyFont="1" applyFill="1" applyBorder="1" applyAlignment="1">
      <alignment horizontal="center" vertical="center" wrapText="1"/>
    </xf>
    <xf numFmtId="0" fontId="11" fillId="0" borderId="30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 wrapText="1"/>
    </xf>
    <xf numFmtId="0" fontId="11" fillId="0" borderId="47" xfId="2" applyFont="1" applyFill="1" applyBorder="1" applyAlignment="1">
      <alignment horizontal="center" vertical="center" wrapText="1"/>
    </xf>
    <xf numFmtId="0" fontId="11" fillId="0" borderId="48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24" xfId="2" applyFont="1" applyFill="1" applyBorder="1" applyAlignment="1">
      <alignment horizontal="center" vertical="center" wrapText="1"/>
    </xf>
    <xf numFmtId="0" fontId="11" fillId="0" borderId="33" xfId="2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</cellXfs>
  <cellStyles count="3">
    <cellStyle name="Обычный" xfId="0" builtinId="0" customBuiltin="1"/>
    <cellStyle name="Плохой" xfId="2" builtinId="27" customBuiltin="1"/>
    <cellStyle name="Хороший" xfId="1" builtinId="26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19-39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0.33390333868940225</c:v>
                </c:pt>
                <c:pt idx="2">
                  <c:v>0.46780667737880488</c:v>
                </c:pt>
              </c:numCache>
            </c:numRef>
          </c:cat>
          <c:val>
            <c:numRef>
              <c:f>'43'!$T$3:$T$5</c:f>
              <c:numCache>
                <c:formatCode>General</c:formatCode>
                <c:ptCount val="3"/>
                <c:pt idx="0">
                  <c:v>-2.4575249243004765E-15</c:v>
                </c:pt>
                <c:pt idx="1">
                  <c:v>0.2230293649145943</c:v>
                </c:pt>
                <c:pt idx="2">
                  <c:v>0.39823049074968009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0.33390333868940225</c:v>
                </c:pt>
                <c:pt idx="2">
                  <c:v>0.46780667737880488</c:v>
                </c:pt>
              </c:numCache>
            </c:numRef>
          </c:cat>
          <c:val>
            <c:numRef>
              <c:f>'43'!$U$3:$U$5</c:f>
              <c:numCache>
                <c:formatCode>General</c:formatCode>
                <c:ptCount val="3"/>
                <c:pt idx="0">
                  <c:v>4.5932712425139494E-2</c:v>
                </c:pt>
                <c:pt idx="1">
                  <c:v>0.22575044686660653</c:v>
                </c:pt>
                <c:pt idx="2">
                  <c:v>0.40921456848059423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15296"/>
        <c:axId val="150225280"/>
      </c:lineChart>
      <c:catAx>
        <c:axId val="1502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225280"/>
        <c:crosses val="autoZero"/>
        <c:auto val="1"/>
        <c:lblAlgn val="ctr"/>
        <c:lblOffset val="100"/>
        <c:noMultiLvlLbl val="0"/>
      </c:catAx>
      <c:valAx>
        <c:axId val="15022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21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'43'!$T$11:$T$13</c:f>
              <c:numCache>
                <c:formatCode>General</c:formatCode>
                <c:ptCount val="3"/>
                <c:pt idx="0">
                  <c:v>1.6601419249685562E-15</c:v>
                </c:pt>
                <c:pt idx="1">
                  <c:v>-0.12835683941244105</c:v>
                </c:pt>
                <c:pt idx="2">
                  <c:v>-0.26565909185656922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'43'!$U$11:$U$13</c:f>
              <c:numCache>
                <c:formatCode>General</c:formatCode>
                <c:ptCount val="3"/>
                <c:pt idx="0">
                  <c:v>-7.9185752109508824E-3</c:v>
                </c:pt>
                <c:pt idx="1">
                  <c:v>-0.11825476917641169</c:v>
                </c:pt>
                <c:pt idx="2">
                  <c:v>-0.23897081572155668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67008"/>
        <c:axId val="150268544"/>
      </c:lineChart>
      <c:catAx>
        <c:axId val="15026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268544"/>
        <c:crosses val="autoZero"/>
        <c:auto val="1"/>
        <c:lblAlgn val="ctr"/>
        <c:lblOffset val="100"/>
        <c:noMultiLvlLbl val="0"/>
      </c:catAx>
      <c:valAx>
        <c:axId val="15026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26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20-39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'43'!$V$15:$V$17</c:f>
              <c:numCache>
                <c:formatCode>General</c:formatCode>
                <c:ptCount val="3"/>
                <c:pt idx="0">
                  <c:v>0.3814115121682578</c:v>
                </c:pt>
                <c:pt idx="1">
                  <c:v>0.41483968563918827</c:v>
                </c:pt>
                <c:pt idx="2">
                  <c:v>0.46780667737880488</c:v>
                </c:pt>
              </c:numCache>
            </c:numRef>
          </c:cat>
          <c:val>
            <c:numRef>
              <c:f>'43'!$T$15:$T$17</c:f>
              <c:numCache>
                <c:formatCode>General</c:formatCode>
                <c:ptCount val="3"/>
                <c:pt idx="0">
                  <c:v>-6.2289647124771114E-2</c:v>
                </c:pt>
                <c:pt idx="1">
                  <c:v>-0.14616532619690636</c:v>
                </c:pt>
                <c:pt idx="2">
                  <c:v>-0.24103252052642554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'43'!$V$15:$V$17</c:f>
              <c:numCache>
                <c:formatCode>General</c:formatCode>
                <c:ptCount val="3"/>
                <c:pt idx="0">
                  <c:v>0.3814115121682578</c:v>
                </c:pt>
                <c:pt idx="1">
                  <c:v>0.41483968563918827</c:v>
                </c:pt>
                <c:pt idx="2">
                  <c:v>0.46780667737880488</c:v>
                </c:pt>
              </c:numCache>
            </c:numRef>
          </c:cat>
          <c:val>
            <c:numRef>
              <c:f>'43'!$U$15:$U$17</c:f>
              <c:numCache>
                <c:formatCode>General</c:formatCode>
                <c:ptCount val="3"/>
                <c:pt idx="0">
                  <c:v>-6.7534666764108117E-2</c:v>
                </c:pt>
                <c:pt idx="1">
                  <c:v>-0.14211114829928875</c:v>
                </c:pt>
                <c:pt idx="2">
                  <c:v>-0.21407492505171274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96608"/>
        <c:axId val="236614784"/>
      </c:lineChart>
      <c:catAx>
        <c:axId val="23659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614784"/>
        <c:crosses val="autoZero"/>
        <c:auto val="1"/>
        <c:lblAlgn val="ctr"/>
        <c:lblOffset val="100"/>
        <c:noMultiLvlLbl val="0"/>
      </c:catAx>
      <c:valAx>
        <c:axId val="23661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59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1-41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'23'!$V$3:$V$5</c:f>
              <c:numCache>
                <c:formatCode>General</c:formatCode>
                <c:ptCount val="3"/>
                <c:pt idx="0">
                  <c:v>1</c:v>
                </c:pt>
                <c:pt idx="1">
                  <c:v>0.80182991018657845</c:v>
                </c:pt>
                <c:pt idx="2">
                  <c:v>0.63515461623818759</c:v>
                </c:pt>
              </c:numCache>
            </c:numRef>
          </c:cat>
          <c:val>
            <c:numRef>
              <c:f>'23'!$T$3:$T$5</c:f>
              <c:numCache>
                <c:formatCode>General</c:formatCode>
                <c:ptCount val="3"/>
                <c:pt idx="0">
                  <c:v>-0.85761430547081696</c:v>
                </c:pt>
                <c:pt idx="1">
                  <c:v>-0.60093404885823687</c:v>
                </c:pt>
                <c:pt idx="2">
                  <c:v>-0.34975865901110448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'23'!$V$3:$V$5</c:f>
              <c:numCache>
                <c:formatCode>General</c:formatCode>
                <c:ptCount val="3"/>
                <c:pt idx="0">
                  <c:v>1</c:v>
                </c:pt>
                <c:pt idx="1">
                  <c:v>0.80182991018657845</c:v>
                </c:pt>
                <c:pt idx="2">
                  <c:v>0.63515461623818759</c:v>
                </c:pt>
              </c:numCache>
            </c:numRef>
          </c:cat>
          <c:val>
            <c:numRef>
              <c:f>'23'!$U$3:$U$5</c:f>
              <c:numCache>
                <c:formatCode>General</c:formatCode>
                <c:ptCount val="3"/>
                <c:pt idx="0">
                  <c:v>-0.86395335544361573</c:v>
                </c:pt>
                <c:pt idx="1">
                  <c:v>-0.59979415401735392</c:v>
                </c:pt>
                <c:pt idx="2">
                  <c:v>-0.34133628982480774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689664"/>
        <c:axId val="236691456"/>
      </c:lineChart>
      <c:catAx>
        <c:axId val="23668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691456"/>
        <c:crosses val="autoZero"/>
        <c:auto val="1"/>
        <c:lblAlgn val="ctr"/>
        <c:lblOffset val="100"/>
        <c:noMultiLvlLbl val="0"/>
      </c:catAx>
      <c:valAx>
        <c:axId val="23669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68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1-43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'23'!$V$11:$V$13</c:f>
              <c:numCache>
                <c:formatCode>General</c:formatCode>
                <c:ptCount val="3"/>
                <c:pt idx="0">
                  <c:v>1</c:v>
                </c:pt>
                <c:pt idx="1">
                  <c:v>0.77544432757602222</c:v>
                </c:pt>
                <c:pt idx="2">
                  <c:v>0.55090602789313003</c:v>
                </c:pt>
              </c:numCache>
            </c:numRef>
          </c:cat>
          <c:val>
            <c:numRef>
              <c:f>'23'!$T$11:$T$13</c:f>
              <c:numCache>
                <c:formatCode>General</c:formatCode>
                <c:ptCount val="3"/>
                <c:pt idx="0">
                  <c:v>0.999926422706512</c:v>
                </c:pt>
                <c:pt idx="1">
                  <c:v>0.75392960831849176</c:v>
                </c:pt>
                <c:pt idx="2">
                  <c:v>0.498106665800924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'23'!$V$11:$V$13</c:f>
              <c:numCache>
                <c:formatCode>General</c:formatCode>
                <c:ptCount val="3"/>
                <c:pt idx="0">
                  <c:v>1</c:v>
                </c:pt>
                <c:pt idx="1">
                  <c:v>0.77544432757602222</c:v>
                </c:pt>
                <c:pt idx="2">
                  <c:v>0.55090602789313003</c:v>
                </c:pt>
              </c:numCache>
            </c:numRef>
          </c:cat>
          <c:val>
            <c:numRef>
              <c:f>'23'!$U$11:$U$13</c:f>
              <c:numCache>
                <c:formatCode>General</c:formatCode>
                <c:ptCount val="3"/>
                <c:pt idx="0">
                  <c:v>1.0181063117984579</c:v>
                </c:pt>
                <c:pt idx="1">
                  <c:v>0.7585594313777444</c:v>
                </c:pt>
                <c:pt idx="2">
                  <c:v>0.49963196873594851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39968"/>
        <c:axId val="236341504"/>
      </c:lineChart>
      <c:catAx>
        <c:axId val="23633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341504"/>
        <c:crosses val="autoZero"/>
        <c:auto val="1"/>
        <c:lblAlgn val="ctr"/>
        <c:lblOffset val="100"/>
        <c:noMultiLvlLbl val="0"/>
      </c:catAx>
      <c:valAx>
        <c:axId val="2363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33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41-43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'23'!$V$15:$V$17</c:f>
              <c:numCache>
                <c:formatCode>General</c:formatCode>
                <c:ptCount val="3"/>
                <c:pt idx="0">
                  <c:v>0.55090602789313003</c:v>
                </c:pt>
                <c:pt idx="1">
                  <c:v>0.58047293994857707</c:v>
                </c:pt>
                <c:pt idx="2">
                  <c:v>0.63515461623818759</c:v>
                </c:pt>
              </c:numCache>
            </c:numRef>
          </c:cat>
          <c:val>
            <c:numRef>
              <c:f>'23'!$T$15:$T$17</c:f>
              <c:numCache>
                <c:formatCode>General</c:formatCode>
                <c:ptCount val="3"/>
                <c:pt idx="0">
                  <c:v>-5.9617362606166735E-2</c:v>
                </c:pt>
                <c:pt idx="1">
                  <c:v>-0.17847391028854409</c:v>
                </c:pt>
                <c:pt idx="2">
                  <c:v>-0.30301139071956262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'23'!$V$15:$V$17</c:f>
              <c:numCache>
                <c:formatCode>General</c:formatCode>
                <c:ptCount val="3"/>
                <c:pt idx="0">
                  <c:v>0.55090602789313003</c:v>
                </c:pt>
                <c:pt idx="1">
                  <c:v>0.58047293994857707</c:v>
                </c:pt>
                <c:pt idx="2">
                  <c:v>0.63515461623818759</c:v>
                </c:pt>
              </c:numCache>
            </c:numRef>
          </c:cat>
          <c:val>
            <c:numRef>
              <c:f>'23'!$U$15:$U$17</c:f>
              <c:numCache>
                <c:formatCode>General</c:formatCode>
                <c:ptCount val="3"/>
                <c:pt idx="0">
                  <c:v>-5.3304499190993233E-2</c:v>
                </c:pt>
                <c:pt idx="1">
                  <c:v>-0.17634246896815087</c:v>
                </c:pt>
                <c:pt idx="2">
                  <c:v>-0.30081121581759374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50464"/>
        <c:axId val="236356352"/>
      </c:lineChart>
      <c:catAx>
        <c:axId val="2363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356352"/>
        <c:crosses val="autoZero"/>
        <c:auto val="1"/>
        <c:lblAlgn val="ctr"/>
        <c:lblOffset val="100"/>
        <c:noMultiLvlLbl val="0"/>
      </c:catAx>
      <c:valAx>
        <c:axId val="23635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35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'71'!$T$3:$T$5</c:f>
              <c:numCache>
                <c:formatCode>General</c:formatCode>
                <c:ptCount val="3"/>
                <c:pt idx="0">
                  <c:v>-1.6601419249685562E-15</c:v>
                </c:pt>
                <c:pt idx="1">
                  <c:v>0.12835683941244105</c:v>
                </c:pt>
                <c:pt idx="2">
                  <c:v>0.26565909185656922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'71'!$U$3:$U$5</c:f>
              <c:numCache>
                <c:formatCode>General</c:formatCode>
                <c:ptCount val="3"/>
                <c:pt idx="0">
                  <c:v>-3.1585395189800095E-2</c:v>
                </c:pt>
                <c:pt idx="1">
                  <c:v>0.11825476917641169</c:v>
                </c:pt>
                <c:pt idx="2">
                  <c:v>0.25771508096293905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67712"/>
        <c:axId val="236469248"/>
      </c:lineChart>
      <c:catAx>
        <c:axId val="23646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469248"/>
        <c:crosses val="autoZero"/>
        <c:auto val="1"/>
        <c:lblAlgn val="ctr"/>
        <c:lblOffset val="100"/>
        <c:noMultiLvlLbl val="0"/>
      </c:catAx>
      <c:valAx>
        <c:axId val="23646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46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0.18019377358048355</c:v>
                </c:pt>
                <c:pt idx="2">
                  <c:v>0.19999999999999915</c:v>
                </c:pt>
              </c:numCache>
            </c:numRef>
          </c:cat>
          <c:val>
            <c:numRef>
              <c:f>'71'!$T$11:$T$13</c:f>
              <c:numCache>
                <c:formatCode>General</c:formatCode>
                <c:ptCount val="3"/>
                <c:pt idx="0">
                  <c:v>-1.0662801031300814E-15</c:v>
                </c:pt>
                <c:pt idx="1">
                  <c:v>-1.3877787807814457E-17</c:v>
                </c:pt>
                <c:pt idx="2">
                  <c:v>7.6521277989335444E-16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0.18019377358048355</c:v>
                </c:pt>
                <c:pt idx="2">
                  <c:v>0.19999999999999915</c:v>
                </c:pt>
              </c:numCache>
            </c:numRef>
          </c:cat>
          <c:val>
            <c:numRef>
              <c:f>'71'!$U$11:$U$13</c:f>
              <c:numCache>
                <c:formatCode>General</c:formatCode>
                <c:ptCount val="3"/>
                <c:pt idx="0">
                  <c:v>5.915230055152032E-2</c:v>
                </c:pt>
                <c:pt idx="1">
                  <c:v>0</c:v>
                </c:pt>
                <c:pt idx="2">
                  <c:v>-6.0848427021198352E-2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11232"/>
        <c:axId val="236512768"/>
      </c:lineChart>
      <c:catAx>
        <c:axId val="2365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512768"/>
        <c:crosses val="autoZero"/>
        <c:auto val="1"/>
        <c:lblAlgn val="ctr"/>
        <c:lblOffset val="100"/>
        <c:noMultiLvlLbl val="0"/>
      </c:catAx>
      <c:valAx>
        <c:axId val="23651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51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18-20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'71'!$V$15:$V$17</c:f>
              <c:numCache>
                <c:formatCode>General</c:formatCode>
                <c:ptCount val="3"/>
                <c:pt idx="0">
                  <c:v>0.19999999999999915</c:v>
                </c:pt>
                <c:pt idx="1">
                  <c:v>0.2836407614488774</c:v>
                </c:pt>
                <c:pt idx="2">
                  <c:v>0.3814115121682578</c:v>
                </c:pt>
              </c:numCache>
            </c:numRef>
          </c:cat>
          <c:val>
            <c:numRef>
              <c:f>'71'!$T$15:$T$17</c:f>
              <c:numCache>
                <c:formatCode>General</c:formatCode>
                <c:ptCount val="3"/>
                <c:pt idx="0">
                  <c:v>1.1204527513904768E-15</c:v>
                </c:pt>
                <c:pt idx="1">
                  <c:v>-0.12460289754857963</c:v>
                </c:pt>
                <c:pt idx="2">
                  <c:v>-0.26338504195496215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'71'!$V$15:$V$17</c:f>
              <c:numCache>
                <c:formatCode>General</c:formatCode>
                <c:ptCount val="3"/>
                <c:pt idx="0">
                  <c:v>0.19999999999999915</c:v>
                </c:pt>
                <c:pt idx="1">
                  <c:v>0.2836407614488774</c:v>
                </c:pt>
                <c:pt idx="2">
                  <c:v>0.3814115121682578</c:v>
                </c:pt>
              </c:numCache>
            </c:numRef>
          </c:cat>
          <c:val>
            <c:numRef>
              <c:f>'71'!$U$15:$U$17</c:f>
              <c:numCache>
                <c:formatCode>General</c:formatCode>
                <c:ptCount val="3"/>
                <c:pt idx="0">
                  <c:v>3.52520259167943E-2</c:v>
                </c:pt>
                <c:pt idx="1">
                  <c:v>-0.11468517186918706</c:v>
                </c:pt>
                <c:pt idx="2">
                  <c:v>-0.25427173835136452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96864"/>
        <c:axId val="237002752"/>
      </c:lineChart>
      <c:catAx>
        <c:axId val="23699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002752"/>
        <c:crosses val="autoZero"/>
        <c:auto val="1"/>
        <c:lblAlgn val="ctr"/>
        <c:lblOffset val="100"/>
        <c:noMultiLvlLbl val="0"/>
      </c:catAx>
      <c:valAx>
        <c:axId val="2370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99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topLeftCell="A52" zoomScaleNormal="100" workbookViewId="0">
      <pane xSplit="1" topLeftCell="E1" activePane="topRight" state="frozen"/>
      <selection pane="topRight" activeCell="J35" sqref="J35"/>
    </sheetView>
  </sheetViews>
  <sheetFormatPr defaultRowHeight="15.75" x14ac:dyDescent="0.25"/>
  <cols>
    <col min="1" max="1" width="8" style="1" customWidth="1"/>
    <col min="2" max="2" width="8.25" style="1" customWidth="1"/>
    <col min="3" max="3" width="12.125" style="39" bestFit="1" customWidth="1"/>
    <col min="4" max="4" width="12.375" style="39" bestFit="1" customWidth="1"/>
    <col min="5" max="5" width="11.375" style="1" customWidth="1"/>
    <col min="6" max="6" width="11.875" style="1" customWidth="1"/>
    <col min="7" max="7" width="12.375" style="1" bestFit="1" customWidth="1"/>
    <col min="8" max="8" width="8.5" style="1" customWidth="1"/>
    <col min="9" max="9" width="12.25" style="1" bestFit="1" customWidth="1"/>
    <col min="10" max="10" width="12.125" style="1" bestFit="1" customWidth="1"/>
    <col min="11" max="11" width="9.75" style="1" customWidth="1"/>
    <col min="12" max="12" width="7.75" style="1" customWidth="1"/>
    <col min="13" max="14" width="12.375" style="1" bestFit="1" customWidth="1"/>
    <col min="15" max="15" width="14.125" style="1" customWidth="1"/>
    <col min="16" max="16" width="12.375" style="1" bestFit="1" customWidth="1"/>
    <col min="17" max="17" width="12.25" style="1" bestFit="1" customWidth="1"/>
    <col min="18" max="18" width="10.375" style="1" customWidth="1"/>
    <col min="19" max="19" width="12" style="1" customWidth="1"/>
    <col min="20" max="20" width="10" style="1" customWidth="1"/>
    <col min="21" max="21" width="12.25" style="1" bestFit="1" customWidth="1"/>
    <col min="22" max="22" width="12.75" style="1" bestFit="1" customWidth="1"/>
    <col min="23" max="23" width="12" style="1" bestFit="1" customWidth="1"/>
    <col min="24" max="16384" width="9" style="1"/>
  </cols>
  <sheetData>
    <row r="1" spans="1:20" ht="32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8</v>
      </c>
      <c r="I1" s="10" t="s">
        <v>5</v>
      </c>
      <c r="J1" s="10" t="s">
        <v>9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27" t="s">
        <v>12</v>
      </c>
      <c r="R1" s="10" t="s">
        <v>4</v>
      </c>
      <c r="S1" s="27" t="s">
        <v>13</v>
      </c>
      <c r="T1" s="10" t="s">
        <v>51</v>
      </c>
    </row>
    <row r="2" spans="1:20" x14ac:dyDescent="0.25">
      <c r="A2" s="194">
        <v>22</v>
      </c>
      <c r="B2" s="6">
        <v>0</v>
      </c>
      <c r="C2" s="5">
        <v>0.39008509039914102</v>
      </c>
      <c r="D2" s="5">
        <v>0.24205055766328401</v>
      </c>
      <c r="E2" s="5">
        <f t="shared" ref="E2:E17" si="0">SQRT(D2*D2+C2*C2)</f>
        <v>0.45908043981072943</v>
      </c>
      <c r="F2" s="5">
        <f t="shared" ref="F2:F17" si="1">1/0.96*(E2-0.04/E2)</f>
        <v>0.38744764581092966</v>
      </c>
      <c r="G2" s="88">
        <f t="shared" ref="G2:G17" si="2">-F2*D2/E2</f>
        <v>-0.20428210527228444</v>
      </c>
      <c r="H2" s="5">
        <v>-0.20428210527228499</v>
      </c>
      <c r="I2" s="88">
        <f t="shared" ref="I2:I25" si="3">F2*C2/E2</f>
        <v>0.32921801243242288</v>
      </c>
      <c r="J2" s="5">
        <v>0.32921801243242399</v>
      </c>
      <c r="K2" s="4">
        <f t="shared" ref="K2:K25" si="4">ABS((G2-H2)/G2)*100</f>
        <v>2.717377087790821E-13</v>
      </c>
      <c r="L2" s="7">
        <f t="shared" ref="L2:L25" si="5">ABS((I2-J2)/I2)*100</f>
        <v>3.3723034059475925E-13</v>
      </c>
      <c r="M2" s="197">
        <f>-1/12*C2*D2/(D2*D2+C2*C2)^2</f>
        <v>-0.17714505627851754</v>
      </c>
      <c r="N2" s="199">
        <f>-1/0.96*(1-0.04*(C2*C2-D2*D2)/(C2*C2+D2*D2)^2)</f>
        <v>-0.95388437356372024</v>
      </c>
      <c r="O2" s="199">
        <f>1/0.96*(1-0.04*(D2*D2-C2*C2)/(C2*C2+D2*D2)^2)</f>
        <v>1.1294489597696131</v>
      </c>
      <c r="P2" s="213">
        <f>1/12*C2*D2/(C2*C2+D2*D2)^2</f>
        <v>0.17714505627851754</v>
      </c>
      <c r="Q2" s="28" t="s">
        <v>14</v>
      </c>
      <c r="R2" s="202">
        <v>3.3595399356690099E-2</v>
      </c>
      <c r="S2" s="202"/>
      <c r="T2" s="89">
        <f>1/R2*(T3+T4+T5)</f>
        <v>-0.19877589823901198</v>
      </c>
    </row>
    <row r="3" spans="1:20" x14ac:dyDescent="0.25">
      <c r="A3" s="195"/>
      <c r="B3" s="2">
        <v>1</v>
      </c>
      <c r="C3" s="30">
        <v>0.455713651858564</v>
      </c>
      <c r="D3" s="30">
        <v>0.186443664387938</v>
      </c>
      <c r="E3" s="30">
        <f t="shared" si="0"/>
        <v>0.49237807879785889</v>
      </c>
      <c r="F3" s="30">
        <f t="shared" si="1"/>
        <v>0.42827051422666923</v>
      </c>
      <c r="G3" s="90">
        <f t="shared" si="2"/>
        <v>-0.16216872249202571</v>
      </c>
      <c r="H3" s="30">
        <v>-0.16550532334783899</v>
      </c>
      <c r="I3" s="90">
        <f t="shared" si="3"/>
        <v>0.396379791111101</v>
      </c>
      <c r="J3" s="30">
        <v>0.39925560492984302</v>
      </c>
      <c r="K3" s="16">
        <f t="shared" si="4"/>
        <v>2.057487291347039</v>
      </c>
      <c r="L3" s="8">
        <f t="shared" si="5"/>
        <v>0.72551978764627878</v>
      </c>
      <c r="M3" s="198"/>
      <c r="N3" s="200"/>
      <c r="O3" s="200"/>
      <c r="P3" s="214"/>
      <c r="Q3" s="32">
        <v>0.45244023302814301</v>
      </c>
      <c r="R3" s="30">
        <f>G3</f>
        <v>-0.16216872249202571</v>
      </c>
      <c r="S3" s="30">
        <v>0.28699348393929802</v>
      </c>
      <c r="T3" s="30">
        <f>PRODUCT(S3,R3,Q3)</f>
        <v>-2.1057186774371184E-2</v>
      </c>
    </row>
    <row r="4" spans="1:20" x14ac:dyDescent="0.25">
      <c r="A4" s="195"/>
      <c r="B4" s="2">
        <v>2</v>
      </c>
      <c r="C4" s="30">
        <v>0.43767799115533501</v>
      </c>
      <c r="D4" s="30">
        <v>0.30855667592349001</v>
      </c>
      <c r="E4" s="30">
        <f t="shared" si="0"/>
        <v>0.53550839974618802</v>
      </c>
      <c r="F4" s="30">
        <f t="shared" si="1"/>
        <v>0.48001356887306179</v>
      </c>
      <c r="G4" s="90">
        <f t="shared" si="2"/>
        <v>-0.27658089262435981</v>
      </c>
      <c r="H4" s="30">
        <v>-0.28036301903320698</v>
      </c>
      <c r="I4" s="90">
        <f t="shared" si="3"/>
        <v>0.39232134295417326</v>
      </c>
      <c r="J4" s="30">
        <v>0.39236696611986099</v>
      </c>
      <c r="K4" s="16">
        <f t="shared" si="4"/>
        <v>1.36745759005988</v>
      </c>
      <c r="L4" s="8">
        <f t="shared" si="5"/>
        <v>1.1629029749998882E-2</v>
      </c>
      <c r="M4" s="198">
        <v>-0.35902692542820103</v>
      </c>
      <c r="N4" s="190">
        <v>-1.0914897024077701</v>
      </c>
      <c r="O4" s="190">
        <v>1.0420345935290301</v>
      </c>
      <c r="P4" s="215">
        <v>0.114810566882702</v>
      </c>
      <c r="Q4" s="32">
        <v>0.36471348133482001</v>
      </c>
      <c r="R4" s="30">
        <f>G4</f>
        <v>-0.27658089262435981</v>
      </c>
      <c r="S4" s="30">
        <v>0.313612274219842</v>
      </c>
      <c r="T4" s="30">
        <f>PRODUCT(S4,R4,Q4)</f>
        <v>-3.1634942011585405E-2</v>
      </c>
    </row>
    <row r="5" spans="1:20" ht="16.5" thickBot="1" x14ac:dyDescent="0.3">
      <c r="A5" s="196"/>
      <c r="B5" s="14">
        <v>3</v>
      </c>
      <c r="C5" s="34">
        <v>0.30970835329033097</v>
      </c>
      <c r="D5" s="34">
        <v>0.24363297654796201</v>
      </c>
      <c r="E5" s="34">
        <f t="shared" si="0"/>
        <v>0.39405112784945595</v>
      </c>
      <c r="F5" s="34">
        <f t="shared" si="1"/>
        <v>0.30473068513065271</v>
      </c>
      <c r="G5" s="91">
        <f t="shared" si="2"/>
        <v>-0.18840814964560751</v>
      </c>
      <c r="H5" s="34">
        <v>-0.186890036839577</v>
      </c>
      <c r="I5" s="91">
        <f t="shared" si="3"/>
        <v>0.23950607425974685</v>
      </c>
      <c r="J5" s="34">
        <v>0.23574607559333499</v>
      </c>
      <c r="K5" s="17">
        <f t="shared" si="4"/>
        <v>0.80575750512175415</v>
      </c>
      <c r="L5" s="12">
        <f t="shared" si="5"/>
        <v>1.5698969965722449</v>
      </c>
      <c r="M5" s="211"/>
      <c r="N5" s="217"/>
      <c r="O5" s="217"/>
      <c r="P5" s="216"/>
      <c r="Q5" s="33">
        <v>-0.98926814124435303</v>
      </c>
      <c r="R5" s="31">
        <f>G5</f>
        <v>-0.18840814964560751</v>
      </c>
      <c r="S5" s="31">
        <v>0.24687545559074001</v>
      </c>
      <c r="T5" s="31">
        <f>PRODUCT(S5,R5,Q5)</f>
        <v>4.601417310213219E-2</v>
      </c>
    </row>
    <row r="6" spans="1:20" x14ac:dyDescent="0.25">
      <c r="A6" s="207">
        <v>24</v>
      </c>
      <c r="B6" s="4">
        <v>0</v>
      </c>
      <c r="C6" s="5">
        <v>-0.255332276066292</v>
      </c>
      <c r="D6" s="5">
        <v>0.38315658724893098</v>
      </c>
      <c r="E6" s="5">
        <f t="shared" si="0"/>
        <v>0.46043842319406925</v>
      </c>
      <c r="F6" s="5">
        <f t="shared" si="1"/>
        <v>0.38912989611493831</v>
      </c>
      <c r="G6" s="88">
        <f t="shared" si="2"/>
        <v>-0.32381677002027243</v>
      </c>
      <c r="H6" s="5">
        <v>-0.32381677002027298</v>
      </c>
      <c r="I6" s="88">
        <f t="shared" si="3"/>
        <v>-0.21578872886242378</v>
      </c>
      <c r="J6" s="5">
        <v>-0.21578872886242401</v>
      </c>
      <c r="K6" s="18">
        <f t="shared" si="4"/>
        <v>1.7142766024064342E-13</v>
      </c>
      <c r="L6" s="13">
        <f t="shared" si="5"/>
        <v>1.0289907452330189E-13</v>
      </c>
      <c r="M6" s="205">
        <f>-1/12*C6*D6/(D6*D6+C6*C6)^2</f>
        <v>0.18139049879196079</v>
      </c>
      <c r="N6" s="199">
        <f>-1/0.96*(1-0.04*(C6*C6-D6*D6)/(C6*C6+D6*D6)^2)</f>
        <v>-1.1173271853216982</v>
      </c>
      <c r="O6" s="199">
        <f>1/0.96*(1-0.04*(D6*D6-C6*C6)/(C6*C6+D6*D6)^2)</f>
        <v>0.9660061480116352</v>
      </c>
      <c r="P6" s="218">
        <f>1/12*C6*D6/(C6*C6+D6*D6)^2</f>
        <v>-0.18139049879196079</v>
      </c>
      <c r="Q6" s="28" t="s">
        <v>14</v>
      </c>
      <c r="R6" s="202">
        <v>2.6627499572263999E-2</v>
      </c>
      <c r="S6" s="202"/>
      <c r="T6" s="89">
        <f>1/R6*(T7+T8+T9)</f>
        <v>0.18808304853988989</v>
      </c>
    </row>
    <row r="7" spans="1:20" x14ac:dyDescent="0.25">
      <c r="A7" s="208"/>
      <c r="B7" s="32">
        <v>1</v>
      </c>
      <c r="C7" s="30">
        <v>-0.17744148364248699</v>
      </c>
      <c r="D7" s="30">
        <v>0.36711642110216602</v>
      </c>
      <c r="E7" s="30">
        <f t="shared" si="0"/>
        <v>0.40774985807491076</v>
      </c>
      <c r="F7" s="30">
        <f t="shared" si="1"/>
        <v>0.32255260246087392</v>
      </c>
      <c r="G7" s="90">
        <f t="shared" si="2"/>
        <v>-0.2904093151416155</v>
      </c>
      <c r="H7" s="30">
        <v>-0.28593827105208802</v>
      </c>
      <c r="I7" s="90">
        <f t="shared" si="3"/>
        <v>-0.14036598958886173</v>
      </c>
      <c r="J7" s="30">
        <v>-0.138355555756211</v>
      </c>
      <c r="K7" s="16">
        <f t="shared" si="4"/>
        <v>1.5395663487402982</v>
      </c>
      <c r="L7" s="92">
        <f t="shared" si="5"/>
        <v>1.432279883851767</v>
      </c>
      <c r="M7" s="206"/>
      <c r="N7" s="200"/>
      <c r="O7" s="200"/>
      <c r="P7" s="219"/>
      <c r="Q7" s="32">
        <v>0.72378501135020201</v>
      </c>
      <c r="R7" s="30">
        <f>G7</f>
        <v>-0.2904093151416155</v>
      </c>
      <c r="S7" s="30">
        <v>0.219005719240911</v>
      </c>
      <c r="T7" s="30">
        <f>PRODUCT(S7,R7,Q7)</f>
        <v>-4.6033668320465508E-2</v>
      </c>
    </row>
    <row r="8" spans="1:20" x14ac:dyDescent="0.25">
      <c r="A8" s="208"/>
      <c r="B8" s="32">
        <v>2</v>
      </c>
      <c r="C8" s="30">
        <v>-0.26553950968668799</v>
      </c>
      <c r="D8" s="30">
        <v>0.45090976790111398</v>
      </c>
      <c r="E8" s="30">
        <f t="shared" si="0"/>
        <v>0.52328849594968463</v>
      </c>
      <c r="F8" s="30">
        <f t="shared" si="1"/>
        <v>0.46546752692181631</v>
      </c>
      <c r="G8" s="90">
        <f t="shared" si="2"/>
        <v>-0.40108631501427566</v>
      </c>
      <c r="H8" s="30">
        <v>-0.40429607018823599</v>
      </c>
      <c r="I8" s="90">
        <f t="shared" si="3"/>
        <v>-0.23619861669150619</v>
      </c>
      <c r="J8" s="30">
        <v>-0.23428750338468299</v>
      </c>
      <c r="K8" s="16">
        <f t="shared" si="4"/>
        <v>0.80026544257589138</v>
      </c>
      <c r="L8" s="15">
        <f t="shared" si="5"/>
        <v>0.80911282783643934</v>
      </c>
      <c r="M8" s="203">
        <v>0.107045965641376</v>
      </c>
      <c r="N8" s="190">
        <v>-1.4426364972369801</v>
      </c>
      <c r="O8" s="190">
        <v>0.67080947092479504</v>
      </c>
      <c r="P8" s="192">
        <v>3.5326281585875897E-2</v>
      </c>
      <c r="Q8" s="32">
        <v>2.77107243544862E-2</v>
      </c>
      <c r="R8" s="30">
        <f>G8</f>
        <v>-0.40108631501427566</v>
      </c>
      <c r="S8" s="30">
        <v>0.32744133625959299</v>
      </c>
      <c r="T8" s="30">
        <f>PRODUCT(S8,R8,Q8)</f>
        <v>-3.6393114722266793E-3</v>
      </c>
    </row>
    <row r="9" spans="1:20" ht="16.5" thickBot="1" x14ac:dyDescent="0.3">
      <c r="A9" s="209"/>
      <c r="B9" s="33">
        <v>3</v>
      </c>
      <c r="C9" s="31">
        <v>-0.34109928043973198</v>
      </c>
      <c r="D9" s="31">
        <v>0.37165323940784301</v>
      </c>
      <c r="E9" s="31">
        <f t="shared" si="0"/>
        <v>0.50445500243217567</v>
      </c>
      <c r="F9" s="31">
        <f t="shared" si="1"/>
        <v>0.44287657068184744</v>
      </c>
      <c r="G9" s="93">
        <f t="shared" si="2"/>
        <v>-0.32628581609491575</v>
      </c>
      <c r="H9" s="31">
        <v>-0.33197781017418099</v>
      </c>
      <c r="I9" s="93">
        <f t="shared" si="3"/>
        <v>-0.29946155525240337</v>
      </c>
      <c r="J9" s="31">
        <v>-0.29734169037084901</v>
      </c>
      <c r="K9" s="16">
        <f t="shared" si="4"/>
        <v>1.7444810036147733</v>
      </c>
      <c r="L9" s="92">
        <f t="shared" si="5"/>
        <v>0.70789216324199367</v>
      </c>
      <c r="M9" s="221"/>
      <c r="N9" s="217"/>
      <c r="O9" s="217"/>
      <c r="P9" s="220"/>
      <c r="Q9" s="33">
        <v>-0.68918261371289802</v>
      </c>
      <c r="R9" s="31">
        <f>G9</f>
        <v>-0.32628581609491575</v>
      </c>
      <c r="S9" s="31">
        <v>0.24316732642897201</v>
      </c>
      <c r="T9" s="31">
        <f>PRODUCT(S9,R9,Q9)</f>
        <v>5.4681161087238216E-2</v>
      </c>
    </row>
    <row r="10" spans="1:20" x14ac:dyDescent="0.25">
      <c r="A10" s="194">
        <v>26</v>
      </c>
      <c r="B10" s="6">
        <v>0</v>
      </c>
      <c r="C10" s="5">
        <v>-0.252117006049625</v>
      </c>
      <c r="D10" s="5">
        <v>-0.38144217538499098</v>
      </c>
      <c r="E10" s="5">
        <f t="shared" si="0"/>
        <v>0.45723201758173154</v>
      </c>
      <c r="F10" s="5">
        <f t="shared" si="1"/>
        <v>0.38515529179076441</v>
      </c>
      <c r="G10" s="88">
        <f t="shared" si="2"/>
        <v>0.32131273994925069</v>
      </c>
      <c r="H10" s="5">
        <v>0.32131273994925003</v>
      </c>
      <c r="I10" s="88">
        <f t="shared" si="3"/>
        <v>-0.21237401427842831</v>
      </c>
      <c r="J10" s="5">
        <v>-0.212374014278428</v>
      </c>
      <c r="K10" s="4">
        <f t="shared" si="4"/>
        <v>2.0731634073404794E-13</v>
      </c>
      <c r="L10" s="7">
        <f t="shared" si="5"/>
        <v>1.4376115308139643E-13</v>
      </c>
      <c r="M10" s="205">
        <f>-1/12*C10*D10/(D10*D10+C10*C10)^2</f>
        <v>-0.18335935345765342</v>
      </c>
      <c r="N10" s="199">
        <f>-1/0.96*(1-0.04*(C10*C10-D10*D10)/(C10*C10+D10*D10)^2)</f>
        <v>-1.119777714966725</v>
      </c>
      <c r="O10" s="199">
        <f>1/0.96*(1-0.04*(D10*D10-C10*C10)/(C10*C10+D10*D10)^2)</f>
        <v>0.96355561836660841</v>
      </c>
      <c r="P10" s="201">
        <f>1/12*C10*D10/(C10*C10+D10*D10)^2</f>
        <v>0.18335935345765342</v>
      </c>
      <c r="Q10" s="28" t="s">
        <v>14</v>
      </c>
      <c r="R10" s="202">
        <v>2.6392541544123901E-2</v>
      </c>
      <c r="S10" s="202"/>
      <c r="T10" s="89">
        <f>1/R10*(T11+T12+T13)</f>
        <v>-0.1911334874233169</v>
      </c>
    </row>
    <row r="11" spans="1:20" x14ac:dyDescent="0.25">
      <c r="A11" s="195"/>
      <c r="B11" s="2">
        <v>1</v>
      </c>
      <c r="C11" s="30">
        <v>-0.262365946593558</v>
      </c>
      <c r="D11" s="30">
        <v>-0.44920391905367901</v>
      </c>
      <c r="E11" s="30">
        <f t="shared" si="0"/>
        <v>0.52021154430204442</v>
      </c>
      <c r="F11" s="30">
        <f t="shared" si="1"/>
        <v>0.46179140436379157</v>
      </c>
      <c r="G11" s="90">
        <f t="shared" si="2"/>
        <v>0.39875798777943838</v>
      </c>
      <c r="H11" s="30">
        <v>0.40186578611193902</v>
      </c>
      <c r="I11" s="90">
        <f t="shared" si="3"/>
        <v>-0.23290205736827693</v>
      </c>
      <c r="J11" s="30">
        <v>-0.23107652078715901</v>
      </c>
      <c r="K11" s="16">
        <f t="shared" si="4"/>
        <v>0.77936954938683844</v>
      </c>
      <c r="L11" s="8">
        <f t="shared" si="5"/>
        <v>0.7838215779396428</v>
      </c>
      <c r="M11" s="206"/>
      <c r="N11" s="200"/>
      <c r="O11" s="200"/>
      <c r="P11" s="192"/>
      <c r="Q11" s="32">
        <v>1.7637427872387802E-2</v>
      </c>
      <c r="R11" s="30">
        <f>G11</f>
        <v>0.39875798777943838</v>
      </c>
      <c r="S11" s="30">
        <v>0.32101840231158801</v>
      </c>
      <c r="T11" s="30">
        <f>PRODUCT(S11,R11,Q11)</f>
        <v>2.2577433692655799E-3</v>
      </c>
    </row>
    <row r="12" spans="1:20" x14ac:dyDescent="0.25">
      <c r="A12" s="195"/>
      <c r="B12" s="2">
        <v>2</v>
      </c>
      <c r="C12" s="30">
        <v>-0.17537398139614799</v>
      </c>
      <c r="D12" s="30">
        <v>-0.365441532815589</v>
      </c>
      <c r="E12" s="30">
        <f t="shared" si="0"/>
        <v>0.4053437396301362</v>
      </c>
      <c r="F12" s="30">
        <f t="shared" si="1"/>
        <v>0.31943964854261425</v>
      </c>
      <c r="G12" s="90">
        <f t="shared" si="2"/>
        <v>0.28799387628881229</v>
      </c>
      <c r="H12" s="30">
        <v>0.28308455922142101</v>
      </c>
      <c r="I12" s="90">
        <f t="shared" si="3"/>
        <v>-0.13820714989165073</v>
      </c>
      <c r="J12" s="30">
        <v>-0.136504549745007</v>
      </c>
      <c r="K12" s="16">
        <f t="shared" si="4"/>
        <v>1.7046602277292922</v>
      </c>
      <c r="L12" s="92">
        <f t="shared" si="5"/>
        <v>1.2319190056219949</v>
      </c>
      <c r="M12" s="203">
        <v>-0.104824971018492</v>
      </c>
      <c r="N12" s="190">
        <v>-1.46024818061613</v>
      </c>
      <c r="O12" s="190">
        <v>0.652876492651698</v>
      </c>
      <c r="P12" s="192">
        <v>-6.3455090952697002E-3</v>
      </c>
      <c r="Q12" s="32">
        <v>0.74031215349915203</v>
      </c>
      <c r="R12" s="30">
        <f>G12</f>
        <v>0.28799387628881229</v>
      </c>
      <c r="S12" s="30">
        <v>0.218641329599466</v>
      </c>
      <c r="T12" s="30">
        <f>PRODUCT(S12,R12,Q12)</f>
        <v>4.661550486394845E-2</v>
      </c>
    </row>
    <row r="13" spans="1:20" ht="16.5" thickBot="1" x14ac:dyDescent="0.3">
      <c r="A13" s="196"/>
      <c r="B13" s="3">
        <v>3</v>
      </c>
      <c r="C13" s="31">
        <v>-0.33585821510026498</v>
      </c>
      <c r="D13" s="31">
        <v>-0.36827250227382902</v>
      </c>
      <c r="E13" s="31">
        <f t="shared" si="0"/>
        <v>0.49842288930321332</v>
      </c>
      <c r="F13" s="31">
        <f t="shared" si="1"/>
        <v>0.43559349285858268</v>
      </c>
      <c r="G13" s="93">
        <f t="shared" si="2"/>
        <v>0.32184939542701957</v>
      </c>
      <c r="H13" s="31">
        <v>0.32781286929982201</v>
      </c>
      <c r="I13" s="93">
        <f t="shared" si="3"/>
        <v>-0.29352113669036189</v>
      </c>
      <c r="J13" s="31">
        <v>-0.291161979583967</v>
      </c>
      <c r="K13" s="19">
        <f t="shared" si="4"/>
        <v>1.8528771399089599</v>
      </c>
      <c r="L13" s="94">
        <f t="shared" si="5"/>
        <v>0.80374351673473854</v>
      </c>
      <c r="M13" s="204"/>
      <c r="N13" s="191"/>
      <c r="O13" s="191"/>
      <c r="P13" s="193"/>
      <c r="Q13" s="33">
        <v>-0.69360879939984899</v>
      </c>
      <c r="R13" s="31">
        <f>G13</f>
        <v>0.32184939542701957</v>
      </c>
      <c r="S13" s="31">
        <v>0.24152630794351401</v>
      </c>
      <c r="T13" s="31">
        <f>PRODUCT(S13,R13,Q13)</f>
        <v>-5.3917746740507207E-2</v>
      </c>
    </row>
    <row r="14" spans="1:20" x14ac:dyDescent="0.25">
      <c r="A14" s="194">
        <v>28</v>
      </c>
      <c r="B14" s="6">
        <v>0</v>
      </c>
      <c r="C14" s="5">
        <v>4.4705238141269803E-2</v>
      </c>
      <c r="D14" s="5">
        <v>-0.46107454876618398</v>
      </c>
      <c r="E14" s="5">
        <f t="shared" si="0"/>
        <v>0.46323676218237236</v>
      </c>
      <c r="F14" s="5">
        <f t="shared" si="1"/>
        <v>0.39259148904830149</v>
      </c>
      <c r="G14" s="88">
        <f t="shared" si="2"/>
        <v>0.39075902095854437</v>
      </c>
      <c r="H14" s="5">
        <v>0.39075902095854398</v>
      </c>
      <c r="I14" s="88">
        <f t="shared" si="3"/>
        <v>3.788752845835322E-2</v>
      </c>
      <c r="J14" s="5">
        <v>3.7887528458353199E-2</v>
      </c>
      <c r="K14" s="4">
        <f t="shared" si="4"/>
        <v>9.9441865133557347E-14</v>
      </c>
      <c r="L14" s="7">
        <f t="shared" si="5"/>
        <v>5.4943361466831562E-14</v>
      </c>
      <c r="M14" s="197">
        <f>-1/12*C14*D14/(D14*D14+C14*C14)^2</f>
        <v>3.7302354651390701E-2</v>
      </c>
      <c r="N14" s="199">
        <f>-1/0.96*(1-0.04*(C14*C14-D14*D14)/(C14*C14+D14*D14)^2)</f>
        <v>-1.2322201399103134</v>
      </c>
      <c r="O14" s="199">
        <f>1/0.96*(1-0.04*(D14*D14-C14*C14)/(C14*C14+D14*D14)^2)</f>
        <v>0.85111319342302016</v>
      </c>
      <c r="P14" s="201">
        <f>1/12*C14*D14/(C14*C14+D14*D14)^2</f>
        <v>-3.7302354651390701E-2</v>
      </c>
      <c r="Q14" s="28" t="s">
        <v>14</v>
      </c>
      <c r="R14" s="202">
        <v>2.55995896546895E-2</v>
      </c>
      <c r="S14" s="202"/>
      <c r="T14" s="89">
        <f>1/R14*(T15+T16+T17)</f>
        <v>5.6805923474184228E-2</v>
      </c>
    </row>
    <row r="15" spans="1:20" x14ac:dyDescent="0.25">
      <c r="A15" s="195"/>
      <c r="B15" s="2">
        <v>1</v>
      </c>
      <c r="C15" s="30">
        <v>-5.4119146290735297E-3</v>
      </c>
      <c r="D15" s="30">
        <v>-0.40837772961491298</v>
      </c>
      <c r="E15" s="30">
        <f t="shared" si="0"/>
        <v>0.40841358800287647</v>
      </c>
      <c r="F15" s="30">
        <f t="shared" si="1"/>
        <v>0.32341005587986787</v>
      </c>
      <c r="G15" s="90">
        <f t="shared" si="2"/>
        <v>0.32338166073436908</v>
      </c>
      <c r="H15" s="30">
        <v>0.31893926279184398</v>
      </c>
      <c r="I15" s="90">
        <f t="shared" si="3"/>
        <v>-4.2855273771973948E-3</v>
      </c>
      <c r="J15" s="20">
        <v>-3.63236938842088E-3</v>
      </c>
      <c r="K15" s="16">
        <f t="shared" si="4"/>
        <v>1.3737321814838963</v>
      </c>
      <c r="L15" s="8">
        <f t="shared" si="5"/>
        <v>15.241017762524722</v>
      </c>
      <c r="M15" s="198"/>
      <c r="N15" s="200"/>
      <c r="O15" s="200"/>
      <c r="P15" s="192"/>
      <c r="Q15" s="32">
        <v>-0.36645744143242598</v>
      </c>
      <c r="R15" s="30">
        <f>G15</f>
        <v>0.32338166073436908</v>
      </c>
      <c r="S15" s="30">
        <v>0.20736497985691299</v>
      </c>
      <c r="T15" s="30">
        <f>PRODUCT(S15,R15,Q15)</f>
        <v>-2.4573914674540003E-2</v>
      </c>
    </row>
    <row r="16" spans="1:20" x14ac:dyDescent="0.25">
      <c r="A16" s="195"/>
      <c r="B16" s="2">
        <v>2</v>
      </c>
      <c r="C16" s="30">
        <v>2.54441154194847E-2</v>
      </c>
      <c r="D16" s="30">
        <v>-0.52890678002862102</v>
      </c>
      <c r="E16" s="30">
        <f t="shared" si="0"/>
        <v>0.52951844629788314</v>
      </c>
      <c r="F16" s="30">
        <f t="shared" si="1"/>
        <v>0.47289386755237273</v>
      </c>
      <c r="G16" s="90">
        <f t="shared" si="2"/>
        <v>0.47234761042054846</v>
      </c>
      <c r="H16" s="30">
        <v>0.47520993550296098</v>
      </c>
      <c r="I16" s="90">
        <f t="shared" si="3"/>
        <v>2.2723223773020773E-2</v>
      </c>
      <c r="J16" s="20">
        <v>1.9838864017312899E-2</v>
      </c>
      <c r="K16" s="16">
        <f t="shared" si="4"/>
        <v>0.60597852498165217</v>
      </c>
      <c r="L16" s="92">
        <f t="shared" si="5"/>
        <v>12.693444312828831</v>
      </c>
      <c r="M16" s="198">
        <v>-0.25599602913307401</v>
      </c>
      <c r="N16" s="190">
        <v>-1.2419024142499</v>
      </c>
      <c r="O16" s="190">
        <v>0.85538374952637497</v>
      </c>
      <c r="P16" s="192">
        <v>0.347942132695155</v>
      </c>
      <c r="Q16" s="32">
        <v>-0.54393179416080495</v>
      </c>
      <c r="R16" s="30">
        <f>G16</f>
        <v>0.47234761042054846</v>
      </c>
      <c r="S16" s="30">
        <v>0.303471248855817</v>
      </c>
      <c r="T16" s="30">
        <f>PRODUCT(S16,R16,Q16)</f>
        <v>-7.7969315167936828E-2</v>
      </c>
    </row>
    <row r="17" spans="1:20" ht="16.5" thickBot="1" x14ac:dyDescent="0.3">
      <c r="A17" s="210"/>
      <c r="B17" s="14">
        <v>3</v>
      </c>
      <c r="C17" s="34">
        <v>0.12191391367985201</v>
      </c>
      <c r="D17" s="34">
        <v>-0.490911560048095</v>
      </c>
      <c r="E17" s="34">
        <f t="shared" si="0"/>
        <v>0.50582325187519084</v>
      </c>
      <c r="F17" s="34">
        <f t="shared" si="1"/>
        <v>0.44452525605816412</v>
      </c>
      <c r="G17" s="91">
        <f t="shared" si="2"/>
        <v>0.43142063185766216</v>
      </c>
      <c r="H17" s="34">
        <v>0.43608484228384597</v>
      </c>
      <c r="I17" s="91">
        <f t="shared" si="3"/>
        <v>0.10713982304032389</v>
      </c>
      <c r="J17" s="34">
        <v>0.103070837863121</v>
      </c>
      <c r="K17" s="17">
        <f t="shared" si="4"/>
        <v>1.0811282729108485</v>
      </c>
      <c r="L17" s="95">
        <f t="shared" si="5"/>
        <v>3.7978270466915527</v>
      </c>
      <c r="M17" s="212"/>
      <c r="N17" s="191"/>
      <c r="O17" s="191"/>
      <c r="P17" s="193"/>
      <c r="Q17" s="33">
        <v>0.96875826977258095</v>
      </c>
      <c r="R17" s="31">
        <f>G17</f>
        <v>0.43142063185766216</v>
      </c>
      <c r="S17" s="31">
        <v>0.24883204443148099</v>
      </c>
      <c r="T17" s="31">
        <f>PRODUCT(S17,R17,Q17)</f>
        <v>0.10399743817337163</v>
      </c>
    </row>
    <row r="18" spans="1:20" x14ac:dyDescent="0.25">
      <c r="A18" s="194">
        <v>54</v>
      </c>
      <c r="B18" s="6">
        <v>0</v>
      </c>
      <c r="C18" s="5">
        <v>-1.2132952332388E-2</v>
      </c>
      <c r="D18" s="5">
        <v>-0.34195638972249698</v>
      </c>
      <c r="E18" s="5">
        <f t="shared" ref="E18:E60" si="6">SQRT(D18*D18+C18*C18)</f>
        <v>0.34217156662169379</v>
      </c>
      <c r="F18" s="5">
        <f t="shared" ref="F18:F61" si="7">1/0.96*(E18-0.04/E18)</f>
        <v>0.23465744394136334</v>
      </c>
      <c r="G18" s="88">
        <f t="shared" ref="G18:G59" si="8">-F18*D18/E18</f>
        <v>0.23450987802389311</v>
      </c>
      <c r="H18" s="5">
        <v>0.234509878023893</v>
      </c>
      <c r="I18" s="88">
        <f t="shared" si="3"/>
        <v>-8.3206433833478682E-3</v>
      </c>
      <c r="J18" s="5">
        <v>-8.3206433833479306E-3</v>
      </c>
      <c r="K18" s="23">
        <f t="shared" si="4"/>
        <v>4.7342271207528458E-14</v>
      </c>
      <c r="L18" s="24">
        <f t="shared" si="5"/>
        <v>7.5054346470546418E-13</v>
      </c>
      <c r="M18" s="197">
        <f>-1/12*C18*D18/(D18*D18+C18*C18)^2</f>
        <v>-2.5222044975306834E-2</v>
      </c>
      <c r="N18" s="199">
        <f>-1/0.96*(1-0.04*(C18*C18-D18*D18)/(C18*C18+D18*D18)^2)</f>
        <v>-1.396649583736314</v>
      </c>
      <c r="O18" s="199">
        <f>1/0.96*(1-0.04*(D18*D18-C18*C18)/(C18*C18+D18*D18)^2)</f>
        <v>0.68668374959701939</v>
      </c>
      <c r="P18" s="201">
        <f>1/12*C18*D18/(C18*C18+D18*D18)^2</f>
        <v>2.5222044975306834E-2</v>
      </c>
      <c r="Q18" s="28" t="s">
        <v>14</v>
      </c>
      <c r="R18" s="202">
        <v>2.2071216869002101E-2</v>
      </c>
      <c r="S18" s="202"/>
      <c r="T18" s="89">
        <f>1/R18*(T19+T20+T21)</f>
        <v>-0.10804456298867827</v>
      </c>
    </row>
    <row r="19" spans="1:20" x14ac:dyDescent="0.25">
      <c r="A19" s="195"/>
      <c r="B19" s="2">
        <v>1</v>
      </c>
      <c r="C19" s="30">
        <v>-7.3192949840351698E-2</v>
      </c>
      <c r="D19" s="30">
        <v>-0.32067926601590202</v>
      </c>
      <c r="E19" s="30">
        <f t="shared" si="6"/>
        <v>0.32892613085437566</v>
      </c>
      <c r="F19" s="30">
        <f t="shared" si="7"/>
        <v>0.21595654123295027</v>
      </c>
      <c r="G19" s="90">
        <f t="shared" si="8"/>
        <v>0.21054205986624827</v>
      </c>
      <c r="H19" s="30">
        <v>0.214932097471523</v>
      </c>
      <c r="I19" s="90">
        <f t="shared" si="3"/>
        <v>-4.8054851249130857E-2</v>
      </c>
      <c r="J19" s="20">
        <v>-4.8582606574583298E-2</v>
      </c>
      <c r="K19" s="21">
        <f t="shared" si="4"/>
        <v>2.0851119287346225</v>
      </c>
      <c r="L19" s="22">
        <f t="shared" si="5"/>
        <v>1.0982352701840603</v>
      </c>
      <c r="M19" s="198"/>
      <c r="N19" s="200"/>
      <c r="O19" s="200"/>
      <c r="P19" s="192"/>
      <c r="Q19" s="32">
        <v>-0.97492791218182395</v>
      </c>
      <c r="R19" s="30">
        <f>G19</f>
        <v>0.21054205986624827</v>
      </c>
      <c r="S19" s="30">
        <v>0.25785226170875097</v>
      </c>
      <c r="T19" s="30">
        <f>PRODUCT(S19,R19,Q19)</f>
        <v>-5.2927614106024264E-2</v>
      </c>
    </row>
    <row r="20" spans="1:20" x14ac:dyDescent="0.25">
      <c r="A20" s="195"/>
      <c r="B20" s="2">
        <v>2</v>
      </c>
      <c r="C20" s="30">
        <v>-5.4119146290735297E-3</v>
      </c>
      <c r="D20" s="30">
        <v>-0.40837772961491298</v>
      </c>
      <c r="E20" s="30">
        <f t="shared" si="6"/>
        <v>0.40841358800287647</v>
      </c>
      <c r="F20" s="30">
        <f t="shared" si="7"/>
        <v>0.32341005587986787</v>
      </c>
      <c r="G20" s="90">
        <f t="shared" si="8"/>
        <v>0.32338166073436908</v>
      </c>
      <c r="H20" s="30">
        <v>0.325543325233767</v>
      </c>
      <c r="I20" s="90">
        <f t="shared" si="3"/>
        <v>-4.2855273771973948E-3</v>
      </c>
      <c r="J20" s="20">
        <v>3.8280749810283201E-3</v>
      </c>
      <c r="K20" s="21">
        <f t="shared" si="4"/>
        <v>0.66845611915313463</v>
      </c>
      <c r="L20" s="22">
        <f t="shared" si="5"/>
        <v>189.32564522623034</v>
      </c>
      <c r="M20" s="188">
        <v>-0.28508076834840401</v>
      </c>
      <c r="N20" s="190">
        <v>-1.23675617757671</v>
      </c>
      <c r="O20" s="190">
        <v>0.66058979494532</v>
      </c>
      <c r="P20" s="192">
        <v>-0.22494890238236101</v>
      </c>
      <c r="Q20" s="32">
        <v>0.36645744143242598</v>
      </c>
      <c r="R20" s="30">
        <f>G20</f>
        <v>0.32338166073436908</v>
      </c>
      <c r="S20" s="30">
        <v>0.20736497985691299</v>
      </c>
      <c r="T20" s="30">
        <f>PRODUCT(S20,R20,Q20)</f>
        <v>2.4573914674540003E-2</v>
      </c>
    </row>
    <row r="21" spans="1:20" ht="16.5" thickBot="1" x14ac:dyDescent="0.3">
      <c r="A21" s="196"/>
      <c r="B21" s="3">
        <v>3</v>
      </c>
      <c r="C21" s="31">
        <v>2.3276848420015799E-2</v>
      </c>
      <c r="D21" s="31">
        <v>-0.282684046035376</v>
      </c>
      <c r="E21" s="31">
        <f t="shared" si="6"/>
        <v>0.2836407614488774</v>
      </c>
      <c r="F21" s="31">
        <f t="shared" si="7"/>
        <v>0.14855969479912426</v>
      </c>
      <c r="G21" s="93">
        <f t="shared" si="8"/>
        <v>0.14805860550182662</v>
      </c>
      <c r="H21" s="31">
        <v>0.14653794776967199</v>
      </c>
      <c r="I21" s="93">
        <f t="shared" si="3"/>
        <v>1.2191482914864072E-2</v>
      </c>
      <c r="J21" s="31">
        <v>6.4039532453871797E-3</v>
      </c>
      <c r="K21" s="25">
        <f t="shared" si="4"/>
        <v>1.0270647403442299</v>
      </c>
      <c r="L21" s="26">
        <f t="shared" si="5"/>
        <v>47.471908953919247</v>
      </c>
      <c r="M21" s="189"/>
      <c r="N21" s="191"/>
      <c r="O21" s="191"/>
      <c r="P21" s="193"/>
      <c r="Q21" s="33">
        <v>0.79122370800502395</v>
      </c>
      <c r="R21" s="31">
        <f>G21</f>
        <v>0.14805860550182662</v>
      </c>
      <c r="S21" s="31">
        <v>0.22167804809623901</v>
      </c>
      <c r="T21" s="31">
        <f>PRODUCT(S21,R21,Q21)</f>
        <v>2.5969024450244585E-2</v>
      </c>
    </row>
    <row r="22" spans="1:20" x14ac:dyDescent="0.25">
      <c r="A22" s="194">
        <v>65</v>
      </c>
      <c r="B22" s="6">
        <v>0</v>
      </c>
      <c r="C22" s="5">
        <v>-0.24079705792397901</v>
      </c>
      <c r="D22" s="5">
        <v>1.96718384523707E-3</v>
      </c>
      <c r="E22" s="5">
        <f t="shared" si="6"/>
        <v>0.24080509321259189</v>
      </c>
      <c r="F22" s="5">
        <f t="shared" si="7"/>
        <v>7.7807968560963697E-2</v>
      </c>
      <c r="G22" s="88">
        <f t="shared" si="8"/>
        <v>-6.3562849415611051E-4</v>
      </c>
      <c r="H22" s="5">
        <v>-6.3562849415611398E-4</v>
      </c>
      <c r="I22" s="88">
        <f t="shared" si="3"/>
        <v>-7.7805372230979872E-2</v>
      </c>
      <c r="J22" s="5">
        <v>-7.7805372230980302E-2</v>
      </c>
      <c r="K22" s="23">
        <f t="shared" si="4"/>
        <v>5.4582936162416865E-13</v>
      </c>
      <c r="L22" s="24">
        <f t="shared" si="5"/>
        <v>5.5293279847705724E-13</v>
      </c>
      <c r="M22" s="197">
        <f>-1/12*C22*D22/(D22*D22+C22*C22)^2</f>
        <v>1.1739570444985466E-2</v>
      </c>
      <c r="N22" s="199">
        <f>-1/0.96*(1-0.04*(C22*C22-D22*D22)/(C22*C22+D22*D22)^2)</f>
        <v>-0.32321186477652114</v>
      </c>
      <c r="O22" s="199">
        <f>1/0.96*(1-0.04*(D22*D22-C22*C22)/(C22*C22+D22*D22)^2)</f>
        <v>1.7601214685568123</v>
      </c>
      <c r="P22" s="201">
        <f>1/12*C22*D22/(C22*C22+D22*D22)^2</f>
        <v>-1.1739570444985466E-2</v>
      </c>
      <c r="Q22" s="28" t="s">
        <v>14</v>
      </c>
      <c r="R22" s="202">
        <v>2.2071216869002101E-2</v>
      </c>
      <c r="S22" s="202"/>
      <c r="T22" s="89">
        <f>1/R22*(T23+T24+T25)</f>
        <v>0.3895429356863287</v>
      </c>
    </row>
    <row r="23" spans="1:20" x14ac:dyDescent="0.25">
      <c r="A23" s="195"/>
      <c r="B23" s="2">
        <v>1</v>
      </c>
      <c r="C23" s="30">
        <v>-0.29855670697977099</v>
      </c>
      <c r="D23" s="30">
        <v>4.6246845220202899E-2</v>
      </c>
      <c r="E23" s="30">
        <f t="shared" si="6"/>
        <v>0.30211732485149911</v>
      </c>
      <c r="F23" s="30">
        <f t="shared" si="7"/>
        <v>0.1767900309942696</v>
      </c>
      <c r="G23" s="90">
        <f t="shared" si="8"/>
        <v>-2.7062271929905481E-2</v>
      </c>
      <c r="H23" s="30">
        <v>-3.2908757186308202E-2</v>
      </c>
      <c r="I23" s="90">
        <f t="shared" si="3"/>
        <v>-0.17470646380986207</v>
      </c>
      <c r="J23" s="20">
        <v>-0.16406997585736099</v>
      </c>
      <c r="K23" s="21">
        <f t="shared" si="4"/>
        <v>21.603822737225524</v>
      </c>
      <c r="L23" s="22">
        <f t="shared" si="5"/>
        <v>6.0882051645650987</v>
      </c>
      <c r="M23" s="198"/>
      <c r="N23" s="200"/>
      <c r="O23" s="200"/>
      <c r="P23" s="192"/>
      <c r="Q23" s="32">
        <v>-0.97492791218182395</v>
      </c>
      <c r="R23" s="30">
        <f>G23</f>
        <v>-2.7062271929905481E-2</v>
      </c>
      <c r="S23" s="30">
        <v>0.25785226170875097</v>
      </c>
      <c r="T23" s="30">
        <f>PRODUCT(S23,R23,Q23)</f>
        <v>6.8031132898018478E-3</v>
      </c>
    </row>
    <row r="24" spans="1:20" x14ac:dyDescent="0.25">
      <c r="A24" s="195"/>
      <c r="B24" s="2">
        <v>2</v>
      </c>
      <c r="C24" s="30">
        <v>-0.29855670697976999</v>
      </c>
      <c r="D24" s="30">
        <v>-4.0529902603308597E-2</v>
      </c>
      <c r="E24" s="30">
        <f t="shared" si="6"/>
        <v>0.30129517136462364</v>
      </c>
      <c r="F24" s="30">
        <f t="shared" si="7"/>
        <v>0.17555728676318713</v>
      </c>
      <c r="G24" s="90">
        <f t="shared" si="8"/>
        <v>2.3615777516733653E-2</v>
      </c>
      <c r="H24" s="30">
        <v>2.9857257041489099E-2</v>
      </c>
      <c r="I24" s="90">
        <f t="shared" si="3"/>
        <v>-0.17396165091172264</v>
      </c>
      <c r="J24" s="20">
        <v>-0.164390798683996</v>
      </c>
      <c r="K24" s="21">
        <f t="shared" si="4"/>
        <v>26.429278139721891</v>
      </c>
      <c r="L24" s="22">
        <f t="shared" si="5"/>
        <v>5.5017023450664944</v>
      </c>
      <c r="M24" s="188">
        <v>4.2494947331724502E-3</v>
      </c>
      <c r="N24" s="190">
        <v>-0.72330452341279605</v>
      </c>
      <c r="O24" s="190">
        <v>1.49634410244349</v>
      </c>
      <c r="P24" s="192">
        <v>3.69710590315382E-3</v>
      </c>
      <c r="Q24" s="32">
        <v>0.36645744143242598</v>
      </c>
      <c r="R24" s="30">
        <f>G24</f>
        <v>2.3615777516733653E-2</v>
      </c>
      <c r="S24" s="30">
        <v>0.20736497985691299</v>
      </c>
      <c r="T24" s="30">
        <f>PRODUCT(S24,R24,Q24)</f>
        <v>1.794573323518884E-3</v>
      </c>
    </row>
    <row r="25" spans="1:20" ht="16.5" thickBot="1" x14ac:dyDescent="0.3">
      <c r="A25" s="196"/>
      <c r="B25" s="3">
        <v>3</v>
      </c>
      <c r="C25" s="31">
        <v>-0.180193773580483</v>
      </c>
      <c r="D25" s="29">
        <v>-7.7715611723760899E-16</v>
      </c>
      <c r="E25" s="31">
        <f t="shared" si="6"/>
        <v>0.180193773580483</v>
      </c>
      <c r="F25" s="31">
        <f t="shared" si="7"/>
        <v>-4.3530707556735937E-2</v>
      </c>
      <c r="G25" s="93">
        <f t="shared" si="8"/>
        <v>-1.8774319996294773E-16</v>
      </c>
      <c r="H25" s="31">
        <v>1.04477781711963E-3</v>
      </c>
      <c r="I25" s="93">
        <f t="shared" si="3"/>
        <v>4.3530707556735937E-2</v>
      </c>
      <c r="J25" s="31">
        <v>1.2870721998108599E-2</v>
      </c>
      <c r="K25" s="25">
        <f t="shared" si="4"/>
        <v>556493027351196.19</v>
      </c>
      <c r="L25" s="26">
        <f t="shared" si="5"/>
        <v>70.433005295552604</v>
      </c>
      <c r="M25" s="189"/>
      <c r="N25" s="191"/>
      <c r="O25" s="191"/>
      <c r="P25" s="193"/>
      <c r="Q25" s="33">
        <v>0.79122370800502395</v>
      </c>
      <c r="R25" s="31">
        <f>G25</f>
        <v>-1.8774319996294773E-16</v>
      </c>
      <c r="S25" s="31">
        <v>0.22167804809623901</v>
      </c>
      <c r="T25" s="31">
        <f>PRODUCT(S25,R25,Q25)</f>
        <v>-3.292958037582488E-17</v>
      </c>
    </row>
    <row r="26" spans="1:20" x14ac:dyDescent="0.25">
      <c r="A26" s="194">
        <v>40</v>
      </c>
      <c r="B26" s="6">
        <v>0</v>
      </c>
      <c r="C26" s="5">
        <v>0.39537022096621299</v>
      </c>
      <c r="D26" s="5">
        <v>7.9508815015409007E-3</v>
      </c>
      <c r="E26" s="5">
        <f t="shared" si="6"/>
        <v>0.39545015886142165</v>
      </c>
      <c r="F26" s="5">
        <f t="shared" si="7"/>
        <v>0.30656209537306905</v>
      </c>
      <c r="G26" s="88">
        <f t="shared" si="8"/>
        <v>-6.1637069515744162E-3</v>
      </c>
      <c r="H26" s="5">
        <v>-6.1637069515744197E-3</v>
      </c>
      <c r="I26" s="88">
        <f t="shared" ref="I26:I59" si="9">F26*C26/E26</f>
        <v>0.30650012567067864</v>
      </c>
      <c r="J26" s="5">
        <v>0.30650012567067902</v>
      </c>
      <c r="K26" s="23">
        <f t="shared" ref="K26:K57" si="10">ABS((G26-H26)/G26)*100</f>
        <v>5.6288317715484534E-14</v>
      </c>
      <c r="L26" s="24">
        <f t="shared" ref="L26:L57" si="11">ABS((I26-J26)/I26)*100</f>
        <v>1.2677908622990758E-13</v>
      </c>
      <c r="M26" s="197">
        <f>-1/12*C26*D26/(D26*D26+C26*C26)^2</f>
        <v>-1.0712010084713345E-2</v>
      </c>
      <c r="N26" s="199">
        <f>-1/0.96*(1-0.04*(C26*C26-D26*D26)/(C26*C26+D26*D26)^2)</f>
        <v>-0.77543851138881104</v>
      </c>
      <c r="O26" s="199">
        <f>1/0.96*(1-0.04*(D26*D26-C26*C26)/(C26*C26+D26*D26)^2)</f>
        <v>1.3078948219445226</v>
      </c>
      <c r="P26" s="201">
        <f>1/12*C26*D26/(C26*C26+D26*D26)^2</f>
        <v>1.0712010084713345E-2</v>
      </c>
      <c r="Q26" s="28" t="s">
        <v>14</v>
      </c>
      <c r="R26" s="202">
        <v>2.2071216869002101E-2</v>
      </c>
      <c r="S26" s="202"/>
      <c r="T26" s="89">
        <f>1/R26*(T27+T28+T29)</f>
        <v>-0.68947992996743568</v>
      </c>
    </row>
    <row r="27" spans="1:20" x14ac:dyDescent="0.25">
      <c r="A27" s="195"/>
      <c r="B27" s="2">
        <v>1</v>
      </c>
      <c r="C27" s="30">
        <v>0.43740138094217501</v>
      </c>
      <c r="D27" s="30">
        <v>-4.9015814875987898E-2</v>
      </c>
      <c r="E27" s="30">
        <f t="shared" si="6"/>
        <v>0.44013920315972627</v>
      </c>
      <c r="F27" s="30">
        <f t="shared" si="7"/>
        <v>0.36381131681019985</v>
      </c>
      <c r="G27" s="90">
        <f t="shared" si="8"/>
        <v>4.051560966744136E-2</v>
      </c>
      <c r="H27" s="30">
        <v>4.3588135281183202E-2</v>
      </c>
      <c r="I27" s="90">
        <f t="shared" si="9"/>
        <v>0.36154828116372939</v>
      </c>
      <c r="J27" s="20">
        <v>0.36399373191229201</v>
      </c>
      <c r="K27" s="21">
        <f t="shared" si="10"/>
        <v>7.5835601116745517</v>
      </c>
      <c r="L27" s="22">
        <f t="shared" si="11"/>
        <v>0.67638289986923728</v>
      </c>
      <c r="M27" s="198"/>
      <c r="N27" s="200"/>
      <c r="O27" s="200"/>
      <c r="P27" s="192"/>
      <c r="Q27" s="32">
        <v>-0.97492791218182395</v>
      </c>
      <c r="R27" s="30">
        <f>G27</f>
        <v>4.051560966744136E-2</v>
      </c>
      <c r="S27" s="30">
        <v>0.25785226170875097</v>
      </c>
      <c r="T27" s="30">
        <f>PRODUCT(S27,R27,Q27)</f>
        <v>-1.0185112443142803E-2</v>
      </c>
    </row>
    <row r="28" spans="1:20" x14ac:dyDescent="0.25">
      <c r="A28" s="195"/>
      <c r="B28" s="2">
        <v>2</v>
      </c>
      <c r="C28" s="30">
        <v>0.439311549274363</v>
      </c>
      <c r="D28" s="30">
        <v>6.3484214904851705E-2</v>
      </c>
      <c r="E28" s="30">
        <f t="shared" si="6"/>
        <v>0.44387485045666469</v>
      </c>
      <c r="F28" s="30">
        <f t="shared" si="7"/>
        <v>0.36849933298197923</v>
      </c>
      <c r="G28" s="90">
        <f t="shared" si="8"/>
        <v>-5.270379888217256E-2</v>
      </c>
      <c r="H28" s="30">
        <v>-5.51047832874694E-2</v>
      </c>
      <c r="I28" s="90">
        <f t="shared" si="9"/>
        <v>0.36471093758146478</v>
      </c>
      <c r="J28" s="20">
        <v>0.36686242109897899</v>
      </c>
      <c r="K28" s="21">
        <f t="shared" si="10"/>
        <v>4.5556192460900382</v>
      </c>
      <c r="L28" s="22">
        <f t="shared" si="11"/>
        <v>0.58991472309042969</v>
      </c>
      <c r="M28" s="188">
        <v>4.2494947331724502E-3</v>
      </c>
      <c r="N28" s="190">
        <v>-0.72330452341279605</v>
      </c>
      <c r="O28" s="190">
        <v>1.49634410244349</v>
      </c>
      <c r="P28" s="192">
        <v>3.69710590315382E-3</v>
      </c>
      <c r="Q28" s="32">
        <v>0.36645744143242598</v>
      </c>
      <c r="R28" s="30">
        <f>G28</f>
        <v>-5.270379888217256E-2</v>
      </c>
      <c r="S28" s="30">
        <v>0.20736497985691299</v>
      </c>
      <c r="T28" s="30">
        <f>PRODUCT(S28,R28,Q28)</f>
        <v>-4.0049848646750352E-3</v>
      </c>
    </row>
    <row r="29" spans="1:20" ht="16.5" thickBot="1" x14ac:dyDescent="0.3">
      <c r="A29" s="196"/>
      <c r="B29" s="3">
        <v>3</v>
      </c>
      <c r="C29" s="31">
        <v>0.32583384566137102</v>
      </c>
      <c r="D29" s="29">
        <v>9.0199352315710607E-3</v>
      </c>
      <c r="E29" s="31">
        <f t="shared" si="6"/>
        <v>0.32595866948136215</v>
      </c>
      <c r="F29" s="31">
        <f t="shared" si="7"/>
        <v>0.21171221363314055</v>
      </c>
      <c r="G29" s="93">
        <f t="shared" si="8"/>
        <v>-5.8585048765289966E-3</v>
      </c>
      <c r="H29" s="31">
        <v>-6.74027903468815E-3</v>
      </c>
      <c r="I29" s="93">
        <f t="shared" si="9"/>
        <v>0.21163113977403286</v>
      </c>
      <c r="J29" s="31">
        <v>0.21117556748083199</v>
      </c>
      <c r="K29" s="25">
        <f t="shared" si="10"/>
        <v>15.051180749064773</v>
      </c>
      <c r="L29" s="26">
        <f t="shared" si="11"/>
        <v>0.21526713587012794</v>
      </c>
      <c r="M29" s="189"/>
      <c r="N29" s="191"/>
      <c r="O29" s="191"/>
      <c r="P29" s="193"/>
      <c r="Q29" s="33">
        <v>0.79122370800502395</v>
      </c>
      <c r="R29" s="31">
        <f>G29</f>
        <v>-5.8585048765289966E-3</v>
      </c>
      <c r="S29" s="31">
        <v>0.22167804809623901</v>
      </c>
      <c r="T29" s="31">
        <f>PRODUCT(S29,R29,Q29)</f>
        <v>-1.0275637533178148E-3</v>
      </c>
    </row>
    <row r="30" spans="1:20" s="63" customFormat="1" x14ac:dyDescent="0.25">
      <c r="A30" s="173">
        <v>541</v>
      </c>
      <c r="B30" s="68">
        <v>0</v>
      </c>
      <c r="C30" s="69">
        <v>0.60841619481435905</v>
      </c>
      <c r="D30" s="69">
        <v>0.17381924261257101</v>
      </c>
      <c r="E30" s="69">
        <f t="shared" si="6"/>
        <v>0.63275855996959207</v>
      </c>
      <c r="F30" s="69">
        <f t="shared" si="7"/>
        <v>0.59327426567480723</v>
      </c>
      <c r="G30" s="70">
        <f t="shared" si="8"/>
        <v>-0.16297287787948675</v>
      </c>
      <c r="H30" s="69">
        <v>-0.16327450124380699</v>
      </c>
      <c r="I30" s="70">
        <f t="shared" si="9"/>
        <v>0.57045087026637065</v>
      </c>
      <c r="J30" s="69">
        <v>0.57040273584962298</v>
      </c>
      <c r="K30" s="71">
        <f t="shared" si="10"/>
        <v>0.18507580417355235</v>
      </c>
      <c r="L30" s="72">
        <f t="shared" si="11"/>
        <v>8.4379600867631483E-3</v>
      </c>
      <c r="M30" s="176">
        <f>-1/12*C30*D30/(D30*D30+C30*C30)^2</f>
        <v>-5.4975002363563528E-2</v>
      </c>
      <c r="N30" s="178">
        <f>-1/0.96*(1-0.04*(C30*C30-D30*D30)/(C30*C30+D30*D30)^2)</f>
        <v>-0.95330562940850405</v>
      </c>
      <c r="O30" s="178">
        <f>1/0.96*(1-0.04*(D30*D30-C30*C30)/(C30*C30+D30*D30)^2)</f>
        <v>1.1300277039248292</v>
      </c>
      <c r="P30" s="180">
        <f>1/12*C30*D30/(C30*C30+D30*D30)^2</f>
        <v>5.4975002363563528E-2</v>
      </c>
      <c r="Q30" s="73" t="s">
        <v>14</v>
      </c>
      <c r="R30" s="182">
        <v>2.2071216869002101E-2</v>
      </c>
      <c r="S30" s="182"/>
      <c r="T30" s="74">
        <f>1/R30*(T31+T32+T33)</f>
        <v>-0.14638409399961166</v>
      </c>
    </row>
    <row r="31" spans="1:20" s="63" customFormat="1" x14ac:dyDescent="0.25">
      <c r="A31" s="174"/>
      <c r="B31" s="75">
        <v>1</v>
      </c>
      <c r="C31" s="76">
        <v>0.61723801645408305</v>
      </c>
      <c r="D31" s="76">
        <v>0.161820486429926</v>
      </c>
      <c r="E31" s="76">
        <f t="shared" si="6"/>
        <v>0.63809767182194665</v>
      </c>
      <c r="F31" s="76">
        <f t="shared" si="7"/>
        <v>0.59938681640261926</v>
      </c>
      <c r="G31" s="77">
        <f t="shared" si="8"/>
        <v>-0.15200347920564319</v>
      </c>
      <c r="H31" s="76">
        <v>-0.15234428251027901</v>
      </c>
      <c r="I31" s="77">
        <f t="shared" si="9"/>
        <v>0.57979263360847111</v>
      </c>
      <c r="J31" s="78">
        <v>0.57973248378458198</v>
      </c>
      <c r="K31" s="79">
        <f t="shared" si="10"/>
        <v>0.22420756841673972</v>
      </c>
      <c r="L31" s="80">
        <f t="shared" si="11"/>
        <v>1.0374368421133059E-2</v>
      </c>
      <c r="M31" s="177"/>
      <c r="N31" s="179"/>
      <c r="O31" s="179"/>
      <c r="P31" s="181"/>
      <c r="Q31" s="81">
        <v>-0.97492791218182395</v>
      </c>
      <c r="R31" s="76">
        <f>G31</f>
        <v>-0.15200347920564319</v>
      </c>
      <c r="S31" s="76">
        <v>0.25785226170875097</v>
      </c>
      <c r="T31" s="76">
        <f>PRODUCT(S31,R31,Q31)</f>
        <v>3.821175443652567E-2</v>
      </c>
    </row>
    <row r="32" spans="1:20" s="63" customFormat="1" x14ac:dyDescent="0.25">
      <c r="A32" s="174"/>
      <c r="B32" s="75">
        <v>2</v>
      </c>
      <c r="C32" s="76">
        <v>0.61446292646849898</v>
      </c>
      <c r="D32" s="76">
        <v>0.18743248121931499</v>
      </c>
      <c r="E32" s="76">
        <f t="shared" si="6"/>
        <v>0.64241390319657687</v>
      </c>
      <c r="F32" s="76">
        <f t="shared" si="7"/>
        <v>0.60432161474247559</v>
      </c>
      <c r="G32" s="77">
        <f t="shared" si="8"/>
        <v>-0.17631856835916737</v>
      </c>
      <c r="H32" s="76">
        <v>-0.176591214747783</v>
      </c>
      <c r="I32" s="77">
        <f t="shared" si="9"/>
        <v>0.57802800667158571</v>
      </c>
      <c r="J32" s="78">
        <v>0.57793722867764497</v>
      </c>
      <c r="K32" s="79">
        <f t="shared" si="10"/>
        <v>0.15463282804125117</v>
      </c>
      <c r="L32" s="80">
        <f t="shared" si="11"/>
        <v>1.5704774317678711E-2</v>
      </c>
      <c r="M32" s="183">
        <v>-1.25962993460506E-2</v>
      </c>
      <c r="N32" s="185">
        <v>-0.99529561078374396</v>
      </c>
      <c r="O32" s="185">
        <v>1.08721830086341</v>
      </c>
      <c r="P32" s="181">
        <v>1.1730945975606999E-2</v>
      </c>
      <c r="Q32" s="81">
        <v>0.36645744143242598</v>
      </c>
      <c r="R32" s="76">
        <f>G32</f>
        <v>-0.17631856835916737</v>
      </c>
      <c r="S32" s="76">
        <v>0.20736497985691299</v>
      </c>
      <c r="T32" s="76">
        <f>PRODUCT(S32,R32,Q32)</f>
        <v>-1.3398525582915754E-2</v>
      </c>
    </row>
    <row r="33" spans="1:20" s="63" customFormat="1" ht="16.5" thickBot="1" x14ac:dyDescent="0.3">
      <c r="A33" s="175"/>
      <c r="B33" s="82">
        <v>3</v>
      </c>
      <c r="C33" s="83">
        <v>0.59369621914943904</v>
      </c>
      <c r="D33" s="96">
        <v>0.17145304028168801</v>
      </c>
      <c r="E33" s="83">
        <f t="shared" si="6"/>
        <v>0.61795739792818472</v>
      </c>
      <c r="F33" s="83">
        <f t="shared" si="7"/>
        <v>0.57627918405115641</v>
      </c>
      <c r="G33" s="84">
        <f t="shared" si="8"/>
        <v>-0.1598893685679344</v>
      </c>
      <c r="H33" s="83">
        <v>-0.16021541105703799</v>
      </c>
      <c r="I33" s="84">
        <f t="shared" si="9"/>
        <v>0.55365430350500655</v>
      </c>
      <c r="J33" s="83">
        <v>0.55352699173345399</v>
      </c>
      <c r="K33" s="85">
        <f t="shared" si="10"/>
        <v>0.20391755375846607</v>
      </c>
      <c r="L33" s="86">
        <f t="shared" si="11"/>
        <v>2.2994812962997525E-2</v>
      </c>
      <c r="M33" s="184"/>
      <c r="N33" s="186"/>
      <c r="O33" s="186"/>
      <c r="P33" s="187"/>
      <c r="Q33" s="87">
        <v>0.79122370800502395</v>
      </c>
      <c r="R33" s="83">
        <f>G33</f>
        <v>-0.1598893685679344</v>
      </c>
      <c r="S33" s="83">
        <v>0.22167804809623901</v>
      </c>
      <c r="T33" s="83">
        <f>PRODUCT(S33,R33,Q33)</f>
        <v>-2.8044103938447737E-2</v>
      </c>
    </row>
    <row r="34" spans="1:20" x14ac:dyDescent="0.25">
      <c r="A34" s="194">
        <v>364</v>
      </c>
      <c r="B34" s="6">
        <v>0</v>
      </c>
      <c r="C34" s="5">
        <v>0.16266592302028701</v>
      </c>
      <c r="D34" s="5">
        <v>0.170574160934653</v>
      </c>
      <c r="E34" s="5">
        <f t="shared" si="6"/>
        <v>0.23570266627809461</v>
      </c>
      <c r="F34" s="5">
        <f t="shared" si="7"/>
        <v>6.8747219821121544E-2</v>
      </c>
      <c r="G34" s="88">
        <f t="shared" si="8"/>
        <v>-4.9751237534760857E-2</v>
      </c>
      <c r="H34" s="5">
        <v>-4.9821272710786499E-2</v>
      </c>
      <c r="I34" s="88">
        <f t="shared" si="9"/>
        <v>4.7444647715979615E-2</v>
      </c>
      <c r="J34" s="5">
        <v>4.74030964458153E-2</v>
      </c>
      <c r="K34" s="23">
        <f t="shared" si="10"/>
        <v>0.1407707214854875</v>
      </c>
      <c r="L34" s="24">
        <f t="shared" si="11"/>
        <v>8.757841435151098E-2</v>
      </c>
      <c r="M34" s="197">
        <f>-1/12*C34*D34/(D34*D34+C34*C34)^2</f>
        <v>-0.74915312973798254</v>
      </c>
      <c r="N34" s="199">
        <f>-1/0.96*(1-0.04*(C34*C34-D34*D34)/(C34*C34+D34*D34)^2)</f>
        <v>-1.077243536808574</v>
      </c>
      <c r="O34" s="199">
        <f>1/0.96*(1-0.04*(D34*D34-C34*C34)/(C34*C34+D34*D34)^2)</f>
        <v>1.0060897965247595</v>
      </c>
      <c r="P34" s="201">
        <f>1/12*C34*D34/(C34*C34+D34*D34)^2</f>
        <v>0.74915312973798254</v>
      </c>
      <c r="Q34" s="36" t="s">
        <v>15</v>
      </c>
      <c r="R34" s="35"/>
      <c r="S34" s="35"/>
      <c r="T34" s="89"/>
    </row>
    <row r="35" spans="1:20" x14ac:dyDescent="0.25">
      <c r="A35" s="195"/>
      <c r="B35" s="2">
        <v>1</v>
      </c>
      <c r="C35" s="30">
        <v>0.16929317254114401</v>
      </c>
      <c r="D35" s="30">
        <v>0.156382989326319</v>
      </c>
      <c r="E35" s="30">
        <f t="shared" si="6"/>
        <v>0.23046869119184313</v>
      </c>
      <c r="F35" s="30">
        <f t="shared" si="7"/>
        <v>5.928054674085266E-2</v>
      </c>
      <c r="G35" s="90">
        <f t="shared" si="8"/>
        <v>-4.0224418597996629E-2</v>
      </c>
      <c r="H35" s="30">
        <v>-4.0422691818457701E-2</v>
      </c>
      <c r="I35" s="90">
        <f t="shared" si="9"/>
        <v>4.3545141753673973E-2</v>
      </c>
      <c r="J35" s="20">
        <v>4.4621315593747102E-2</v>
      </c>
      <c r="K35" s="21">
        <f t="shared" si="10"/>
        <v>0.49291755449001512</v>
      </c>
      <c r="L35" s="22">
        <f t="shared" si="11"/>
        <v>2.4713981783796362</v>
      </c>
      <c r="M35" s="198"/>
      <c r="N35" s="200"/>
      <c r="O35" s="200"/>
      <c r="P35" s="192"/>
      <c r="Q35" s="37">
        <v>-4.2545420685385204E-3</v>
      </c>
      <c r="R35" s="2"/>
      <c r="S35" s="30"/>
      <c r="T35" s="30"/>
    </row>
    <row r="36" spans="1:20" x14ac:dyDescent="0.25">
      <c r="A36" s="195"/>
      <c r="B36" s="2">
        <v>2</v>
      </c>
      <c r="C36" s="30">
        <v>0.17067558899268601</v>
      </c>
      <c r="D36" s="30">
        <v>0.183800741121391</v>
      </c>
      <c r="E36" s="30">
        <f t="shared" si="6"/>
        <v>0.25082437902798216</v>
      </c>
      <c r="F36" s="30">
        <f t="shared" si="7"/>
        <v>9.5156507860395728E-2</v>
      </c>
      <c r="G36" s="90">
        <f t="shared" si="8"/>
        <v>-6.9729412806850896E-2</v>
      </c>
      <c r="H36" s="30">
        <v>-6.9679068746406198E-2</v>
      </c>
      <c r="I36" s="90">
        <f t="shared" si="9"/>
        <v>6.4750057743583014E-2</v>
      </c>
      <c r="J36" s="20">
        <v>6.3485586911665004E-2</v>
      </c>
      <c r="K36" s="21">
        <f t="shared" si="10"/>
        <v>7.2199174520730144E-2</v>
      </c>
      <c r="L36" s="22">
        <f t="shared" si="11"/>
        <v>1.9528489641282589</v>
      </c>
      <c r="M36" s="188">
        <v>-0.81932865874933403</v>
      </c>
      <c r="N36" s="190">
        <v>-1.02900896566263</v>
      </c>
      <c r="O36" s="190">
        <v>0.97651165749386404</v>
      </c>
      <c r="P36" s="192">
        <v>0.64829219454167797</v>
      </c>
      <c r="Q36" s="37">
        <v>1.7049478150453099E-3</v>
      </c>
      <c r="R36" s="2"/>
      <c r="S36" s="30"/>
      <c r="T36" s="30"/>
    </row>
    <row r="37" spans="1:20" ht="16.5" thickBot="1" x14ac:dyDescent="0.3">
      <c r="A37" s="196"/>
      <c r="B37" s="3">
        <v>3</v>
      </c>
      <c r="C37" s="31">
        <v>0.14717614193582401</v>
      </c>
      <c r="D37" s="29">
        <v>0.16432717298080901</v>
      </c>
      <c r="E37" s="30">
        <f t="shared" si="6"/>
        <v>0.22059972016069862</v>
      </c>
      <c r="F37" s="30">
        <f t="shared" si="7"/>
        <v>4.0912320215221017E-2</v>
      </c>
      <c r="G37" s="93">
        <f t="shared" si="8"/>
        <v>-3.0476040115351988E-2</v>
      </c>
      <c r="H37" s="31">
        <v>-3.1284129024110902E-2</v>
      </c>
      <c r="I37" s="93">
        <f t="shared" si="9"/>
        <v>2.7295217974587397E-2</v>
      </c>
      <c r="J37" s="31">
        <v>2.86753663857734E-2</v>
      </c>
      <c r="K37" s="25">
        <f t="shared" si="10"/>
        <v>2.6515548138809786</v>
      </c>
      <c r="L37" s="26">
        <f t="shared" si="11"/>
        <v>5.0563743893562583</v>
      </c>
      <c r="M37" s="189"/>
      <c r="N37" s="191"/>
      <c r="O37" s="191"/>
      <c r="P37" s="193"/>
      <c r="Q37" s="38">
        <v>2.0125580093833398E-3</v>
      </c>
      <c r="R37" s="3"/>
      <c r="S37" s="31"/>
      <c r="T37" s="31"/>
    </row>
    <row r="38" spans="1:20" x14ac:dyDescent="0.25">
      <c r="A38" s="194">
        <v>1477</v>
      </c>
      <c r="B38" s="6">
        <v>0</v>
      </c>
      <c r="C38" s="5">
        <v>0.132780953914101</v>
      </c>
      <c r="D38" s="5">
        <v>0.16647370137800099</v>
      </c>
      <c r="E38" s="5">
        <f t="shared" si="6"/>
        <v>0.21294195212036179</v>
      </c>
      <c r="F38" s="5">
        <f t="shared" si="7"/>
        <v>2.6143054674129057E-2</v>
      </c>
      <c r="G38" s="88">
        <f t="shared" si="8"/>
        <v>-2.0438110168492053E-2</v>
      </c>
      <c r="H38" s="5">
        <v>-2.22358796421399E-2</v>
      </c>
      <c r="I38" s="88">
        <f t="shared" si="9"/>
        <v>1.6301624472275244E-2</v>
      </c>
      <c r="J38" s="5">
        <v>1.7483603040998299E-2</v>
      </c>
      <c r="K38" s="23">
        <f t="shared" si="10"/>
        <v>8.7961629467059925</v>
      </c>
      <c r="L38" s="24">
        <f t="shared" si="11"/>
        <v>7.2506796530203976</v>
      </c>
      <c r="M38" s="197">
        <f>-1/12*C38*D38/(D38*D38+C38*C38)^2</f>
        <v>-0.89589115662280894</v>
      </c>
      <c r="N38" s="199">
        <f>-1/0.96*(1-0.04*(C38*C38-D38*D38)/(C38*C38+D38*D38)^2)</f>
        <v>-1.2459915106056709</v>
      </c>
      <c r="O38" s="199">
        <f>1/0.96*(1-0.04*(D38*D38-C38*C38)/(C38*C38+D38*D38)^2)</f>
        <v>0.83734182272766244</v>
      </c>
      <c r="P38" s="201">
        <f>1/12*C38*D38/(C38*C38+D38*D38)^2</f>
        <v>0.89589115662280894</v>
      </c>
      <c r="Q38" s="36" t="s">
        <v>15</v>
      </c>
      <c r="R38" s="35"/>
      <c r="S38" s="35"/>
      <c r="T38" s="89"/>
    </row>
    <row r="39" spans="1:20" x14ac:dyDescent="0.25">
      <c r="A39" s="195"/>
      <c r="B39" s="2">
        <v>1</v>
      </c>
      <c r="C39" s="30">
        <v>0.14717614193582401</v>
      </c>
      <c r="D39" s="30">
        <v>0.16432717298080901</v>
      </c>
      <c r="E39" s="30">
        <f t="shared" si="6"/>
        <v>0.22059972016069862</v>
      </c>
      <c r="F39" s="30">
        <f t="shared" si="7"/>
        <v>4.0912320215221017E-2</v>
      </c>
      <c r="G39" s="90">
        <f t="shared" si="8"/>
        <v>-3.0476040115351988E-2</v>
      </c>
      <c r="H39" s="30">
        <v>-3.05721185498335E-2</v>
      </c>
      <c r="I39" s="90">
        <f t="shared" si="9"/>
        <v>2.7295217974587397E-2</v>
      </c>
      <c r="J39" s="20">
        <v>2.8489952245997499E-2</v>
      </c>
      <c r="K39" s="21">
        <f t="shared" si="10"/>
        <v>0.31525891854012295</v>
      </c>
      <c r="L39" s="22">
        <f t="shared" si="11"/>
        <v>4.3770827275401603</v>
      </c>
      <c r="M39" s="198"/>
      <c r="N39" s="200"/>
      <c r="O39" s="200"/>
      <c r="P39" s="192"/>
      <c r="Q39" s="37">
        <v>-2.0144207752970699E-3</v>
      </c>
      <c r="R39" s="2"/>
      <c r="S39" s="30"/>
      <c r="T39" s="30"/>
    </row>
    <row r="40" spans="1:20" x14ac:dyDescent="0.25">
      <c r="A40" s="195"/>
      <c r="B40" s="2">
        <v>2</v>
      </c>
      <c r="C40" s="30">
        <v>0.12786195869158301</v>
      </c>
      <c r="D40" s="30">
        <v>0.18030525493814201</v>
      </c>
      <c r="E40" s="30">
        <f t="shared" si="6"/>
        <v>0.22103996344271429</v>
      </c>
      <c r="F40" s="30">
        <f t="shared" si="7"/>
        <v>4.1747095660808725E-2</v>
      </c>
      <c r="G40" s="90">
        <f t="shared" si="8"/>
        <v>-3.4053664363728996E-2</v>
      </c>
      <c r="H40" s="30">
        <v>-3.5913816134640703E-2</v>
      </c>
      <c r="I40" s="90">
        <f t="shared" si="9"/>
        <v>2.4148870356917495E-2</v>
      </c>
      <c r="J40" s="20">
        <v>2.5007122904801098E-2</v>
      </c>
      <c r="K40" s="21">
        <f t="shared" si="10"/>
        <v>5.4624129463523428</v>
      </c>
      <c r="L40" s="22">
        <f t="shared" si="11"/>
        <v>3.5540070206130996</v>
      </c>
      <c r="M40" s="188">
        <v>-0.75102409503844803</v>
      </c>
      <c r="N40" s="190">
        <v>-1.2240644664056901</v>
      </c>
      <c r="O40" s="190">
        <v>0.88608863953621098</v>
      </c>
      <c r="P40" s="192">
        <v>0.83453592960603096</v>
      </c>
      <c r="Q40" s="37">
        <v>1.6416007021511901E-3</v>
      </c>
      <c r="R40" s="2"/>
      <c r="S40" s="30"/>
      <c r="T40" s="30"/>
    </row>
    <row r="41" spans="1:20" ht="16.5" thickBot="1" x14ac:dyDescent="0.3">
      <c r="A41" s="196"/>
      <c r="B41" s="3">
        <v>3</v>
      </c>
      <c r="C41" s="31">
        <v>0.12647954224004099</v>
      </c>
      <c r="D41" s="29">
        <v>0.15288750314307001</v>
      </c>
      <c r="E41" s="30">
        <f t="shared" si="6"/>
        <v>0.19842294026289539</v>
      </c>
      <c r="F41" s="30">
        <f t="shared" si="7"/>
        <v>-3.2985978114210999E-3</v>
      </c>
      <c r="G41" s="93">
        <f t="shared" si="8"/>
        <v>2.5416132962911889E-3</v>
      </c>
      <c r="H41" s="31">
        <v>0</v>
      </c>
      <c r="I41" s="93">
        <f t="shared" si="9"/>
        <v>-2.1026053775323383E-3</v>
      </c>
      <c r="J41" s="31">
        <v>0</v>
      </c>
      <c r="K41" s="25">
        <f t="shared" si="10"/>
        <v>100</v>
      </c>
      <c r="L41" s="26">
        <f t="shared" si="11"/>
        <v>100</v>
      </c>
      <c r="M41" s="189"/>
      <c r="N41" s="191"/>
      <c r="O41" s="191"/>
      <c r="P41" s="193"/>
      <c r="Q41" s="38">
        <v>0</v>
      </c>
      <c r="R41" s="3"/>
      <c r="S41" s="31"/>
      <c r="T41" s="31"/>
    </row>
    <row r="42" spans="1:20" x14ac:dyDescent="0.25">
      <c r="A42" s="194">
        <v>2852</v>
      </c>
      <c r="B42" s="6">
        <v>0</v>
      </c>
      <c r="C42" s="5">
        <v>0.17715768943628299</v>
      </c>
      <c r="D42" s="5">
        <v>0.19617714751179399</v>
      </c>
      <c r="E42" s="5">
        <f t="shared" si="6"/>
        <v>0.2643299455836714</v>
      </c>
      <c r="F42" s="5">
        <f t="shared" si="7"/>
        <v>0.11771241709197607</v>
      </c>
      <c r="G42" s="88">
        <f t="shared" si="8"/>
        <v>-8.736235374630559E-2</v>
      </c>
      <c r="H42" s="5">
        <v>-8.7475485322046798E-2</v>
      </c>
      <c r="I42" s="88">
        <f t="shared" si="9"/>
        <v>7.8892536310735395E-2</v>
      </c>
      <c r="J42" s="5">
        <v>7.8693889002107206E-2</v>
      </c>
      <c r="K42" s="23">
        <f t="shared" si="10"/>
        <v>0.12949694106197462</v>
      </c>
      <c r="L42" s="24">
        <f t="shared" si="11"/>
        <v>0.25179480584294195</v>
      </c>
      <c r="M42" s="197">
        <f>-1/12*C42*D42/(D42*D42+C42*C42)^2</f>
        <v>-0.59325541444884999</v>
      </c>
      <c r="N42" s="199">
        <f>-1/0.96*(1-0.04*(C42*C42-D42*D42)/(C42*C42+D42*D42)^2)</f>
        <v>-1.1022704793938467</v>
      </c>
      <c r="O42" s="199">
        <f>1/0.96*(1-0.04*(D42*D42-C42*C42)/(C42*C42+D42*D42)^2)</f>
        <v>0.98106285393948667</v>
      </c>
      <c r="P42" s="201">
        <f>1/12*C42*D42/(C42*C42+D42*D42)^2</f>
        <v>0.59325541444884999</v>
      </c>
      <c r="Q42" s="36" t="s">
        <v>15</v>
      </c>
      <c r="R42" s="35"/>
      <c r="S42" s="35"/>
      <c r="T42" s="89"/>
    </row>
    <row r="43" spans="1:20" x14ac:dyDescent="0.25">
      <c r="A43" s="195"/>
      <c r="B43" s="2">
        <v>1</v>
      </c>
      <c r="C43" s="30">
        <v>0.17067558899268601</v>
      </c>
      <c r="D43" s="30">
        <v>0.183800741121391</v>
      </c>
      <c r="E43" s="30">
        <f t="shared" si="6"/>
        <v>0.25082437902798216</v>
      </c>
      <c r="F43" s="30">
        <f t="shared" si="7"/>
        <v>9.5156507860395728E-2</v>
      </c>
      <c r="G43" s="90">
        <f t="shared" si="8"/>
        <v>-6.9729412806850896E-2</v>
      </c>
      <c r="H43" s="30">
        <v>-6.9755873844883798E-2</v>
      </c>
      <c r="I43" s="90">
        <f t="shared" si="9"/>
        <v>6.4750057743583014E-2</v>
      </c>
      <c r="J43" s="20">
        <v>6.4201132118491905E-2</v>
      </c>
      <c r="K43" s="21">
        <f t="shared" si="10"/>
        <v>3.7948172754872077E-2</v>
      </c>
      <c r="L43" s="22">
        <f t="shared" si="11"/>
        <v>0.84776082712530121</v>
      </c>
      <c r="M43" s="198"/>
      <c r="N43" s="200"/>
      <c r="O43" s="200"/>
      <c r="P43" s="192"/>
      <c r="Q43" s="37">
        <v>-1.70347245203076E-3</v>
      </c>
      <c r="R43" s="2"/>
      <c r="S43" s="30"/>
      <c r="T43" s="30"/>
    </row>
    <row r="44" spans="1:20" x14ac:dyDescent="0.25">
      <c r="A44" s="195"/>
      <c r="B44" s="2">
        <v>2</v>
      </c>
      <c r="C44" s="30">
        <v>0.19079091432554299</v>
      </c>
      <c r="D44" s="30">
        <v>0.19916708732833099</v>
      </c>
      <c r="E44" s="30">
        <f t="shared" si="6"/>
        <v>0.27580555045906474</v>
      </c>
      <c r="F44" s="30">
        <f t="shared" si="7"/>
        <v>0.13622483003270303</v>
      </c>
      <c r="G44" s="90">
        <f t="shared" si="8"/>
        <v>-9.8371851379536634E-2</v>
      </c>
      <c r="H44" s="30">
        <v>-9.8239181907517403E-2</v>
      </c>
      <c r="I44" s="90">
        <f t="shared" si="9"/>
        <v>9.4234723820899396E-2</v>
      </c>
      <c r="J44" s="20">
        <v>9.4359132507671403E-2</v>
      </c>
      <c r="K44" s="21">
        <f t="shared" si="10"/>
        <v>0.13486527920204333</v>
      </c>
      <c r="L44" s="22">
        <f t="shared" si="11"/>
        <v>0.13202000465184724</v>
      </c>
      <c r="M44" s="188">
        <v>-0.75102409503844803</v>
      </c>
      <c r="N44" s="190">
        <v>-1.2240644664056901</v>
      </c>
      <c r="O44" s="190">
        <v>0.88608863953621098</v>
      </c>
      <c r="P44" s="192">
        <v>0.83453592960603096</v>
      </c>
      <c r="Q44" s="37">
        <v>-4.2052828409205696E-3</v>
      </c>
      <c r="R44" s="2"/>
      <c r="S44" s="30"/>
      <c r="T44" s="30"/>
    </row>
    <row r="45" spans="1:20" ht="16.5" thickBot="1" x14ac:dyDescent="0.3">
      <c r="A45" s="196"/>
      <c r="B45" s="3">
        <v>3</v>
      </c>
      <c r="C45" s="31">
        <v>0.16867388372022299</v>
      </c>
      <c r="D45" s="29">
        <v>0.20711127098282101</v>
      </c>
      <c r="E45" s="30">
        <f t="shared" si="6"/>
        <v>0.26710664090842601</v>
      </c>
      <c r="F45" s="30">
        <f t="shared" si="7"/>
        <v>0.12224345704668613</v>
      </c>
      <c r="G45" s="93">
        <f t="shared" si="8"/>
        <v>-9.4786103678167227E-2</v>
      </c>
      <c r="H45" s="31">
        <v>-9.5495789160229799E-2</v>
      </c>
      <c r="I45" s="93">
        <f t="shared" si="9"/>
        <v>7.7194930793652028E-2</v>
      </c>
      <c r="J45" s="31">
        <v>7.7173257560877798E-2</v>
      </c>
      <c r="K45" s="25">
        <f t="shared" si="10"/>
        <v>0.74872312978726119</v>
      </c>
      <c r="L45" s="26">
        <f t="shared" si="11"/>
        <v>2.8075979279215228E-2</v>
      </c>
      <c r="M45" s="189"/>
      <c r="N45" s="191"/>
      <c r="O45" s="191"/>
      <c r="P45" s="193"/>
      <c r="Q45" s="38">
        <v>6.0950430441033899E-3</v>
      </c>
      <c r="R45" s="3"/>
      <c r="S45" s="31"/>
      <c r="T45" s="31"/>
    </row>
    <row r="46" spans="1:20" x14ac:dyDescent="0.25">
      <c r="A46" s="194">
        <v>237</v>
      </c>
      <c r="B46" s="6">
        <v>0</v>
      </c>
      <c r="C46" s="5">
        <v>0.18440870361653799</v>
      </c>
      <c r="D46" s="5">
        <v>0.148979292368354</v>
      </c>
      <c r="E46" s="5">
        <f t="shared" si="6"/>
        <v>0.23706834357228646</v>
      </c>
      <c r="F46" s="5">
        <f t="shared" si="7"/>
        <v>7.1188154366406159E-2</v>
      </c>
      <c r="G46" s="88">
        <f t="shared" si="8"/>
        <v>-4.4736301366540367E-2</v>
      </c>
      <c r="H46" s="5">
        <v>-4.4646686648069402E-2</v>
      </c>
      <c r="I46" s="88">
        <f t="shared" si="9"/>
        <v>5.5375235097806591E-2</v>
      </c>
      <c r="J46" s="5">
        <v>5.53780975932169E-2</v>
      </c>
      <c r="K46" s="23">
        <f t="shared" si="10"/>
        <v>0.2003176743126793</v>
      </c>
      <c r="L46" s="24">
        <f t="shared" si="11"/>
        <v>5.1692699909145672E-3</v>
      </c>
      <c r="M46" s="197">
        <f>-1/12*C46*D46/(D46*D46+C46*C46)^2</f>
        <v>-0.72482274799905011</v>
      </c>
      <c r="N46" s="199">
        <f>-1/0.96*(1-0.04*(C46*C46-D46*D46)/(C46*C46+D46*D46)^2)</f>
        <v>-0.88585197977901009</v>
      </c>
      <c r="O46" s="199">
        <f>1/0.96*(1-0.04*(D46*D46-C46*C46)/(C46*C46+D46*D46)^2)</f>
        <v>1.1974813535543234</v>
      </c>
      <c r="P46" s="201">
        <f>1/12*C46*D46/(C46*C46+D46*D46)^2</f>
        <v>0.72482274799905011</v>
      </c>
      <c r="Q46" s="36" t="s">
        <v>15</v>
      </c>
      <c r="R46" s="35"/>
      <c r="S46" s="35"/>
      <c r="T46" s="89"/>
    </row>
    <row r="47" spans="1:20" x14ac:dyDescent="0.25">
      <c r="A47" s="195"/>
      <c r="B47" s="2">
        <v>1</v>
      </c>
      <c r="C47" s="30">
        <v>0.198988077875493</v>
      </c>
      <c r="D47" s="30">
        <v>0.15382021341055599</v>
      </c>
      <c r="E47" s="30">
        <f t="shared" si="6"/>
        <v>0.25150927058510636</v>
      </c>
      <c r="F47" s="30">
        <f t="shared" si="7"/>
        <v>9.6322299307247408E-2</v>
      </c>
      <c r="G47" s="90">
        <f t="shared" si="8"/>
        <v>-5.890962429006235E-2</v>
      </c>
      <c r="H47" s="30">
        <v>-5.7907826553650399E-2</v>
      </c>
      <c r="I47" s="90">
        <f t="shared" si="9"/>
        <v>7.6207883515018657E-2</v>
      </c>
      <c r="J47" s="20">
        <v>7.5901343852150402E-2</v>
      </c>
      <c r="K47" s="21">
        <f t="shared" si="10"/>
        <v>1.7005671797858459</v>
      </c>
      <c r="L47" s="22">
        <f t="shared" si="11"/>
        <v>0.40224140696394439</v>
      </c>
      <c r="M47" s="198"/>
      <c r="N47" s="200"/>
      <c r="O47" s="200"/>
      <c r="P47" s="192"/>
      <c r="Q47" s="37">
        <v>-1.5975050735224101E-3</v>
      </c>
      <c r="R47" s="2"/>
      <c r="S47" s="30"/>
      <c r="T47" s="30"/>
    </row>
    <row r="48" spans="1:20" x14ac:dyDescent="0.25">
      <c r="A48" s="195"/>
      <c r="B48" s="2">
        <v>2</v>
      </c>
      <c r="C48" s="30">
        <v>0.16929317254114401</v>
      </c>
      <c r="D48" s="30">
        <v>0.156382989326319</v>
      </c>
      <c r="E48" s="30">
        <f t="shared" si="6"/>
        <v>0.23046869119184313</v>
      </c>
      <c r="F48" s="30">
        <f t="shared" si="7"/>
        <v>5.928054674085266E-2</v>
      </c>
      <c r="G48" s="90">
        <f t="shared" si="8"/>
        <v>-4.0224418597996629E-2</v>
      </c>
      <c r="H48" s="30">
        <v>-4.1328236357924902E-2</v>
      </c>
      <c r="I48" s="90">
        <f t="shared" si="9"/>
        <v>4.3545141753673973E-2</v>
      </c>
      <c r="J48" s="20">
        <v>4.36731455082656E-2</v>
      </c>
      <c r="K48" s="21">
        <f t="shared" si="10"/>
        <v>2.7441484511183178</v>
      </c>
      <c r="L48" s="22">
        <f t="shared" si="11"/>
        <v>0.29395645400747134</v>
      </c>
      <c r="M48" s="188">
        <v>-0.75102409503844803</v>
      </c>
      <c r="N48" s="190">
        <v>-1.2240644664056901</v>
      </c>
      <c r="O48" s="190">
        <v>0.88608863953621098</v>
      </c>
      <c r="P48" s="192">
        <v>0.83453592960603096</v>
      </c>
      <c r="Q48" s="37">
        <v>4.2562199198057397E-3</v>
      </c>
      <c r="R48" s="2"/>
      <c r="S48" s="30"/>
      <c r="T48" s="30"/>
    </row>
    <row r="49" spans="1:23" ht="16.5" thickBot="1" x14ac:dyDescent="0.3">
      <c r="A49" s="196"/>
      <c r="B49" s="3">
        <v>3</v>
      </c>
      <c r="C49" s="31">
        <v>0.17548863081863</v>
      </c>
      <c r="D49" s="29">
        <v>0.134346645269975</v>
      </c>
      <c r="E49" s="30">
        <f t="shared" si="6"/>
        <v>0.22100968449797379</v>
      </c>
      <c r="F49" s="30">
        <f t="shared" si="7"/>
        <v>4.168972967362114E-2</v>
      </c>
      <c r="G49" s="93">
        <f t="shared" si="8"/>
        <v>-2.5342216729486704E-2</v>
      </c>
      <c r="H49" s="31">
        <v>-2.6734015754154801E-2</v>
      </c>
      <c r="I49" s="93">
        <f t="shared" si="9"/>
        <v>3.310295472454583E-2</v>
      </c>
      <c r="J49" s="31">
        <v>3.38277113344271E-2</v>
      </c>
      <c r="K49" s="25">
        <f t="shared" si="10"/>
        <v>5.4920176854484932</v>
      </c>
      <c r="L49" s="26">
        <f t="shared" si="11"/>
        <v>2.1894015682650338</v>
      </c>
      <c r="M49" s="189"/>
      <c r="N49" s="191"/>
      <c r="O49" s="191"/>
      <c r="P49" s="193"/>
      <c r="Q49" s="38">
        <v>-2.1360094564363799E-3</v>
      </c>
      <c r="R49" s="3"/>
      <c r="S49" s="31"/>
      <c r="T49" s="31"/>
    </row>
    <row r="50" spans="1:23" s="48" customFormat="1" x14ac:dyDescent="0.25">
      <c r="A50" s="228">
        <v>265</v>
      </c>
      <c r="B50" s="40">
        <v>0</v>
      </c>
      <c r="C50" s="41">
        <v>0.17611626891648099</v>
      </c>
      <c r="D50" s="41">
        <v>0.119777285151598</v>
      </c>
      <c r="E50" s="41">
        <f t="shared" si="6"/>
        <v>0.21298717852337842</v>
      </c>
      <c r="F50" s="41">
        <f t="shared" si="7"/>
        <v>2.6231715040579813E-2</v>
      </c>
      <c r="G50" s="42">
        <f t="shared" si="8"/>
        <v>-1.4751890861290105E-2</v>
      </c>
      <c r="H50" s="41">
        <v>-1.5655313257074099E-2</v>
      </c>
      <c r="I50" s="42">
        <f t="shared" si="9"/>
        <v>2.169065674401692E-2</v>
      </c>
      <c r="J50" s="41">
        <v>2.3750757772751999E-2</v>
      </c>
      <c r="K50" s="43">
        <f t="shared" si="10"/>
        <v>6.1241125241417755</v>
      </c>
      <c r="L50" s="44">
        <f t="shared" si="11"/>
        <v>9.4976424782681139</v>
      </c>
      <c r="M50" s="231">
        <f>-1/12*C50*D50/(D50*D50+C50*C50)^2</f>
        <v>-0.85423793511527568</v>
      </c>
      <c r="N50" s="233">
        <f>-1/0.96*(1-0.04*(C50*C50-D50*D50)/(C50*C50+D50*D50)^2)</f>
        <v>-0.70413118701963817</v>
      </c>
      <c r="O50" s="233">
        <f>1/0.96*(1-0.04*(D50*D50-C50*C50)/(C50*C50+D50*D50)^2)</f>
        <v>1.3792021463136952</v>
      </c>
      <c r="P50" s="235">
        <f>1/12*C50*D50/(C50*C50+D50*D50)^2</f>
        <v>0.85423793511527568</v>
      </c>
      <c r="Q50" s="45" t="s">
        <v>15</v>
      </c>
      <c r="R50" s="46"/>
      <c r="S50" s="46"/>
      <c r="T50" s="47"/>
    </row>
    <row r="51" spans="1:23" s="48" customFormat="1" x14ac:dyDescent="0.25">
      <c r="A51" s="229"/>
      <c r="B51" s="49">
        <v>1</v>
      </c>
      <c r="C51" s="50">
        <v>0.190222436080876</v>
      </c>
      <c r="D51" s="50">
        <v>0.114067302087277</v>
      </c>
      <c r="E51" s="50">
        <f t="shared" si="6"/>
        <v>0.22180154326337106</v>
      </c>
      <c r="F51" s="50">
        <f t="shared" si="7"/>
        <v>4.3187653150768342E-2</v>
      </c>
      <c r="G51" s="51">
        <f t="shared" si="8"/>
        <v>-2.2210391352145184E-2</v>
      </c>
      <c r="H51" s="50">
        <v>-2.3030983868594701E-2</v>
      </c>
      <c r="I51" s="51">
        <f t="shared" si="9"/>
        <v>3.7038789135926474E-2</v>
      </c>
      <c r="J51" s="52">
        <v>3.9279212352311701E-2</v>
      </c>
      <c r="K51" s="53">
        <f t="shared" si="10"/>
        <v>3.6946333067213621</v>
      </c>
      <c r="L51" s="54">
        <f t="shared" si="11"/>
        <v>6.0488565329801416</v>
      </c>
      <c r="M51" s="232"/>
      <c r="N51" s="234"/>
      <c r="O51" s="234"/>
      <c r="P51" s="226"/>
      <c r="Q51" s="55">
        <v>-1.76483335659508E-3</v>
      </c>
      <c r="R51" s="49"/>
      <c r="S51" s="50"/>
      <c r="T51" s="50"/>
    </row>
    <row r="52" spans="1:23" s="48" customFormat="1" x14ac:dyDescent="0.25">
      <c r="A52" s="229"/>
      <c r="B52" s="49">
        <v>2</v>
      </c>
      <c r="C52" s="50">
        <v>0.17548863081863</v>
      </c>
      <c r="D52" s="50">
        <v>0.134346645269975</v>
      </c>
      <c r="E52" s="50">
        <f t="shared" si="6"/>
        <v>0.22100968449797379</v>
      </c>
      <c r="F52" s="50">
        <f t="shared" si="7"/>
        <v>4.168972967362114E-2</v>
      </c>
      <c r="G52" s="51">
        <f t="shared" si="8"/>
        <v>-2.5342216729486704E-2</v>
      </c>
      <c r="H52" s="50">
        <v>-2.63582618704498E-2</v>
      </c>
      <c r="I52" s="51">
        <f t="shared" si="9"/>
        <v>3.310295472454583E-2</v>
      </c>
      <c r="J52" s="52">
        <v>3.2982648593747901E-2</v>
      </c>
      <c r="K52" s="53">
        <f t="shared" si="10"/>
        <v>4.0092986016526551</v>
      </c>
      <c r="L52" s="54">
        <f t="shared" si="11"/>
        <v>0.36343018863123316</v>
      </c>
      <c r="M52" s="222">
        <v>-0.83478975574671499</v>
      </c>
      <c r="N52" s="224">
        <v>-0.77058253599049198</v>
      </c>
      <c r="O52" s="224">
        <v>1.38140952302927</v>
      </c>
      <c r="P52" s="226">
        <v>0.693161263386181</v>
      </c>
      <c r="Q52" s="55">
        <v>2.1363241204087899E-3</v>
      </c>
      <c r="R52" s="49"/>
      <c r="S52" s="50"/>
      <c r="T52" s="50"/>
    </row>
    <row r="53" spans="1:23" s="48" customFormat="1" ht="16.5" thickBot="1" x14ac:dyDescent="0.3">
      <c r="A53" s="230"/>
      <c r="B53" s="56">
        <v>3</v>
      </c>
      <c r="C53" s="58">
        <v>0.16052753074652701</v>
      </c>
      <c r="D53" s="97">
        <v>0.11663007800304</v>
      </c>
      <c r="E53" s="50">
        <f t="shared" si="6"/>
        <v>0.19842294026289492</v>
      </c>
      <c r="F53" s="50">
        <f t="shared" si="7"/>
        <v>-3.2985978114220831E-3</v>
      </c>
      <c r="G53" s="57">
        <f t="shared" si="8"/>
        <v>1.9388671467981287E-3</v>
      </c>
      <c r="H53" s="58">
        <v>0</v>
      </c>
      <c r="I53" s="57">
        <f t="shared" si="9"/>
        <v>-2.6686216870484736E-3</v>
      </c>
      <c r="J53" s="58">
        <v>0</v>
      </c>
      <c r="K53" s="59">
        <f t="shared" si="10"/>
        <v>100</v>
      </c>
      <c r="L53" s="60">
        <f t="shared" si="11"/>
        <v>100</v>
      </c>
      <c r="M53" s="223"/>
      <c r="N53" s="225"/>
      <c r="O53" s="225"/>
      <c r="P53" s="227"/>
      <c r="Q53" s="61">
        <v>0</v>
      </c>
      <c r="R53" s="56"/>
      <c r="S53" s="58"/>
      <c r="T53" s="58"/>
    </row>
    <row r="54" spans="1:23" x14ac:dyDescent="0.25">
      <c r="A54" s="194">
        <v>1419</v>
      </c>
      <c r="B54" s="6">
        <v>0</v>
      </c>
      <c r="C54" s="5">
        <v>0.22250588691509601</v>
      </c>
      <c r="D54" s="5">
        <v>2.3333604430554999E-3</v>
      </c>
      <c r="E54" s="5">
        <f t="shared" si="6"/>
        <v>0.22251812124595766</v>
      </c>
      <c r="F54" s="5">
        <f t="shared" si="7"/>
        <v>4.4539042434483832E-2</v>
      </c>
      <c r="G54" s="88">
        <f t="shared" si="8"/>
        <v>-4.6704348934045682E-4</v>
      </c>
      <c r="H54" s="5">
        <v>-2.47660064342646E-2</v>
      </c>
      <c r="I54" s="88">
        <f t="shared" si="9"/>
        <v>4.4536593620974389E-2</v>
      </c>
      <c r="J54" s="5">
        <v>1.18796956014718E-2</v>
      </c>
      <c r="K54" s="23">
        <f t="shared" si="10"/>
        <v>5202.7195538553215</v>
      </c>
      <c r="L54" s="24">
        <f t="shared" si="11"/>
        <v>73.325989628723903</v>
      </c>
      <c r="M54" s="197">
        <f>-1/12*C54*D54/(D54*D54+C54*C54)^2</f>
        <v>-1.7647392819587937E-2</v>
      </c>
      <c r="N54" s="199">
        <f>-1/0.96*(1-0.04*(C54*C54-D54*D54)/(C54*C54+D54*D54)^2)</f>
        <v>-0.20034423343735036</v>
      </c>
      <c r="O54" s="199">
        <f>1/0.96*(1-0.04*(D54*D54-C54*C54)/(C54*C54+D54*D54)^2)</f>
        <v>1.8829890998959831</v>
      </c>
      <c r="P54" s="201">
        <f>1/12*C54*D54/(C54*C54+D54*D54)^2</f>
        <v>1.7647392819587937E-2</v>
      </c>
      <c r="Q54" s="36" t="s">
        <v>15</v>
      </c>
      <c r="R54" s="35"/>
      <c r="S54" s="35"/>
      <c r="T54" s="89"/>
    </row>
    <row r="55" spans="1:23" x14ac:dyDescent="0.25">
      <c r="A55" s="195"/>
      <c r="B55" s="2">
        <v>1</v>
      </c>
      <c r="C55" s="30">
        <v>0.105607718609916</v>
      </c>
      <c r="D55" s="30">
        <v>0.192951450932385</v>
      </c>
      <c r="E55" s="30">
        <f t="shared" si="6"/>
        <v>0.21996193454073767</v>
      </c>
      <c r="F55" s="30">
        <f t="shared" si="7"/>
        <v>3.9700300230390353E-2</v>
      </c>
      <c r="G55" s="90">
        <f t="shared" si="8"/>
        <v>-3.4825255323831572E-2</v>
      </c>
      <c r="H55" s="30">
        <v>-3.5485857118764397E-2</v>
      </c>
      <c r="I55" s="90">
        <f t="shared" si="9"/>
        <v>1.9060834976807103E-2</v>
      </c>
      <c r="J55" s="20">
        <v>2.0167930096840099E-2</v>
      </c>
      <c r="K55" s="21">
        <f t="shared" si="10"/>
        <v>1.896904383873282</v>
      </c>
      <c r="L55" s="22">
        <f t="shared" si="11"/>
        <v>5.8082194267989351</v>
      </c>
      <c r="M55" s="198"/>
      <c r="N55" s="200"/>
      <c r="O55" s="200"/>
      <c r="P55" s="192"/>
      <c r="Q55" s="37">
        <v>-1.5541388968049301E-3</v>
      </c>
      <c r="R55" s="2"/>
      <c r="S55" s="30"/>
      <c r="T55" s="30"/>
    </row>
    <row r="56" spans="1:23" x14ac:dyDescent="0.25">
      <c r="A56" s="195"/>
      <c r="B56" s="2">
        <v>2</v>
      </c>
      <c r="C56" s="30">
        <v>8.2926738549511395E-2</v>
      </c>
      <c r="D56" s="30">
        <v>0.20362431001169901</v>
      </c>
      <c r="E56" s="30">
        <f t="shared" si="6"/>
        <v>0.21986292000744354</v>
      </c>
      <c r="F56" s="30">
        <f t="shared" si="7"/>
        <v>3.9511852401777063E-2</v>
      </c>
      <c r="G56" s="90">
        <f t="shared" si="8"/>
        <v>-3.6593590598740164E-2</v>
      </c>
      <c r="H56" s="30">
        <v>-3.8356842277377297E-2</v>
      </c>
      <c r="I56" s="90">
        <f t="shared" si="9"/>
        <v>1.4902872451699087E-2</v>
      </c>
      <c r="J56" s="20">
        <v>1.49908296678752E-2</v>
      </c>
      <c r="K56" s="21">
        <f t="shared" si="10"/>
        <v>4.8184713491816726</v>
      </c>
      <c r="L56" s="22">
        <f t="shared" si="11"/>
        <v>0.59020310655671626</v>
      </c>
      <c r="M56" s="188">
        <v>-0.75102409503844803</v>
      </c>
      <c r="N56" s="190">
        <v>-1.2240644664056901</v>
      </c>
      <c r="O56" s="190">
        <v>0.88608863953621098</v>
      </c>
      <c r="P56" s="192">
        <v>0.83453592960603096</v>
      </c>
      <c r="Q56" s="37">
        <v>1.57532063878604E-3</v>
      </c>
      <c r="R56" s="2"/>
      <c r="S56" s="30"/>
      <c r="T56" s="30"/>
    </row>
    <row r="57" spans="1:23" ht="16.5" thickBot="1" x14ac:dyDescent="0.3">
      <c r="A57" s="196"/>
      <c r="B57" s="14">
        <v>3</v>
      </c>
      <c r="C57" s="34">
        <v>8.4484378935394594E-2</v>
      </c>
      <c r="D57" s="98">
        <v>0.17953844417971601</v>
      </c>
      <c r="E57" s="34">
        <f t="shared" si="6"/>
        <v>0.19842294026289486</v>
      </c>
      <c r="F57" s="34">
        <f t="shared" si="7"/>
        <v>-3.2985978114221984E-3</v>
      </c>
      <c r="G57" s="91">
        <f t="shared" si="8"/>
        <v>2.9846605349800074E-3</v>
      </c>
      <c r="H57" s="34">
        <v>0</v>
      </c>
      <c r="I57" s="91">
        <f t="shared" si="9"/>
        <v>-1.404474639305451E-3</v>
      </c>
      <c r="J57" s="31">
        <v>0</v>
      </c>
      <c r="K57" s="25">
        <f t="shared" si="10"/>
        <v>100</v>
      </c>
      <c r="L57" s="26">
        <f t="shared" si="11"/>
        <v>100</v>
      </c>
      <c r="M57" s="189"/>
      <c r="N57" s="191"/>
      <c r="O57" s="191"/>
      <c r="P57" s="193"/>
      <c r="Q57" s="38">
        <v>0</v>
      </c>
      <c r="R57" s="3"/>
      <c r="S57" s="31"/>
      <c r="T57" s="31"/>
    </row>
    <row r="58" spans="1:23" x14ac:dyDescent="0.25">
      <c r="B58" s="30" t="s">
        <v>16</v>
      </c>
      <c r="C58" s="30">
        <v>0.18440870361653799</v>
      </c>
      <c r="D58" s="30">
        <v>0.148979292368354</v>
      </c>
      <c r="E58" s="30">
        <f t="shared" si="6"/>
        <v>0.23706834357228646</v>
      </c>
      <c r="F58" s="30">
        <f t="shared" si="7"/>
        <v>7.1188154366406159E-2</v>
      </c>
      <c r="G58" s="90">
        <f t="shared" si="8"/>
        <v>-4.4736301366540367E-2</v>
      </c>
      <c r="H58" s="30">
        <v>1</v>
      </c>
      <c r="I58" s="90">
        <f t="shared" si="9"/>
        <v>5.5375235097806591E-2</v>
      </c>
    </row>
    <row r="59" spans="1:23" x14ac:dyDescent="0.25">
      <c r="B59" s="30" t="s">
        <v>17</v>
      </c>
      <c r="C59" s="30">
        <v>0.20172950225219299</v>
      </c>
      <c r="D59" s="30">
        <v>0.106357482253751</v>
      </c>
      <c r="E59" s="30">
        <f t="shared" si="6"/>
        <v>0.22804978866527043</v>
      </c>
      <c r="F59" s="30">
        <f t="shared" si="7"/>
        <v>5.4843223511570935E-2</v>
      </c>
      <c r="G59" s="90">
        <f t="shared" si="8"/>
        <v>-2.557769163264613E-2</v>
      </c>
      <c r="H59" s="30"/>
      <c r="I59" s="90">
        <f t="shared" si="9"/>
        <v>4.8513512095965501E-2</v>
      </c>
      <c r="N59" s="171" t="s">
        <v>39</v>
      </c>
      <c r="O59" s="171"/>
      <c r="P59" s="171"/>
      <c r="Q59" s="171"/>
      <c r="R59" s="171"/>
      <c r="S59" s="172" t="s">
        <v>40</v>
      </c>
      <c r="T59" s="172"/>
      <c r="U59" s="172"/>
      <c r="V59" s="172"/>
      <c r="W59" s="172"/>
    </row>
    <row r="60" spans="1:23" x14ac:dyDescent="0.25">
      <c r="B60" s="30" t="s">
        <v>22</v>
      </c>
      <c r="C60" s="30">
        <v>0.16052753074652701</v>
      </c>
      <c r="D60" s="30">
        <v>0.11663007800304</v>
      </c>
      <c r="E60" s="30">
        <f t="shared" si="6"/>
        <v>0.19842294026289492</v>
      </c>
      <c r="F60" s="30">
        <f t="shared" si="7"/>
        <v>-3.2985978114220831E-3</v>
      </c>
      <c r="G60" s="90">
        <v>0</v>
      </c>
      <c r="H60" s="30"/>
      <c r="I60" s="90">
        <v>0</v>
      </c>
      <c r="N60" s="1" t="s">
        <v>19</v>
      </c>
      <c r="O60" s="1" t="s">
        <v>26</v>
      </c>
      <c r="P60" s="1" t="s">
        <v>20</v>
      </c>
      <c r="Q60" s="1" t="s">
        <v>27</v>
      </c>
      <c r="R60" s="1" t="s">
        <v>21</v>
      </c>
      <c r="S60" s="63" t="s">
        <v>19</v>
      </c>
      <c r="T60" s="63" t="s">
        <v>26</v>
      </c>
      <c r="U60" s="63" t="s">
        <v>20</v>
      </c>
      <c r="V60" s="63" t="s">
        <v>27</v>
      </c>
      <c r="W60" s="63" t="s">
        <v>21</v>
      </c>
    </row>
    <row r="61" spans="1:23" x14ac:dyDescent="0.25">
      <c r="B61" s="1" t="s">
        <v>18</v>
      </c>
      <c r="C61" s="1">
        <v>0.14493879257657299</v>
      </c>
      <c r="D61" s="1">
        <v>0.113482870854482</v>
      </c>
      <c r="E61" s="30">
        <f>SQRT(D61*D61+C61*C61)</f>
        <v>0.18408045950325605</v>
      </c>
      <c r="F61" s="30">
        <f t="shared" si="7"/>
        <v>-3.45998182758522E-2</v>
      </c>
      <c r="G61" s="90">
        <v>1.47518908612904E-2</v>
      </c>
      <c r="H61" s="30"/>
      <c r="I61" s="90">
        <f>F61*C61/E61</f>
        <v>-2.7242738842588331E-2</v>
      </c>
      <c r="M61" s="1">
        <v>1</v>
      </c>
      <c r="N61" s="1">
        <f>G58</f>
        <v>-4.4736301366540367E-2</v>
      </c>
      <c r="O61" s="1">
        <f>G58</f>
        <v>-4.4736301366540367E-2</v>
      </c>
      <c r="P61" s="62">
        <f>G58</f>
        <v>-4.4736301366540367E-2</v>
      </c>
      <c r="Q61" s="1">
        <f>G59</f>
        <v>-2.557769163264613E-2</v>
      </c>
      <c r="R61" s="62">
        <f>G59</f>
        <v>-2.557769163264613E-2</v>
      </c>
      <c r="S61" s="63">
        <f>I58</f>
        <v>5.5375235097806591E-2</v>
      </c>
      <c r="T61" s="63">
        <f>I58</f>
        <v>5.5375235097806591E-2</v>
      </c>
      <c r="U61" s="64">
        <f>I58</f>
        <v>5.5375235097806591E-2</v>
      </c>
      <c r="V61" s="63">
        <f>I59</f>
        <v>4.8513512095965501E-2</v>
      </c>
      <c r="W61" s="64">
        <f>I59</f>
        <v>4.8513512095965501E-2</v>
      </c>
    </row>
    <row r="62" spans="1:23" x14ac:dyDescent="0.25">
      <c r="B62" s="1" t="s">
        <v>24</v>
      </c>
      <c r="C62" s="1">
        <f>0.5*(C58+C59)</f>
        <v>0.19306910293436549</v>
      </c>
      <c r="D62" s="1">
        <f t="shared" ref="D62:I64" si="12">0.5*(D58+D59)</f>
        <v>0.12766838731105251</v>
      </c>
      <c r="E62" s="1">
        <f t="shared" si="12"/>
        <v>0.23255906611877844</v>
      </c>
      <c r="F62" s="1">
        <f t="shared" si="12"/>
        <v>6.301568893898854E-2</v>
      </c>
      <c r="G62" s="1">
        <f t="shared" si="12"/>
        <v>-3.5156996499593252E-2</v>
      </c>
      <c r="H62" s="1">
        <f t="shared" si="12"/>
        <v>0.5</v>
      </c>
      <c r="I62" s="1">
        <f t="shared" si="12"/>
        <v>5.1944373596886043E-2</v>
      </c>
      <c r="M62" s="1">
        <v>2</v>
      </c>
      <c r="N62" s="1">
        <f>G62</f>
        <v>-3.5156996499593252E-2</v>
      </c>
      <c r="O62" s="1">
        <f>G63</f>
        <v>-1.2788845816323065E-2</v>
      </c>
      <c r="P62" s="62">
        <f>G64</f>
        <v>7.3759454306452001E-3</v>
      </c>
      <c r="Q62" s="1">
        <f>G65</f>
        <v>-1.0202552819151426E-2</v>
      </c>
      <c r="R62" s="62">
        <f>G66</f>
        <v>-2.3972921157958158E-2</v>
      </c>
      <c r="S62" s="63">
        <f>I62</f>
        <v>5.1944373596886043E-2</v>
      </c>
      <c r="T62" s="63">
        <f>I63</f>
        <v>2.4256756047982751E-2</v>
      </c>
      <c r="U62" s="64">
        <f>I64</f>
        <v>-1.3621369421294166E-2</v>
      </c>
      <c r="V62" s="63">
        <f>I65</f>
        <v>1.2350817377148856E-2</v>
      </c>
      <c r="W62" s="64">
        <f>I66</f>
        <v>3.8100564822434395E-2</v>
      </c>
    </row>
    <row r="63" spans="1:23" x14ac:dyDescent="0.25">
      <c r="B63" s="1" t="s">
        <v>23</v>
      </c>
      <c r="C63" s="1">
        <f>0.5*(C60+C58)</f>
        <v>0.17246811718153249</v>
      </c>
      <c r="D63" s="1">
        <f>0.5*(D60+D58)</f>
        <v>0.13280468518569699</v>
      </c>
      <c r="E63" s="1">
        <f t="shared" si="12"/>
        <v>0.21323636446408267</v>
      </c>
      <c r="F63" s="1">
        <f t="shared" si="12"/>
        <v>2.5772312850074426E-2</v>
      </c>
      <c r="G63" s="1">
        <f t="shared" si="12"/>
        <v>-1.2788845816323065E-2</v>
      </c>
      <c r="H63" s="1">
        <f t="shared" si="12"/>
        <v>0</v>
      </c>
      <c r="I63" s="1">
        <f t="shared" si="12"/>
        <v>2.4256756047982751E-2</v>
      </c>
      <c r="M63" s="1">
        <v>3</v>
      </c>
      <c r="N63" s="1">
        <f>G59</f>
        <v>-2.557769163264613E-2</v>
      </c>
      <c r="O63" s="1">
        <f>G60</f>
        <v>0</v>
      </c>
      <c r="P63" s="62">
        <f>G61</f>
        <v>1.47518908612904E-2</v>
      </c>
      <c r="Q63" s="1">
        <f>G60</f>
        <v>0</v>
      </c>
      <c r="R63" s="62">
        <f>G61</f>
        <v>1.47518908612904E-2</v>
      </c>
      <c r="S63" s="63">
        <f>I59</f>
        <v>4.8513512095965501E-2</v>
      </c>
      <c r="T63" s="63">
        <f>I60</f>
        <v>0</v>
      </c>
      <c r="U63" s="64">
        <f>I61</f>
        <v>-2.7242738842588331E-2</v>
      </c>
      <c r="V63" s="63">
        <f>I60</f>
        <v>0</v>
      </c>
      <c r="W63" s="64">
        <f>I61</f>
        <v>-2.7242738842588331E-2</v>
      </c>
    </row>
    <row r="64" spans="1:23" x14ac:dyDescent="0.25">
      <c r="B64" s="1" t="s">
        <v>25</v>
      </c>
      <c r="C64" s="1">
        <f>0.5*(C58+C61)</f>
        <v>0.16467374809655549</v>
      </c>
      <c r="D64" s="1">
        <f>0.5*(D58+D61)</f>
        <v>0.131231081611418</v>
      </c>
      <c r="E64" s="1">
        <f t="shared" si="12"/>
        <v>0.1912516998830755</v>
      </c>
      <c r="F64" s="1">
        <f t="shared" si="12"/>
        <v>-1.8949208043637141E-2</v>
      </c>
      <c r="G64" s="1">
        <f t="shared" si="12"/>
        <v>7.3759454306452001E-3</v>
      </c>
      <c r="H64" s="1">
        <f t="shared" si="12"/>
        <v>0</v>
      </c>
      <c r="I64" s="1">
        <f t="shared" si="12"/>
        <v>-1.3621369421294166E-2</v>
      </c>
    </row>
    <row r="65" spans="2:22" x14ac:dyDescent="0.25">
      <c r="B65" s="1" t="s">
        <v>28</v>
      </c>
      <c r="C65" s="1">
        <f>0.5*(C59+C60)</f>
        <v>0.18112851649936001</v>
      </c>
      <c r="D65" s="1">
        <f>0.5*(D59+D60)</f>
        <v>0.1114937801283955</v>
      </c>
      <c r="E65" s="1">
        <f t="shared" ref="E65:I66" si="13">0.5*(E61+E62)</f>
        <v>0.20831976281101725</v>
      </c>
      <c r="F65" s="1">
        <f t="shared" si="13"/>
        <v>1.420793533156817E-2</v>
      </c>
      <c r="G65" s="1">
        <f t="shared" si="13"/>
        <v>-1.0202552819151426E-2</v>
      </c>
      <c r="H65" s="1">
        <f t="shared" si="13"/>
        <v>0.25</v>
      </c>
      <c r="I65" s="1">
        <f t="shared" si="13"/>
        <v>1.2350817377148856E-2</v>
      </c>
    </row>
    <row r="66" spans="2:22" x14ac:dyDescent="0.25">
      <c r="B66" s="1" t="s">
        <v>29</v>
      </c>
      <c r="C66" s="1">
        <f>0.5*(C59+C61)</f>
        <v>0.17333414741438299</v>
      </c>
      <c r="D66" s="1">
        <f>0.5*(D59+D61)</f>
        <v>0.1099201765541165</v>
      </c>
      <c r="E66" s="1">
        <f t="shared" si="13"/>
        <v>0.22289771529143054</v>
      </c>
      <c r="F66" s="1">
        <f t="shared" si="13"/>
        <v>4.439400089453148E-2</v>
      </c>
      <c r="G66" s="1">
        <f t="shared" si="13"/>
        <v>-2.3972921157958158E-2</v>
      </c>
      <c r="H66" s="1">
        <f t="shared" si="13"/>
        <v>0.25</v>
      </c>
      <c r="I66" s="1">
        <f t="shared" si="13"/>
        <v>3.8100564822434395E-2</v>
      </c>
      <c r="N66" s="62">
        <v>0</v>
      </c>
      <c r="O66" s="1">
        <v>0</v>
      </c>
      <c r="P66" s="62">
        <v>0</v>
      </c>
      <c r="Q66" s="1">
        <v>0</v>
      </c>
      <c r="R66" s="62">
        <v>0</v>
      </c>
      <c r="S66" s="1">
        <v>0</v>
      </c>
    </row>
    <row r="67" spans="2:22" x14ac:dyDescent="0.25">
      <c r="C67" s="1"/>
      <c r="D67" s="1"/>
      <c r="M67" s="1" t="s">
        <v>33</v>
      </c>
      <c r="N67" s="62">
        <f t="shared" ref="N67:S67" si="14">N68/2</f>
        <v>2.3003416935436949E-2</v>
      </c>
      <c r="O67" s="1">
        <f t="shared" si="14"/>
        <v>2.3003416935436949E-2</v>
      </c>
      <c r="P67" s="62">
        <f t="shared" si="14"/>
        <v>2.6541805787253701E-2</v>
      </c>
      <c r="Q67" s="1">
        <f t="shared" si="14"/>
        <v>2.0104614443582251E-2</v>
      </c>
      <c r="R67" s="62">
        <f t="shared" si="14"/>
        <v>2.86179832805003E-2</v>
      </c>
      <c r="S67" s="1">
        <f t="shared" si="14"/>
        <v>2.1231631351488499E-2</v>
      </c>
    </row>
    <row r="68" spans="2:22" x14ac:dyDescent="0.25">
      <c r="C68" s="1"/>
      <c r="D68" s="1"/>
      <c r="M68" s="1" t="s">
        <v>30</v>
      </c>
      <c r="N68" s="62">
        <v>4.6006833870873898E-2</v>
      </c>
      <c r="O68" s="1">
        <v>4.6006833870873898E-2</v>
      </c>
      <c r="P68" s="62">
        <v>5.3083611574507403E-2</v>
      </c>
      <c r="Q68" s="1">
        <v>4.0209228887164501E-2</v>
      </c>
      <c r="R68" s="62">
        <v>5.7235966561000599E-2</v>
      </c>
      <c r="S68" s="1">
        <v>4.2463262702976998E-2</v>
      </c>
    </row>
    <row r="69" spans="2:22" x14ac:dyDescent="0.25">
      <c r="C69" s="1"/>
      <c r="D69" s="1"/>
      <c r="M69" s="1" t="s">
        <v>31</v>
      </c>
      <c r="N69" s="62">
        <v>0.92642345774604395</v>
      </c>
      <c r="O69" s="1">
        <v>0.92642345774604395</v>
      </c>
      <c r="P69" s="62">
        <v>-0.66868889401109799</v>
      </c>
      <c r="Q69" s="27">
        <v>-0.80452212739749096</v>
      </c>
      <c r="R69" s="62">
        <v>-0.124491452295762</v>
      </c>
      <c r="S69" s="1">
        <v>-0.241917250239189</v>
      </c>
    </row>
    <row r="70" spans="2:22" x14ac:dyDescent="0.25">
      <c r="C70" s="1"/>
      <c r="D70" s="1"/>
      <c r="M70" s="1" t="s">
        <v>32</v>
      </c>
      <c r="N70" s="62">
        <v>0.37648316952801902</v>
      </c>
      <c r="O70" s="1">
        <v>0.37648316952801902</v>
      </c>
      <c r="P70" s="62">
        <v>0.743542307489098</v>
      </c>
      <c r="Q70" s="27">
        <v>0.59392267722980097</v>
      </c>
      <c r="R70" s="62">
        <v>-0.99222068024471799</v>
      </c>
      <c r="S70" s="1">
        <v>-0.97029688448263496</v>
      </c>
    </row>
    <row r="71" spans="2:22" x14ac:dyDescent="0.25">
      <c r="C71" s="1"/>
      <c r="D71" s="1"/>
      <c r="E71" s="1" t="s">
        <v>1</v>
      </c>
      <c r="F71" s="1" t="s">
        <v>2</v>
      </c>
      <c r="M71" s="1" t="s">
        <v>35</v>
      </c>
      <c r="N71" s="62">
        <v>1.1485527114568799E-3</v>
      </c>
      <c r="O71" s="1">
        <v>7.8908652171143397E-4</v>
      </c>
      <c r="P71" s="62"/>
      <c r="R71" s="62"/>
    </row>
    <row r="72" spans="2:22" x14ac:dyDescent="0.25">
      <c r="C72" s="1"/>
      <c r="D72" s="1" t="s">
        <v>26</v>
      </c>
      <c r="E72" s="1">
        <f>C58-C60</f>
        <v>2.3881172870010986E-2</v>
      </c>
      <c r="F72" s="1">
        <f>D58-D60</f>
        <v>3.2349214365314002E-2</v>
      </c>
      <c r="M72" s="1" t="s">
        <v>34</v>
      </c>
      <c r="N72" s="62">
        <f>N69*N68*0.5*(N63+N61)</f>
        <v>-1.4984548290054192E-3</v>
      </c>
      <c r="O72" s="1">
        <f>O69*O68*0.5*(N63+N61)</f>
        <v>-1.4984548290054192E-3</v>
      </c>
      <c r="P72" s="62">
        <f>P69*P68*0.5*(P63+P61)</f>
        <v>5.3216963706966339E-4</v>
      </c>
      <c r="Q72" s="1">
        <f>Q69*Q68*0.5*(O63+O61)</f>
        <v>7.2359210140875716E-4</v>
      </c>
      <c r="R72" s="62">
        <f>R69*R68*0.5*(R63+R61)</f>
        <v>3.8569018704999514E-5</v>
      </c>
      <c r="S72" s="1">
        <f>S69*S68*0.5*(Q63+Q61)</f>
        <v>1.3137464317106642E-4</v>
      </c>
      <c r="T72" s="62">
        <f>(R72+P72+N72)/$N$71</f>
        <v>-0.80772624884929856</v>
      </c>
      <c r="U72" s="1">
        <f>(S72+Q72+O72)/O71</f>
        <v>-0.8154848254535475</v>
      </c>
      <c r="V72" s="48">
        <f>M50</f>
        <v>-0.85423793511527568</v>
      </c>
    </row>
    <row r="73" spans="2:22" x14ac:dyDescent="0.25">
      <c r="C73" s="1"/>
      <c r="D73" s="1" t="s">
        <v>42</v>
      </c>
      <c r="E73" s="1">
        <f>Q69</f>
        <v>-0.80452212739749096</v>
      </c>
      <c r="F73" s="1">
        <f>Q70</f>
        <v>0.59392267722980097</v>
      </c>
      <c r="M73" s="1" t="s">
        <v>38</v>
      </c>
      <c r="N73" s="62">
        <f>N69*N68*(N63+4*N62+N61)/6</f>
        <v>-1.498454829005419E-3</v>
      </c>
      <c r="O73" s="1">
        <f>O69*O68*(N63+4*N62+N61)/6</f>
        <v>-1.498454829005419E-3</v>
      </c>
      <c r="P73" s="62">
        <f>P69*P68*(P63+4*P62+P61)/6</f>
        <v>2.8434336435540082E-6</v>
      </c>
      <c r="Q73" s="1">
        <f>Q69*Q68*(O63+4*O62+O61)/6</f>
        <v>5.1700344366771025E-4</v>
      </c>
      <c r="R73" s="62">
        <f>R69*R68*(R63+4*R62+R61)/6</f>
        <v>1.2673392566508605E-4</v>
      </c>
      <c r="S73" s="1">
        <f>S69*S68*(Q63+4*Q62+Q61)/6</f>
        <v>1.1366268153829308E-4</v>
      </c>
      <c r="T73" s="65">
        <f>(R73+P73+N73)/N71</f>
        <v>-1.1918281642994237</v>
      </c>
      <c r="U73" s="66">
        <f>(S73+Q73+O73)/O71</f>
        <v>-1.0997383429098322</v>
      </c>
    </row>
    <row r="74" spans="2:22" x14ac:dyDescent="0.25">
      <c r="C74" s="1"/>
      <c r="D74" s="1"/>
      <c r="T74" s="1" t="s">
        <v>36</v>
      </c>
      <c r="U74" s="1" t="s">
        <v>37</v>
      </c>
    </row>
    <row r="75" spans="2:22" x14ac:dyDescent="0.25">
      <c r="C75" s="1"/>
      <c r="D75" s="1"/>
      <c r="E75" s="1">
        <f>E73*E72</f>
        <v>-1.9212932002128483E-2</v>
      </c>
      <c r="F75" s="1">
        <f>F73*F72</f>
        <v>1.9212932002128029E-2</v>
      </c>
    </row>
    <row r="76" spans="2:22" x14ac:dyDescent="0.25">
      <c r="C76" s="1"/>
      <c r="D76" s="1"/>
      <c r="M76" s="1" t="s">
        <v>41</v>
      </c>
      <c r="N76" s="62">
        <f>N70*N68*0.5*(N61+N63)</f>
        <v>-6.0894725700390436E-4</v>
      </c>
      <c r="O76" s="1">
        <f>O70*O68*0.5*(N61+N63)</f>
        <v>-6.0894725700390436E-4</v>
      </c>
      <c r="P76" s="62">
        <f>P70*P68*0.5*(P61+P63)</f>
        <v>-5.9174100761399246E-4</v>
      </c>
      <c r="Q76" s="1">
        <f>Q70*Q68*0.5*(O61+O63)</f>
        <v>-5.341776732496207E-4</v>
      </c>
      <c r="R76" s="62">
        <f>R70*R68*0.5*(R61+R63)</f>
        <v>3.0740245430608285E-4</v>
      </c>
      <c r="S76" s="1">
        <f>S70*S68*0.5*(Q61+Q63)</f>
        <v>5.2692566091450197E-4</v>
      </c>
      <c r="T76" s="62">
        <f>(R76+P76+N76)/$N$71</f>
        <v>-0.7777490762080278</v>
      </c>
      <c r="U76" s="1">
        <f>(S76+Q76+O76)/O71</f>
        <v>-0.78090203340764308</v>
      </c>
      <c r="V76" s="48">
        <f>N50</f>
        <v>-0.70413118701963817</v>
      </c>
    </row>
    <row r="77" spans="2:22" x14ac:dyDescent="0.25">
      <c r="C77" s="1"/>
      <c r="D77" s="1"/>
      <c r="M77" s="1" t="s">
        <v>38</v>
      </c>
      <c r="N77" s="62">
        <f>N70*N68*(N61+4*N62+N63)/6</f>
        <v>-6.0894725700390436E-4</v>
      </c>
      <c r="O77" s="1">
        <f>O70*O68*(N61+4*N62+N63)/6</f>
        <v>-6.0894725700390436E-4</v>
      </c>
      <c r="P77" s="62">
        <f>P73*P72*(P67+4*P66+P65)/6</f>
        <v>6.6937949812886527E-12</v>
      </c>
      <c r="Q77" s="1">
        <f>Q70*Q68*(O61+4*O62+O63)/6</f>
        <v>-3.8166764958155546E-4</v>
      </c>
      <c r="R77" s="62">
        <f>R73*R72*(R67+4*R66+R65)/6</f>
        <v>2.3314132068069583E-11</v>
      </c>
      <c r="S77" s="1">
        <f>S70*S68*(Q61+4*Q62+Q63)/6</f>
        <v>4.5588541399798873E-4</v>
      </c>
      <c r="T77" s="65">
        <f>(R77+P77+N77)/N71</f>
        <v>-0.53018657386961299</v>
      </c>
      <c r="U77" s="66">
        <f>(S77+Q77+O77)/O71</f>
        <v>-0.6776563505706662</v>
      </c>
    </row>
    <row r="78" spans="2:22" x14ac:dyDescent="0.25">
      <c r="C78" s="1"/>
      <c r="D78" s="1"/>
      <c r="T78" s="1" t="s">
        <v>36</v>
      </c>
      <c r="U78" s="1" t="s">
        <v>37</v>
      </c>
    </row>
    <row r="80" spans="2:22" x14ac:dyDescent="0.25">
      <c r="P80" s="1" t="s">
        <v>48</v>
      </c>
      <c r="Q80" s="1" t="s">
        <v>47</v>
      </c>
    </row>
    <row r="81" spans="13:22" x14ac:dyDescent="0.25">
      <c r="P81" s="1" t="s">
        <v>46</v>
      </c>
      <c r="Q81" s="67" t="s">
        <v>45</v>
      </c>
      <c r="R81" s="1" t="s">
        <v>44</v>
      </c>
      <c r="S81" s="67" t="s">
        <v>43</v>
      </c>
    </row>
    <row r="82" spans="13:22" x14ac:dyDescent="0.25">
      <c r="M82" s="1" t="s">
        <v>49</v>
      </c>
      <c r="N82" s="62">
        <f>N69*N68*0.5*(S61+S63)</f>
        <v>2.2139632279684646E-3</v>
      </c>
      <c r="O82" s="67">
        <f>N69*N68*0.5*(S61+S63)</f>
        <v>2.2139632279684646E-3</v>
      </c>
      <c r="P82" s="62">
        <f>P69*P68*0.5*(U61+U63)</f>
        <v>-4.9930147265632755E-4</v>
      </c>
      <c r="Q82" s="67">
        <f>Q69*Q68*0.5*(T61+T63)</f>
        <v>-8.9567267535430885E-4</v>
      </c>
      <c r="R82" s="62">
        <f>R69*R68*0.5*(W61+W63)</f>
        <v>-7.578126263416989E-5</v>
      </c>
      <c r="S82" s="67">
        <f>S69*S68*0.5*(V61+V63)</f>
        <v>-2.4917984907003589E-4</v>
      </c>
      <c r="T82" s="62">
        <f>(R82+P82+N82)/$N$71</f>
        <v>1.426909253994213</v>
      </c>
      <c r="U82" s="1">
        <f>(S82+Q82+O82)/O71</f>
        <v>1.3548713279569737</v>
      </c>
      <c r="V82" s="48">
        <f>O50</f>
        <v>1.3792021463136952</v>
      </c>
    </row>
    <row r="83" spans="13:22" x14ac:dyDescent="0.25">
      <c r="M83" s="1" t="s">
        <v>38</v>
      </c>
      <c r="N83" s="62">
        <f>N69*N68*(S61+4*S62+S63)/6</f>
        <v>2.2139632279684642E-3</v>
      </c>
      <c r="O83" s="67">
        <f>N69*N68*(S61+4*S62+S63)/6</f>
        <v>2.2139632279684642E-3</v>
      </c>
      <c r="P83" s="62">
        <f>P69*P68*(U61+4*U62+U63)/6</f>
        <v>1.559060894975078E-4</v>
      </c>
      <c r="Q83" s="67">
        <f>Q69*Q68*(T61+4*T62+T63)/6</f>
        <v>-8.2168222592032077E-4</v>
      </c>
      <c r="R83" s="62">
        <f>R69*R68*(W61+4*W62+W63)/6</f>
        <v>-2.0624797438950507E-4</v>
      </c>
      <c r="S83" s="67">
        <f>S69*S68*(V61+4*V62+V63)/6</f>
        <v>-1.6764325241583726E-4</v>
      </c>
      <c r="T83" s="65">
        <f>(R83+P83+N83)/N71</f>
        <v>1.8837806236441903</v>
      </c>
      <c r="U83" s="66">
        <f>(S83+Q83+O83)/O71</f>
        <v>1.5519689108061481</v>
      </c>
    </row>
    <row r="84" spans="13:22" x14ac:dyDescent="0.25">
      <c r="O84" s="67"/>
      <c r="Q84" s="67"/>
      <c r="S84" s="67"/>
      <c r="T84" s="1" t="s">
        <v>36</v>
      </c>
      <c r="U84" s="1" t="s">
        <v>37</v>
      </c>
    </row>
    <row r="85" spans="13:22" x14ac:dyDescent="0.25">
      <c r="Q85" s="67"/>
    </row>
    <row r="86" spans="13:22" x14ac:dyDescent="0.25">
      <c r="M86" s="1" t="s">
        <v>50</v>
      </c>
      <c r="N86" s="62">
        <f>N70*N68*0.5*(S61+S63)</f>
        <v>8.9971803532692973E-4</v>
      </c>
      <c r="O86" s="67">
        <f>O70*O68*0.5*(S61+S63)</f>
        <v>8.9971803532692973E-4</v>
      </c>
      <c r="P86" s="62">
        <f>P70*P68*0.5*(U61+U63)</f>
        <v>5.5519356226279562E-4</v>
      </c>
      <c r="Q86" s="67">
        <f>Q70*Q68*0.5*(T61+T63)</f>
        <v>6.6121278104409854E-4</v>
      </c>
      <c r="R86" s="62">
        <f>R70*R68*0.5*(W61+W63)</f>
        <v>-6.0399115420424238E-4</v>
      </c>
      <c r="S86" s="67">
        <f>S70*S68*0.5*(V61+V63)</f>
        <v>-9.9942617150888292E-4</v>
      </c>
      <c r="T86" s="62">
        <f>(R86+P86+N86)/$N$71</f>
        <v>0.74086320540407258</v>
      </c>
      <c r="U86" s="1">
        <f>(S86+Q86+O86)/O71</f>
        <v>0.71158818382084277</v>
      </c>
      <c r="V86" s="48">
        <f>P50</f>
        <v>0.85423793511527568</v>
      </c>
    </row>
    <row r="87" spans="13:22" x14ac:dyDescent="0.25">
      <c r="M87" s="1" t="s">
        <v>38</v>
      </c>
      <c r="N87" s="62">
        <f>N70*N68*(S61+4*S62+S63)/6</f>
        <v>8.9971803532692962E-4</v>
      </c>
      <c r="O87" s="67">
        <f>O70*O68*(S61+4*S62+S63)/6</f>
        <v>8.9971803532692962E-4</v>
      </c>
      <c r="P87" s="62">
        <f>P70*P68*(U61+4*U62+U63)/6</f>
        <v>-1.7335830544638124E-4</v>
      </c>
      <c r="Q87" s="67">
        <f>Q70*Q68*(T61+4*T62+T63)/6</f>
        <v>6.0659078331306681E-4</v>
      </c>
      <c r="R87" s="62">
        <f>R70*R68*(W61+4*W62+W63)/6</f>
        <v>-1.6438357949400875E-3</v>
      </c>
      <c r="S87" s="67">
        <f>S70*S68*(V61+4*V62+V63)/6</f>
        <v>-6.7239407426627747E-4</v>
      </c>
      <c r="T87" s="65">
        <f>(R87+P87+N87)/N71</f>
        <v>-0.79881058649521453</v>
      </c>
      <c r="U87" s="66">
        <f>(S87+Q87+O87)/O71</f>
        <v>1.0568102754626425</v>
      </c>
    </row>
    <row r="88" spans="13:22" x14ac:dyDescent="0.25">
      <c r="T88" s="1" t="s">
        <v>36</v>
      </c>
      <c r="U88" s="1" t="s">
        <v>37</v>
      </c>
    </row>
  </sheetData>
  <mergeCells count="136">
    <mergeCell ref="M56:M57"/>
    <mergeCell ref="N56:N57"/>
    <mergeCell ref="O56:O57"/>
    <mergeCell ref="P56:P57"/>
    <mergeCell ref="A54:A57"/>
    <mergeCell ref="M54:M55"/>
    <mergeCell ref="N54:N55"/>
    <mergeCell ref="O54:O55"/>
    <mergeCell ref="P54:P55"/>
    <mergeCell ref="M52:M53"/>
    <mergeCell ref="N52:N53"/>
    <mergeCell ref="O52:O53"/>
    <mergeCell ref="P52:P53"/>
    <mergeCell ref="A50:A53"/>
    <mergeCell ref="M50:M51"/>
    <mergeCell ref="N50:N51"/>
    <mergeCell ref="O50:O51"/>
    <mergeCell ref="P50:P51"/>
    <mergeCell ref="M48:M49"/>
    <mergeCell ref="N48:N49"/>
    <mergeCell ref="O48:O49"/>
    <mergeCell ref="P48:P49"/>
    <mergeCell ref="A46:A49"/>
    <mergeCell ref="M46:M47"/>
    <mergeCell ref="N46:N47"/>
    <mergeCell ref="O46:O47"/>
    <mergeCell ref="P46:P47"/>
    <mergeCell ref="P40:P41"/>
    <mergeCell ref="A38:A41"/>
    <mergeCell ref="M38:M39"/>
    <mergeCell ref="N38:N39"/>
    <mergeCell ref="O38:O39"/>
    <mergeCell ref="P38:P39"/>
    <mergeCell ref="M44:M45"/>
    <mergeCell ref="N44:N45"/>
    <mergeCell ref="O44:O45"/>
    <mergeCell ref="P44:P45"/>
    <mergeCell ref="A42:A45"/>
    <mergeCell ref="M42:M43"/>
    <mergeCell ref="N42:N43"/>
    <mergeCell ref="O42:O43"/>
    <mergeCell ref="P42:P43"/>
    <mergeCell ref="R22:S22"/>
    <mergeCell ref="M24:M25"/>
    <mergeCell ref="N24:N25"/>
    <mergeCell ref="O24:O25"/>
    <mergeCell ref="P24:P25"/>
    <mergeCell ref="A22:A25"/>
    <mergeCell ref="M22:M23"/>
    <mergeCell ref="N22:N23"/>
    <mergeCell ref="O22:O23"/>
    <mergeCell ref="P22:P23"/>
    <mergeCell ref="A2:A5"/>
    <mergeCell ref="A6:A9"/>
    <mergeCell ref="A10:A13"/>
    <mergeCell ref="A14:A17"/>
    <mergeCell ref="M2:M3"/>
    <mergeCell ref="M4:M5"/>
    <mergeCell ref="M14:M15"/>
    <mergeCell ref="M16:M17"/>
    <mergeCell ref="P2:P3"/>
    <mergeCell ref="O2:O3"/>
    <mergeCell ref="N2:N3"/>
    <mergeCell ref="P4:P5"/>
    <mergeCell ref="O4:O5"/>
    <mergeCell ref="N4:N5"/>
    <mergeCell ref="P6:P7"/>
    <mergeCell ref="O6:O7"/>
    <mergeCell ref="N6:N7"/>
    <mergeCell ref="M6:M7"/>
    <mergeCell ref="P8:P9"/>
    <mergeCell ref="O8:O9"/>
    <mergeCell ref="N8:N9"/>
    <mergeCell ref="M8:M9"/>
    <mergeCell ref="P12:P13"/>
    <mergeCell ref="O12:O13"/>
    <mergeCell ref="N20:N21"/>
    <mergeCell ref="O20:O21"/>
    <mergeCell ref="P20:P21"/>
    <mergeCell ref="N12:N13"/>
    <mergeCell ref="M12:M13"/>
    <mergeCell ref="P10:P11"/>
    <mergeCell ref="O10:O11"/>
    <mergeCell ref="N10:N11"/>
    <mergeCell ref="M10:M11"/>
    <mergeCell ref="P14:P15"/>
    <mergeCell ref="O14:O15"/>
    <mergeCell ref="N14:N15"/>
    <mergeCell ref="R14:S14"/>
    <mergeCell ref="R18:S18"/>
    <mergeCell ref="R2:S2"/>
    <mergeCell ref="R6:S6"/>
    <mergeCell ref="R10:S10"/>
    <mergeCell ref="A26:A29"/>
    <mergeCell ref="M26:M27"/>
    <mergeCell ref="N26:N27"/>
    <mergeCell ref="O26:O27"/>
    <mergeCell ref="P26:P27"/>
    <mergeCell ref="R26:S26"/>
    <mergeCell ref="M28:M29"/>
    <mergeCell ref="N28:N29"/>
    <mergeCell ref="O28:O29"/>
    <mergeCell ref="P28:P29"/>
    <mergeCell ref="O16:O17"/>
    <mergeCell ref="N16:N17"/>
    <mergeCell ref="P16:P17"/>
    <mergeCell ref="A18:A21"/>
    <mergeCell ref="M18:M19"/>
    <mergeCell ref="N18:N19"/>
    <mergeCell ref="O18:O19"/>
    <mergeCell ref="P18:P19"/>
    <mergeCell ref="M20:M21"/>
    <mergeCell ref="N59:R59"/>
    <mergeCell ref="S59:W59"/>
    <mergeCell ref="A30:A33"/>
    <mergeCell ref="M30:M31"/>
    <mergeCell ref="N30:N31"/>
    <mergeCell ref="O30:O31"/>
    <mergeCell ref="P30:P31"/>
    <mergeCell ref="R30:S30"/>
    <mergeCell ref="M32:M33"/>
    <mergeCell ref="N32:N33"/>
    <mergeCell ref="O32:O33"/>
    <mergeCell ref="P32:P33"/>
    <mergeCell ref="M36:M37"/>
    <mergeCell ref="N36:N37"/>
    <mergeCell ref="O36:O37"/>
    <mergeCell ref="P36:P37"/>
    <mergeCell ref="A34:A37"/>
    <mergeCell ref="M34:M35"/>
    <mergeCell ref="N34:N35"/>
    <mergeCell ref="O34:O35"/>
    <mergeCell ref="P34:P35"/>
    <mergeCell ref="M40:M41"/>
    <mergeCell ref="N40:N41"/>
    <mergeCell ref="O40:O41"/>
  </mergeCells>
  <conditionalFormatting sqref="K2:L33 K58:L1048576">
    <cfRule type="cellIs" dxfId="25" priority="7" operator="greaterThan">
      <formula>5</formula>
    </cfRule>
  </conditionalFormatting>
  <conditionalFormatting sqref="K34:L37">
    <cfRule type="cellIs" dxfId="24" priority="6" operator="greaterThan">
      <formula>5</formula>
    </cfRule>
  </conditionalFormatting>
  <conditionalFormatting sqref="K38:L41">
    <cfRule type="cellIs" dxfId="23" priority="5" operator="greaterThan">
      <formula>5</formula>
    </cfRule>
  </conditionalFormatting>
  <conditionalFormatting sqref="K42:L45">
    <cfRule type="cellIs" dxfId="22" priority="4" operator="greaterThan">
      <formula>5</formula>
    </cfRule>
  </conditionalFormatting>
  <conditionalFormatting sqref="K46:L49">
    <cfRule type="cellIs" dxfId="21" priority="3" operator="greaterThan">
      <formula>5</formula>
    </cfRule>
  </conditionalFormatting>
  <conditionalFormatting sqref="K50:L53">
    <cfRule type="cellIs" dxfId="20" priority="2" operator="greaterThan">
      <formula>5</formula>
    </cfRule>
  </conditionalFormatting>
  <conditionalFormatting sqref="K54:L57">
    <cfRule type="cellIs" dxfId="19" priority="1" operator="greaterThan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O25" sqref="O25"/>
    </sheetView>
  </sheetViews>
  <sheetFormatPr defaultRowHeight="15.75" x14ac:dyDescent="0.25"/>
  <cols>
    <col min="15" max="15" width="12.125" bestFit="1" customWidth="1"/>
  </cols>
  <sheetData>
    <row r="1" spans="1:23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8</v>
      </c>
      <c r="I1" s="10" t="s">
        <v>5</v>
      </c>
      <c r="J1" s="10" t="s">
        <v>9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12" t="s">
        <v>54</v>
      </c>
      <c r="Q1" s="103"/>
      <c r="R1" s="103"/>
      <c r="S1" s="103"/>
      <c r="T1" s="103"/>
      <c r="U1" s="103"/>
      <c r="V1" s="1"/>
      <c r="W1" s="1"/>
    </row>
    <row r="2" spans="1:23" x14ac:dyDescent="0.25">
      <c r="A2" s="236">
        <v>265</v>
      </c>
      <c r="B2" s="40">
        <v>0</v>
      </c>
      <c r="C2" s="41">
        <v>0.17611626891648099</v>
      </c>
      <c r="D2" s="41">
        <v>0.119777285151598</v>
      </c>
      <c r="E2" s="41">
        <f t="shared" ref="E2:E13" si="0">SQRT(D2*D2+C2*C2)</f>
        <v>0.21298717852337842</v>
      </c>
      <c r="F2" s="41">
        <f t="shared" ref="F2:F13" si="1">1/0.96*(E2-0.04/E2)</f>
        <v>2.6231715040579813E-2</v>
      </c>
      <c r="G2" s="42">
        <f t="shared" ref="G2:G11" si="2">-F2*D2/E2</f>
        <v>-1.4751890861290105E-2</v>
      </c>
      <c r="H2" s="41">
        <v>-1.5655313257074099E-2</v>
      </c>
      <c r="I2" s="42">
        <f t="shared" ref="I2:I11" si="3">F2*C2/E2</f>
        <v>2.169065674401692E-2</v>
      </c>
      <c r="J2" s="41">
        <v>2.3750757772751999E-2</v>
      </c>
      <c r="K2" s="43">
        <f t="shared" ref="K2:K9" si="4">ABS((G2-H2)/G2)*100</f>
        <v>6.1241125241417755</v>
      </c>
      <c r="L2" s="109">
        <f t="shared" ref="L2:L9" si="5">ABS((I2-J2)/I2)*100</f>
        <v>9.4976424782681139</v>
      </c>
      <c r="M2" s="239">
        <f>-1/12*C2*D2/(D2*D2+C2*C2)^2</f>
        <v>-0.85423793511527568</v>
      </c>
      <c r="N2" s="241">
        <f>-1/0.96*(1-0.04*(C2*C2-D2*D2)/(C2*C2+D2*D2)^2)</f>
        <v>-0.70413118701963817</v>
      </c>
      <c r="O2" s="241">
        <f>1/0.96*(1-0.04*(D2*D2-C2*C2)/(C2*C2+D2*D2)^2)</f>
        <v>1.3792021463136952</v>
      </c>
      <c r="P2" s="243">
        <f>1/12*C2*D2/(C2*C2+D2*D2)^2</f>
        <v>0.85423793511527568</v>
      </c>
      <c r="Q2" s="106"/>
      <c r="R2" s="104"/>
      <c r="S2" s="104"/>
      <c r="T2" s="105"/>
      <c r="U2" s="106"/>
      <c r="V2" s="48"/>
      <c r="W2" s="48"/>
    </row>
    <row r="3" spans="1:23" x14ac:dyDescent="0.25">
      <c r="A3" s="237"/>
      <c r="B3" s="49">
        <v>1</v>
      </c>
      <c r="C3" s="50">
        <v>0.190222436080876</v>
      </c>
      <c r="D3" s="50">
        <v>0.114067302087277</v>
      </c>
      <c r="E3" s="50">
        <f t="shared" si="0"/>
        <v>0.22180154326337106</v>
      </c>
      <c r="F3" s="50">
        <f t="shared" si="1"/>
        <v>4.3187653150768342E-2</v>
      </c>
      <c r="G3" s="51">
        <f t="shared" si="2"/>
        <v>-2.2210391352145184E-2</v>
      </c>
      <c r="H3" s="50">
        <v>-2.3030983868594701E-2</v>
      </c>
      <c r="I3" s="51">
        <f t="shared" si="3"/>
        <v>3.7038789135926474E-2</v>
      </c>
      <c r="J3" s="52">
        <v>3.9279212352311701E-2</v>
      </c>
      <c r="K3" s="53">
        <f t="shared" si="4"/>
        <v>3.6946333067213621</v>
      </c>
      <c r="L3" s="110">
        <f t="shared" si="5"/>
        <v>6.0488565329801416</v>
      </c>
      <c r="M3" s="240"/>
      <c r="N3" s="242"/>
      <c r="O3" s="242"/>
      <c r="P3" s="244"/>
      <c r="Q3" s="106"/>
      <c r="R3" s="106"/>
      <c r="S3" s="106"/>
      <c r="T3" s="106"/>
      <c r="U3" s="106"/>
      <c r="V3" s="48"/>
      <c r="W3" s="48"/>
    </row>
    <row r="4" spans="1:23" x14ac:dyDescent="0.25">
      <c r="A4" s="237"/>
      <c r="B4" s="49">
        <v>2</v>
      </c>
      <c r="C4" s="50">
        <v>0.17548863081863</v>
      </c>
      <c r="D4" s="50">
        <v>0.134346645269975</v>
      </c>
      <c r="E4" s="50">
        <f t="shared" si="0"/>
        <v>0.22100968449797379</v>
      </c>
      <c r="F4" s="50">
        <f t="shared" si="1"/>
        <v>4.168972967362114E-2</v>
      </c>
      <c r="G4" s="51">
        <f t="shared" si="2"/>
        <v>-2.5342216729486704E-2</v>
      </c>
      <c r="H4" s="50">
        <v>-2.63582618704498E-2</v>
      </c>
      <c r="I4" s="51">
        <f t="shared" si="3"/>
        <v>3.310295472454583E-2</v>
      </c>
      <c r="J4" s="52">
        <v>3.2982648593747901E-2</v>
      </c>
      <c r="K4" s="53">
        <f t="shared" si="4"/>
        <v>4.0092986016526551</v>
      </c>
      <c r="L4" s="110">
        <f t="shared" si="5"/>
        <v>0.36343018863123316</v>
      </c>
      <c r="M4" s="245">
        <v>-0.83478975574671499</v>
      </c>
      <c r="N4" s="247">
        <v>-0.77058253599049198</v>
      </c>
      <c r="O4" s="247">
        <v>1.38140952302927</v>
      </c>
      <c r="P4" s="249">
        <v>0.693161263386181</v>
      </c>
      <c r="Q4" s="106"/>
      <c r="R4" s="106"/>
      <c r="S4" s="106"/>
      <c r="T4" s="106"/>
      <c r="U4" s="106"/>
      <c r="V4" s="48"/>
      <c r="W4" s="48"/>
    </row>
    <row r="5" spans="1:23" ht="16.5" thickBot="1" x14ac:dyDescent="0.3">
      <c r="A5" s="238"/>
      <c r="B5" s="56">
        <v>3</v>
      </c>
      <c r="C5" s="58">
        <v>0.16052753074652701</v>
      </c>
      <c r="D5" s="97">
        <v>0.11663007800304</v>
      </c>
      <c r="E5" s="50">
        <f t="shared" si="0"/>
        <v>0.19842294026289492</v>
      </c>
      <c r="F5" s="50">
        <f t="shared" si="1"/>
        <v>-3.2985978114220831E-3</v>
      </c>
      <c r="G5" s="57">
        <f t="shared" si="2"/>
        <v>1.9388671467981287E-3</v>
      </c>
      <c r="H5" s="58">
        <v>0</v>
      </c>
      <c r="I5" s="57">
        <f t="shared" si="3"/>
        <v>-2.6686216870484736E-3</v>
      </c>
      <c r="J5" s="58">
        <v>0</v>
      </c>
      <c r="K5" s="59">
        <f t="shared" si="4"/>
        <v>100</v>
      </c>
      <c r="L5" s="111">
        <f t="shared" si="5"/>
        <v>100</v>
      </c>
      <c r="M5" s="246"/>
      <c r="N5" s="248"/>
      <c r="O5" s="248"/>
      <c r="P5" s="250"/>
      <c r="Q5" s="106"/>
      <c r="R5" s="106"/>
      <c r="S5" s="106"/>
      <c r="T5" s="106"/>
      <c r="U5" s="106"/>
      <c r="V5" s="48"/>
      <c r="W5" s="48"/>
    </row>
    <row r="6" spans="1:23" x14ac:dyDescent="0.25">
      <c r="A6" s="194">
        <v>1419</v>
      </c>
      <c r="B6" s="4">
        <v>0</v>
      </c>
      <c r="C6" s="5">
        <v>0.22250588691509601</v>
      </c>
      <c r="D6" s="5">
        <v>2.3333604430554999E-3</v>
      </c>
      <c r="E6" s="5">
        <f t="shared" si="0"/>
        <v>0.22251812124595766</v>
      </c>
      <c r="F6" s="5">
        <f t="shared" si="1"/>
        <v>4.4539042434483832E-2</v>
      </c>
      <c r="G6" s="88">
        <f t="shared" si="2"/>
        <v>-4.6704348934045682E-4</v>
      </c>
      <c r="H6" s="5">
        <v>-2.47660064342646E-2</v>
      </c>
      <c r="I6" s="88">
        <f t="shared" si="3"/>
        <v>4.4536593620974389E-2</v>
      </c>
      <c r="J6" s="5">
        <v>1.18796956014718E-2</v>
      </c>
      <c r="K6" s="23">
        <f t="shared" si="4"/>
        <v>5202.7195538553215</v>
      </c>
      <c r="L6" s="115">
        <f t="shared" si="5"/>
        <v>73.325989628723903</v>
      </c>
      <c r="M6" s="197">
        <f>-1/12*C6*D6/(D6*D6+C6*C6)^2</f>
        <v>-1.7647392819587937E-2</v>
      </c>
      <c r="N6" s="199">
        <f>-1/0.96*(1-0.04*(C6*C6-D6*D6)/(C6*C6+D6*D6)^2)</f>
        <v>-0.20034423343735036</v>
      </c>
      <c r="O6" s="199">
        <f>1/0.96*(1-0.04*(D6*D6-C6*C6)/(C6*C6+D6*D6)^2)</f>
        <v>1.8829890998959831</v>
      </c>
      <c r="P6" s="201">
        <f>1/12*C6*D6/(C6*C6+D6*D6)^2</f>
        <v>1.7647392819587937E-2</v>
      </c>
      <c r="Q6" s="103"/>
      <c r="R6" s="107"/>
      <c r="S6" s="107"/>
      <c r="T6" s="108"/>
      <c r="U6" s="103"/>
      <c r="V6" s="1"/>
      <c r="W6" s="1"/>
    </row>
    <row r="7" spans="1:23" x14ac:dyDescent="0.25">
      <c r="A7" s="195"/>
      <c r="B7" s="32">
        <v>1</v>
      </c>
      <c r="C7" s="30">
        <v>0.105607718609916</v>
      </c>
      <c r="D7" s="30">
        <v>0.192951450932385</v>
      </c>
      <c r="E7" s="30">
        <f t="shared" si="0"/>
        <v>0.21996193454073767</v>
      </c>
      <c r="F7" s="30">
        <f t="shared" si="1"/>
        <v>3.9700300230390353E-2</v>
      </c>
      <c r="G7" s="90">
        <f t="shared" si="2"/>
        <v>-3.4825255323831572E-2</v>
      </c>
      <c r="H7" s="30">
        <v>-3.5485857118764397E-2</v>
      </c>
      <c r="I7" s="90">
        <f t="shared" si="3"/>
        <v>1.9060834976807103E-2</v>
      </c>
      <c r="J7" s="20">
        <v>2.0167930096840099E-2</v>
      </c>
      <c r="K7" s="21">
        <f t="shared" si="4"/>
        <v>1.896904383873282</v>
      </c>
      <c r="L7" s="15">
        <f t="shared" si="5"/>
        <v>5.8082194267989351</v>
      </c>
      <c r="M7" s="198"/>
      <c r="N7" s="200"/>
      <c r="O7" s="200"/>
      <c r="P7" s="192"/>
      <c r="Q7" s="103"/>
      <c r="R7" s="103"/>
      <c r="S7" s="103"/>
      <c r="T7" s="103"/>
      <c r="U7" s="103"/>
      <c r="V7" s="1"/>
      <c r="W7" s="1"/>
    </row>
    <row r="8" spans="1:23" x14ac:dyDescent="0.25">
      <c r="A8" s="195"/>
      <c r="B8" s="32">
        <v>2</v>
      </c>
      <c r="C8" s="30">
        <v>8.2926738549511395E-2</v>
      </c>
      <c r="D8" s="30">
        <v>0.20362431001169901</v>
      </c>
      <c r="E8" s="30">
        <f t="shared" si="0"/>
        <v>0.21986292000744354</v>
      </c>
      <c r="F8" s="30">
        <f t="shared" si="1"/>
        <v>3.9511852401777063E-2</v>
      </c>
      <c r="G8" s="90">
        <f t="shared" si="2"/>
        <v>-3.6593590598740164E-2</v>
      </c>
      <c r="H8" s="30">
        <v>-3.8356842277377297E-2</v>
      </c>
      <c r="I8" s="90">
        <f t="shared" si="3"/>
        <v>1.4902872451699087E-2</v>
      </c>
      <c r="J8" s="20">
        <v>1.49908296678752E-2</v>
      </c>
      <c r="K8" s="21">
        <f t="shared" si="4"/>
        <v>4.8184713491816726</v>
      </c>
      <c r="L8" s="15">
        <f t="shared" si="5"/>
        <v>0.59020310655671626</v>
      </c>
      <c r="M8" s="198">
        <v>-0.75102409503844803</v>
      </c>
      <c r="N8" s="190">
        <v>-1.2240644664056901</v>
      </c>
      <c r="O8" s="190">
        <v>0.88608863953621098</v>
      </c>
      <c r="P8" s="192">
        <v>0.83453592960603096</v>
      </c>
      <c r="Q8" s="103"/>
      <c r="R8" s="103"/>
      <c r="S8" s="103"/>
      <c r="T8" s="103"/>
      <c r="U8" s="103"/>
      <c r="V8" s="1"/>
      <c r="W8" s="1"/>
    </row>
    <row r="9" spans="1:23" ht="16.5" thickBot="1" x14ac:dyDescent="0.3">
      <c r="A9" s="196"/>
      <c r="B9" s="33">
        <v>3</v>
      </c>
      <c r="C9" s="31">
        <v>8.4484378935394594E-2</v>
      </c>
      <c r="D9" s="29">
        <v>0.17953844417971601</v>
      </c>
      <c r="E9" s="31">
        <f t="shared" si="0"/>
        <v>0.19842294026289486</v>
      </c>
      <c r="F9" s="31">
        <f t="shared" si="1"/>
        <v>-3.2985978114221984E-3</v>
      </c>
      <c r="G9" s="93">
        <f t="shared" si="2"/>
        <v>2.9846605349800074E-3</v>
      </c>
      <c r="H9" s="31">
        <v>0</v>
      </c>
      <c r="I9" s="93">
        <f t="shared" si="3"/>
        <v>-1.404474639305451E-3</v>
      </c>
      <c r="J9" s="31">
        <v>0</v>
      </c>
      <c r="K9" s="25">
        <f t="shared" si="4"/>
        <v>100</v>
      </c>
      <c r="L9" s="116">
        <f t="shared" si="5"/>
        <v>100</v>
      </c>
      <c r="M9" s="212"/>
      <c r="N9" s="191"/>
      <c r="O9" s="191"/>
      <c r="P9" s="193"/>
      <c r="Q9" s="103"/>
      <c r="R9" s="103"/>
      <c r="S9" s="103"/>
      <c r="T9" s="103"/>
      <c r="U9" s="103"/>
      <c r="V9" s="1"/>
      <c r="W9" s="1"/>
    </row>
    <row r="10" spans="1:23" x14ac:dyDescent="0.25">
      <c r="A10" s="1"/>
      <c r="B10" s="113" t="s">
        <v>16</v>
      </c>
      <c r="C10" s="113">
        <v>0.18440870361653799</v>
      </c>
      <c r="D10" s="113">
        <v>0.148979292368354</v>
      </c>
      <c r="E10" s="113">
        <f t="shared" si="0"/>
        <v>0.23706834357228646</v>
      </c>
      <c r="F10" s="113">
        <f t="shared" si="1"/>
        <v>7.1188154366406159E-2</v>
      </c>
      <c r="G10" s="114">
        <f t="shared" si="2"/>
        <v>-4.4736301366540367E-2</v>
      </c>
      <c r="H10" s="113">
        <v>1</v>
      </c>
      <c r="I10" s="114">
        <f t="shared" si="3"/>
        <v>5.5375235097806591E-2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/>
      <c r="B11" s="30" t="s">
        <v>17</v>
      </c>
      <c r="C11" s="30">
        <v>0.20172950225219299</v>
      </c>
      <c r="D11" s="30">
        <v>0.106357482253751</v>
      </c>
      <c r="E11" s="30">
        <f t="shared" si="0"/>
        <v>0.22804978866527043</v>
      </c>
      <c r="F11" s="30">
        <f t="shared" si="1"/>
        <v>5.4843223511570935E-2</v>
      </c>
      <c r="G11" s="90">
        <f t="shared" si="2"/>
        <v>-2.557769163264613E-2</v>
      </c>
      <c r="H11" s="30"/>
      <c r="I11" s="90">
        <f t="shared" si="3"/>
        <v>4.8513512095965501E-2</v>
      </c>
      <c r="J11" s="1"/>
      <c r="K11" s="1"/>
      <c r="L11" s="1"/>
      <c r="M11" s="1"/>
      <c r="N11" s="171" t="s">
        <v>39</v>
      </c>
      <c r="O11" s="171"/>
      <c r="P11" s="171"/>
      <c r="Q11" s="171"/>
      <c r="R11" s="171"/>
      <c r="S11" s="172" t="s">
        <v>40</v>
      </c>
      <c r="T11" s="172"/>
      <c r="U11" s="172"/>
      <c r="V11" s="172"/>
      <c r="W11" s="172"/>
    </row>
    <row r="12" spans="1:23" x14ac:dyDescent="0.25">
      <c r="A12" s="1"/>
      <c r="B12" s="30" t="s">
        <v>22</v>
      </c>
      <c r="C12" s="30">
        <v>0.16052753074652701</v>
      </c>
      <c r="D12" s="30">
        <v>0.11663007800304</v>
      </c>
      <c r="E12" s="30">
        <f t="shared" si="0"/>
        <v>0.19842294026289492</v>
      </c>
      <c r="F12" s="30">
        <f t="shared" si="1"/>
        <v>-3.2985978114220831E-3</v>
      </c>
      <c r="G12" s="90">
        <v>0</v>
      </c>
      <c r="H12" s="30"/>
      <c r="I12" s="90">
        <v>0</v>
      </c>
      <c r="J12" s="1"/>
      <c r="K12" s="1"/>
      <c r="L12" s="1"/>
      <c r="M12" s="1"/>
      <c r="N12" s="1" t="s">
        <v>19</v>
      </c>
      <c r="O12" s="1" t="s">
        <v>26</v>
      </c>
      <c r="P12" s="1" t="s">
        <v>20</v>
      </c>
      <c r="Q12" s="1" t="s">
        <v>27</v>
      </c>
      <c r="R12" s="1" t="s">
        <v>21</v>
      </c>
      <c r="S12" s="63" t="s">
        <v>19</v>
      </c>
      <c r="T12" s="63" t="s">
        <v>26</v>
      </c>
      <c r="U12" s="63" t="s">
        <v>20</v>
      </c>
      <c r="V12" s="63" t="s">
        <v>27</v>
      </c>
      <c r="W12" s="63" t="s">
        <v>21</v>
      </c>
    </row>
    <row r="13" spans="1:23" x14ac:dyDescent="0.25">
      <c r="A13" s="1"/>
      <c r="B13" s="1" t="s">
        <v>18</v>
      </c>
      <c r="C13" s="1">
        <v>0.14493879257657299</v>
      </c>
      <c r="D13" s="1">
        <v>0.113482870854482</v>
      </c>
      <c r="E13" s="30">
        <f t="shared" si="0"/>
        <v>0.18408045950325605</v>
      </c>
      <c r="F13" s="30">
        <f t="shared" si="1"/>
        <v>-3.45998182758522E-2</v>
      </c>
      <c r="G13" s="90">
        <v>1.47518908612904E-2</v>
      </c>
      <c r="H13" s="30"/>
      <c r="I13" s="90">
        <f>F13*C13/E13</f>
        <v>-2.7242738842588331E-2</v>
      </c>
      <c r="J13" s="1"/>
      <c r="K13" s="1"/>
      <c r="L13" s="1"/>
      <c r="M13" s="1">
        <v>1</v>
      </c>
      <c r="N13" s="1">
        <f>G10</f>
        <v>-4.4736301366540367E-2</v>
      </c>
      <c r="O13" s="1">
        <f>G10</f>
        <v>-4.4736301366540367E-2</v>
      </c>
      <c r="P13" s="62">
        <f>G10</f>
        <v>-4.4736301366540367E-2</v>
      </c>
      <c r="Q13" s="1">
        <f>G11</f>
        <v>-2.557769163264613E-2</v>
      </c>
      <c r="R13" s="62">
        <f>G11</f>
        <v>-2.557769163264613E-2</v>
      </c>
      <c r="S13" s="63">
        <f>I10</f>
        <v>5.5375235097806591E-2</v>
      </c>
      <c r="T13" s="63">
        <f>I10</f>
        <v>5.5375235097806591E-2</v>
      </c>
      <c r="U13" s="64">
        <f>I10</f>
        <v>5.5375235097806591E-2</v>
      </c>
      <c r="V13" s="63">
        <f>I11</f>
        <v>4.8513512095965501E-2</v>
      </c>
      <c r="W13" s="64">
        <f>I11</f>
        <v>4.8513512095965501E-2</v>
      </c>
    </row>
    <row r="14" spans="1:23" x14ac:dyDescent="0.25">
      <c r="A14" s="1"/>
      <c r="B14" s="1" t="s">
        <v>24</v>
      </c>
      <c r="C14" s="1">
        <f>0.5*(C10+C11)</f>
        <v>0.19306910293436549</v>
      </c>
      <c r="D14" s="1">
        <f t="shared" ref="D14:I18" si="6">0.5*(D10+D11)</f>
        <v>0.12766838731105251</v>
      </c>
      <c r="E14" s="1">
        <f t="shared" si="6"/>
        <v>0.23255906611877844</v>
      </c>
      <c r="F14" s="1">
        <f t="shared" si="6"/>
        <v>6.301568893898854E-2</v>
      </c>
      <c r="G14" s="1">
        <f t="shared" si="6"/>
        <v>-3.5156996499593252E-2</v>
      </c>
      <c r="H14" s="1">
        <f t="shared" si="6"/>
        <v>0.5</v>
      </c>
      <c r="I14" s="1">
        <f t="shared" si="6"/>
        <v>5.1944373596886043E-2</v>
      </c>
      <c r="J14" s="1"/>
      <c r="K14" s="1"/>
      <c r="L14" s="1"/>
      <c r="M14" s="1">
        <v>2</v>
      </c>
      <c r="N14" s="1">
        <f>G14</f>
        <v>-3.5156996499593252E-2</v>
      </c>
      <c r="O14" s="1">
        <f>G15</f>
        <v>-1.2788845816323065E-2</v>
      </c>
      <c r="P14" s="62">
        <f>G16</f>
        <v>7.3759454306452001E-3</v>
      </c>
      <c r="Q14" s="1">
        <f>G17</f>
        <v>-1.0202552819151426E-2</v>
      </c>
      <c r="R14" s="62">
        <f>G18</f>
        <v>-2.3972921157958158E-2</v>
      </c>
      <c r="S14" s="63">
        <f>I14</f>
        <v>5.1944373596886043E-2</v>
      </c>
      <c r="T14" s="63">
        <f>I15</f>
        <v>2.4256756047982751E-2</v>
      </c>
      <c r="U14" s="64">
        <f>I16</f>
        <v>-1.3621369421294166E-2</v>
      </c>
      <c r="V14" s="63">
        <f>I17</f>
        <v>1.2350817377148856E-2</v>
      </c>
      <c r="W14" s="64">
        <f>I18</f>
        <v>3.8100564822434395E-2</v>
      </c>
    </row>
    <row r="15" spans="1:23" x14ac:dyDescent="0.25">
      <c r="A15" s="1"/>
      <c r="B15" s="1" t="s">
        <v>23</v>
      </c>
      <c r="C15" s="1">
        <f>0.5*(C12+C10)</f>
        <v>0.17246811718153249</v>
      </c>
      <c r="D15" s="1">
        <f>0.5*(D12+D10)</f>
        <v>0.13280468518569699</v>
      </c>
      <c r="E15" s="1">
        <f t="shared" si="6"/>
        <v>0.21323636446408267</v>
      </c>
      <c r="F15" s="1">
        <f t="shared" si="6"/>
        <v>2.5772312850074426E-2</v>
      </c>
      <c r="G15" s="1">
        <f t="shared" si="6"/>
        <v>-1.2788845816323065E-2</v>
      </c>
      <c r="H15" s="1">
        <f t="shared" si="6"/>
        <v>0</v>
      </c>
      <c r="I15" s="1">
        <f t="shared" si="6"/>
        <v>2.4256756047982751E-2</v>
      </c>
      <c r="J15" s="1"/>
      <c r="K15" s="1"/>
      <c r="L15" s="1"/>
      <c r="M15" s="1">
        <v>3</v>
      </c>
      <c r="N15" s="1">
        <f>G11</f>
        <v>-2.557769163264613E-2</v>
      </c>
      <c r="O15" s="1">
        <f>G12</f>
        <v>0</v>
      </c>
      <c r="P15" s="62">
        <f>G13</f>
        <v>1.47518908612904E-2</v>
      </c>
      <c r="Q15" s="1">
        <f>G12</f>
        <v>0</v>
      </c>
      <c r="R15" s="62">
        <f>G13</f>
        <v>1.47518908612904E-2</v>
      </c>
      <c r="S15" s="63">
        <f>I11</f>
        <v>4.8513512095965501E-2</v>
      </c>
      <c r="T15" s="63">
        <f>I12</f>
        <v>0</v>
      </c>
      <c r="U15" s="64">
        <f>I13</f>
        <v>-2.7242738842588331E-2</v>
      </c>
      <c r="V15" s="63">
        <f>I12</f>
        <v>0</v>
      </c>
      <c r="W15" s="64">
        <f>I13</f>
        <v>-2.7242738842588331E-2</v>
      </c>
    </row>
    <row r="16" spans="1:23" x14ac:dyDescent="0.25">
      <c r="A16" s="1"/>
      <c r="B16" s="1" t="s">
        <v>25</v>
      </c>
      <c r="C16" s="1">
        <f>0.5*(C10+C13)</f>
        <v>0.16467374809655549</v>
      </c>
      <c r="D16" s="1">
        <f>0.5*(D10+D13)</f>
        <v>0.131231081611418</v>
      </c>
      <c r="E16" s="1">
        <f t="shared" si="6"/>
        <v>0.1912516998830755</v>
      </c>
      <c r="F16" s="1">
        <f t="shared" si="6"/>
        <v>-1.8949208043637141E-2</v>
      </c>
      <c r="G16" s="1">
        <f t="shared" si="6"/>
        <v>7.3759454306452001E-3</v>
      </c>
      <c r="H16" s="1">
        <f t="shared" si="6"/>
        <v>0</v>
      </c>
      <c r="I16" s="1">
        <f t="shared" si="6"/>
        <v>-1.3621369421294166E-2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 t="s">
        <v>28</v>
      </c>
      <c r="C17" s="1">
        <f>0.5*(C11+C12)</f>
        <v>0.18112851649936001</v>
      </c>
      <c r="D17" s="1">
        <f>0.5*(D11+D12)</f>
        <v>0.1114937801283955</v>
      </c>
      <c r="E17" s="1">
        <f t="shared" si="6"/>
        <v>0.20831976281101725</v>
      </c>
      <c r="F17" s="1">
        <f t="shared" si="6"/>
        <v>1.420793533156817E-2</v>
      </c>
      <c r="G17" s="1">
        <f t="shared" si="6"/>
        <v>-1.0202552819151426E-2</v>
      </c>
      <c r="H17" s="1">
        <f t="shared" si="6"/>
        <v>0.25</v>
      </c>
      <c r="I17" s="1">
        <f t="shared" si="6"/>
        <v>1.2350817377148856E-2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 t="s">
        <v>29</v>
      </c>
      <c r="C18" s="1">
        <f>0.5*(C11+C13)</f>
        <v>0.17333414741438299</v>
      </c>
      <c r="D18" s="1">
        <f>0.5*(D11+D13)</f>
        <v>0.1099201765541165</v>
      </c>
      <c r="E18" s="1">
        <f t="shared" si="6"/>
        <v>0.22289771529143054</v>
      </c>
      <c r="F18" s="1">
        <f t="shared" si="6"/>
        <v>4.439400089453148E-2</v>
      </c>
      <c r="G18" s="1">
        <f t="shared" si="6"/>
        <v>-2.3972921157958158E-2</v>
      </c>
      <c r="H18" s="1">
        <f t="shared" si="6"/>
        <v>0.25</v>
      </c>
      <c r="I18" s="1">
        <f t="shared" si="6"/>
        <v>3.8100564822434395E-2</v>
      </c>
      <c r="J18" s="1"/>
      <c r="K18" s="1"/>
      <c r="L18" s="1"/>
      <c r="M18" s="1"/>
      <c r="N18" s="62">
        <v>0</v>
      </c>
      <c r="O18" s="1">
        <v>0</v>
      </c>
      <c r="P18" s="62">
        <v>0</v>
      </c>
      <c r="Q18" s="1">
        <v>0</v>
      </c>
      <c r="R18" s="62">
        <v>0</v>
      </c>
      <c r="S18" s="1">
        <v>0</v>
      </c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 t="s">
        <v>33</v>
      </c>
      <c r="N19" s="62">
        <f t="shared" ref="N19:S19" si="7">N20/2</f>
        <v>2.3003416935436949E-2</v>
      </c>
      <c r="O19" s="1">
        <f t="shared" si="7"/>
        <v>2.3003416935436949E-2</v>
      </c>
      <c r="P19" s="62">
        <f t="shared" si="7"/>
        <v>2.6541805787253701E-2</v>
      </c>
      <c r="Q19" s="1">
        <f t="shared" si="7"/>
        <v>2.0104614443582251E-2</v>
      </c>
      <c r="R19" s="62">
        <f t="shared" si="7"/>
        <v>2.86179832805003E-2</v>
      </c>
      <c r="S19" s="1">
        <f t="shared" si="7"/>
        <v>2.1231631351488499E-2</v>
      </c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 t="s">
        <v>30</v>
      </c>
      <c r="N20" s="62">
        <v>4.6006833870873898E-2</v>
      </c>
      <c r="O20" s="1">
        <v>4.6006833870873898E-2</v>
      </c>
      <c r="P20" s="62">
        <v>5.3083611574507403E-2</v>
      </c>
      <c r="Q20" s="1">
        <v>4.0209228887164501E-2</v>
      </c>
      <c r="R20" s="62">
        <v>5.7235966561000599E-2</v>
      </c>
      <c r="S20" s="1">
        <v>4.2463262702976998E-2</v>
      </c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31</v>
      </c>
      <c r="N21" s="62">
        <v>0.92642345774604395</v>
      </c>
      <c r="O21" s="1">
        <v>0.92642345774604395</v>
      </c>
      <c r="P21" s="62">
        <v>-0.66868889401109799</v>
      </c>
      <c r="Q21" s="27">
        <v>-0.80452212739749096</v>
      </c>
      <c r="R21" s="62">
        <v>-0.124491452295762</v>
      </c>
      <c r="S21" s="1">
        <v>-0.241917250239189</v>
      </c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 t="s">
        <v>32</v>
      </c>
      <c r="N22" s="62">
        <v>0.37648316952801902</v>
      </c>
      <c r="O22" s="1">
        <v>0.37648316952801902</v>
      </c>
      <c r="P22" s="62">
        <v>0.743542307489098</v>
      </c>
      <c r="Q22" s="27">
        <v>0.59392267722980097</v>
      </c>
      <c r="R22" s="62">
        <v>-0.99222068024471799</v>
      </c>
      <c r="S22" s="1">
        <v>-0.97029688448263496</v>
      </c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 t="s">
        <v>1</v>
      </c>
      <c r="F23" s="1" t="s">
        <v>2</v>
      </c>
      <c r="G23" s="1"/>
      <c r="H23" s="1"/>
      <c r="I23" s="1"/>
      <c r="J23" s="1"/>
      <c r="K23" s="1"/>
      <c r="L23" s="1"/>
      <c r="M23" s="1" t="s">
        <v>35</v>
      </c>
      <c r="N23" s="62">
        <v>1.1485527114568799E-3</v>
      </c>
      <c r="O23" s="1">
        <v>7.8908652171143397E-4</v>
      </c>
      <c r="P23" s="62"/>
      <c r="Q23" s="1"/>
      <c r="R23" s="62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 t="s">
        <v>26</v>
      </c>
      <c r="E24" s="1">
        <f>C10-C12</f>
        <v>2.3881172870010986E-2</v>
      </c>
      <c r="F24" s="1">
        <f>D10-D12</f>
        <v>3.2349214365314002E-2</v>
      </c>
      <c r="G24" s="1"/>
      <c r="H24" s="1"/>
      <c r="I24" s="1"/>
      <c r="J24" s="1"/>
      <c r="K24" s="1"/>
      <c r="L24" s="1"/>
      <c r="M24" s="1" t="s">
        <v>34</v>
      </c>
      <c r="N24" s="62">
        <f>N21*N20*0.5*(N15+N13)</f>
        <v>-1.4984548290054192E-3</v>
      </c>
      <c r="O24" s="1">
        <f>O21*O20*0.5*(N15+N13)</f>
        <v>-1.4984548290054192E-3</v>
      </c>
      <c r="P24" s="62">
        <f>P21*P20*0.5*(P15+P13)</f>
        <v>5.3216963706966339E-4</v>
      </c>
      <c r="Q24" s="1">
        <f>Q21*Q20*0.5*(O15+O13)</f>
        <v>7.2359210140875716E-4</v>
      </c>
      <c r="R24" s="62">
        <f>R21*R20*0.5*(R15+R13)</f>
        <v>3.8569018704999514E-5</v>
      </c>
      <c r="S24" s="1">
        <f>S21*S20*0.5*(Q15+Q13)</f>
        <v>1.3137464317106642E-4</v>
      </c>
      <c r="T24" s="62">
        <f>(R24+P24+N24)/$N$23</f>
        <v>-0.80772624884929856</v>
      </c>
      <c r="U24" s="1">
        <f>(S24+Q24+O24)/O23</f>
        <v>-0.8154848254535475</v>
      </c>
      <c r="V24" s="48">
        <f>M2</f>
        <v>-0.85423793511527568</v>
      </c>
      <c r="W24" s="1"/>
    </row>
    <row r="25" spans="1:23" x14ac:dyDescent="0.25">
      <c r="A25" s="1"/>
      <c r="B25" s="1"/>
      <c r="C25" s="1"/>
      <c r="D25" s="1" t="s">
        <v>42</v>
      </c>
      <c r="E25" s="1">
        <f>Q21</f>
        <v>-0.80452212739749096</v>
      </c>
      <c r="F25" s="1">
        <f>Q22</f>
        <v>0.59392267722980097</v>
      </c>
      <c r="G25" s="1"/>
      <c r="H25" s="1"/>
      <c r="I25" s="1"/>
      <c r="J25" s="1"/>
      <c r="K25" s="1"/>
      <c r="L25" s="1"/>
      <c r="M25" s="1" t="s">
        <v>38</v>
      </c>
      <c r="N25" s="62">
        <f>N21*N20*(N15+4*N14+N13)/6</f>
        <v>-1.498454829005419E-3</v>
      </c>
      <c r="O25" s="1">
        <f>O21*O20*(N15+4*N14+N13)/6</f>
        <v>-1.498454829005419E-3</v>
      </c>
      <c r="P25" s="62">
        <f>P21*P20*(P15+4*P14+P13)/6</f>
        <v>2.8434336435540082E-6</v>
      </c>
      <c r="Q25" s="1">
        <f>Q21*Q20*(O15+4*O14+O13)/6</f>
        <v>5.1700344366771025E-4</v>
      </c>
      <c r="R25" s="62">
        <f>R21*R20*(R15+4*R14+R13)/6</f>
        <v>1.2673392566508605E-4</v>
      </c>
      <c r="S25" s="1">
        <f>S21*S20*(Q15+4*Q14+Q13)/6</f>
        <v>1.1366268153829308E-4</v>
      </c>
      <c r="T25" s="65">
        <f>(R25+P25+N25)/N23</f>
        <v>-1.1918281642994237</v>
      </c>
      <c r="U25" s="66">
        <f>(S25+Q25+O25)/O23</f>
        <v>-1.0997383429098322</v>
      </c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 t="s">
        <v>36</v>
      </c>
      <c r="U26" s="1" t="s">
        <v>37</v>
      </c>
      <c r="V26" s="1"/>
      <c r="W26" s="1"/>
    </row>
    <row r="27" spans="1:23" x14ac:dyDescent="0.25">
      <c r="A27" s="1"/>
      <c r="B27" s="1"/>
      <c r="C27" s="1"/>
      <c r="D27" s="1"/>
      <c r="E27" s="1">
        <f>E25*E24</f>
        <v>-1.9212932002128483E-2</v>
      </c>
      <c r="F27" s="1">
        <f>F25*F24</f>
        <v>1.9212932002128029E-2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 t="s">
        <v>41</v>
      </c>
      <c r="N28" s="62">
        <f>N22*N20*0.5*(N13+N15)</f>
        <v>-6.0894725700390436E-4</v>
      </c>
      <c r="O28" s="1">
        <f>O22*O20*0.5*(N13+N15)</f>
        <v>-6.0894725700390436E-4</v>
      </c>
      <c r="P28" s="62">
        <f>P22*P20*0.5*(P13+P15)</f>
        <v>-5.9174100761399246E-4</v>
      </c>
      <c r="Q28" s="1">
        <f>Q22*Q20*0.5*(O13+O15)</f>
        <v>-5.341776732496207E-4</v>
      </c>
      <c r="R28" s="62">
        <f>R22*R20*0.5*(R13+R15)</f>
        <v>3.0740245430608285E-4</v>
      </c>
      <c r="S28" s="1">
        <f>S22*S20*0.5*(Q13+Q15)</f>
        <v>5.2692566091450197E-4</v>
      </c>
      <c r="T28" s="62">
        <f>(R28+P28+N28)/$N$23</f>
        <v>-0.7777490762080278</v>
      </c>
      <c r="U28" s="1">
        <f>(S28+Q28+O28)/O23</f>
        <v>-0.78090203340764308</v>
      </c>
      <c r="V28" s="48">
        <f>N2</f>
        <v>-0.70413118701963817</v>
      </c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 t="s">
        <v>38</v>
      </c>
      <c r="N29" s="62">
        <f>N22*N20*(N13+4*N14+N15)/6</f>
        <v>-6.0894725700390436E-4</v>
      </c>
      <c r="O29" s="1">
        <f>O22*O20*(N13+4*N14+N15)/6</f>
        <v>-6.0894725700390436E-4</v>
      </c>
      <c r="P29" s="62">
        <f>P25*P24*(P19+4*P18+P17)/6</f>
        <v>6.6937949812886527E-12</v>
      </c>
      <c r="Q29" s="1">
        <f>Q22*Q20*(O13+4*O14+O15)/6</f>
        <v>-3.8166764958155546E-4</v>
      </c>
      <c r="R29" s="62">
        <f>R25*R24*(R19+4*R18+R17)/6</f>
        <v>2.3314132068069583E-11</v>
      </c>
      <c r="S29" s="1">
        <f>S22*S20*(Q13+4*Q14+Q15)/6</f>
        <v>4.5588541399798873E-4</v>
      </c>
      <c r="T29" s="65">
        <f>(R29+P29+N29)/N23</f>
        <v>-0.53018657386961299</v>
      </c>
      <c r="U29" s="66">
        <f>(S29+Q29+O29)/O23</f>
        <v>-0.6776563505706662</v>
      </c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 t="s">
        <v>36</v>
      </c>
      <c r="U30" s="1" t="s">
        <v>37</v>
      </c>
      <c r="V30" s="1"/>
      <c r="W30" s="1"/>
    </row>
  </sheetData>
  <mergeCells count="20">
    <mergeCell ref="A2:A5"/>
    <mergeCell ref="M2:M3"/>
    <mergeCell ref="N2:N3"/>
    <mergeCell ref="O2:O3"/>
    <mergeCell ref="P2:P3"/>
    <mergeCell ref="M4:M5"/>
    <mergeCell ref="N4:N5"/>
    <mergeCell ref="O4:O5"/>
    <mergeCell ref="P4:P5"/>
    <mergeCell ref="N11:R11"/>
    <mergeCell ref="S11:W11"/>
    <mergeCell ref="A6:A9"/>
    <mergeCell ref="M6:M7"/>
    <mergeCell ref="N6:N7"/>
    <mergeCell ref="O6:O7"/>
    <mergeCell ref="P6:P7"/>
    <mergeCell ref="M8:M9"/>
    <mergeCell ref="N8:N9"/>
    <mergeCell ref="O8:O9"/>
    <mergeCell ref="P8:P9"/>
  </mergeCells>
  <conditionalFormatting sqref="K10:L30">
    <cfRule type="cellIs" dxfId="18" priority="7" operator="greaterThan">
      <formula>5</formula>
    </cfRule>
  </conditionalFormatting>
  <conditionalFormatting sqref="K2:L5">
    <cfRule type="cellIs" dxfId="17" priority="2" operator="greaterThan">
      <formula>5</formula>
    </cfRule>
  </conditionalFormatting>
  <conditionalFormatting sqref="K6:L9">
    <cfRule type="cellIs" dxfId="16" priority="1" operator="greater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C2" sqref="C2"/>
    </sheetView>
  </sheetViews>
  <sheetFormatPr defaultRowHeight="15.75" x14ac:dyDescent="0.25"/>
  <cols>
    <col min="3" max="3" width="11.375" bestFit="1" customWidth="1"/>
    <col min="4" max="4" width="12.5" customWidth="1"/>
    <col min="5" max="5" width="12.625" bestFit="1" customWidth="1"/>
    <col min="8" max="8" width="9" customWidth="1"/>
    <col min="9" max="9" width="10" customWidth="1"/>
    <col min="13" max="13" width="11.375" bestFit="1" customWidth="1"/>
    <col min="14" max="14" width="12.125" bestFit="1" customWidth="1"/>
    <col min="15" max="15" width="11.375" bestFit="1" customWidth="1"/>
    <col min="16" max="16" width="12.125" bestFit="1" customWidth="1"/>
    <col min="17" max="17" width="11.375" bestFit="1" customWidth="1"/>
    <col min="20" max="21" width="13" bestFit="1" customWidth="1"/>
  </cols>
  <sheetData>
    <row r="1" spans="1:22" s="100" customFormat="1" ht="35.25" thickBot="1" x14ac:dyDescent="0.3">
      <c r="A1" s="10" t="s">
        <v>6</v>
      </c>
      <c r="B1" s="9" t="s">
        <v>7</v>
      </c>
      <c r="C1" s="112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112" t="s">
        <v>78</v>
      </c>
      <c r="U1" s="27" t="s">
        <v>80</v>
      </c>
      <c r="V1" s="130" t="s">
        <v>3</v>
      </c>
    </row>
    <row r="2" spans="1:22" s="100" customFormat="1" x14ac:dyDescent="0.25">
      <c r="A2" s="265" t="s">
        <v>70</v>
      </c>
      <c r="B2" s="6">
        <v>0</v>
      </c>
      <c r="C2">
        <v>0.16434804458275601</v>
      </c>
      <c r="D2" s="5">
        <v>-0.306231958188876</v>
      </c>
      <c r="E2" s="5">
        <f t="shared" ref="E2:E9" si="0">SQRT(D2*D2+C2*C2)</f>
        <v>0.34754610050232049</v>
      </c>
      <c r="F2" s="5">
        <f t="shared" ref="F2:F9" si="1">1/0.96*(E2-0.04/E2)</f>
        <v>0.24213901604708857</v>
      </c>
      <c r="G2" s="88">
        <f t="shared" ref="G2:G9" si="2">-F2*D2/E2</f>
        <v>0.21335501946606511</v>
      </c>
      <c r="H2" s="5">
        <v>0.213355019466066</v>
      </c>
      <c r="I2" s="88">
        <f t="shared" ref="I2:I9" si="3">F2*C2/E2</f>
        <v>0.11450300764996178</v>
      </c>
      <c r="J2" s="5">
        <v>0.114503007649962</v>
      </c>
      <c r="K2" s="4">
        <f t="shared" ref="K2:K9" si="4">ABS((G2-H2)/G2)*100</f>
        <v>4.1629131666217638E-13</v>
      </c>
      <c r="L2" s="7">
        <f t="shared" ref="L2:L9" si="5">ABS((I2-J2)/I2)*100</f>
        <v>1.9392032531042902E-13</v>
      </c>
      <c r="M2" s="268">
        <f>-1/12*C2*D2/(D2*D2+C2*C2)^2</f>
        <v>0.2874644381839454</v>
      </c>
      <c r="N2" s="270">
        <f>-1/0.96*(1-0.04*(C2*C2-D2*D2)/(C2*C2+D2*D2)^2)</f>
        <v>-1.2323469133988534</v>
      </c>
      <c r="O2" s="272">
        <f>1/0.96*(1-0.04*(D2*D2-C2*C2)/(C2*C2+D2*D2)^2)</f>
        <v>0.85098641993448032</v>
      </c>
      <c r="P2" s="268">
        <f>1/12*C2*D2/(C2*C2+D2*D2)^2</f>
        <v>-0.2874644381839454</v>
      </c>
      <c r="Q2" s="256">
        <v>6.3629380283494004E-3</v>
      </c>
      <c r="R2" s="135" t="s">
        <v>64</v>
      </c>
      <c r="S2" s="135" t="s">
        <v>64</v>
      </c>
      <c r="T2" s="141" t="s">
        <v>64</v>
      </c>
      <c r="U2" s="141" t="s">
        <v>64</v>
      </c>
      <c r="V2" s="135" t="s">
        <v>64</v>
      </c>
    </row>
    <row r="3" spans="1:22" s="100" customFormat="1" x14ac:dyDescent="0.25">
      <c r="A3" s="266"/>
      <c r="B3" s="2" t="s">
        <v>71</v>
      </c>
      <c r="C3" s="30">
        <v>9.1057883631293995E-2</v>
      </c>
      <c r="D3" s="30">
        <v>-0.37038250963438701</v>
      </c>
      <c r="E3" s="30">
        <f t="shared" si="0"/>
        <v>0.3814115121682578</v>
      </c>
      <c r="F3" s="30">
        <f t="shared" si="1"/>
        <v>0.28806032070319859</v>
      </c>
      <c r="G3" s="90">
        <f t="shared" si="2"/>
        <v>0.27973068747088631</v>
      </c>
      <c r="H3" s="30">
        <v>0.25344389173264098</v>
      </c>
      <c r="I3" s="90">
        <f t="shared" si="3"/>
        <v>6.8771293798320851E-2</v>
      </c>
      <c r="J3" s="30">
        <v>7.3410185145626194E-2</v>
      </c>
      <c r="K3" s="16">
        <f t="shared" si="4"/>
        <v>9.3971798288956734</v>
      </c>
      <c r="L3" s="8">
        <f t="shared" si="5"/>
        <v>6.7453890876466378</v>
      </c>
      <c r="M3" s="269"/>
      <c r="N3" s="271"/>
      <c r="O3" s="273"/>
      <c r="P3" s="269"/>
      <c r="Q3" s="257"/>
      <c r="R3" s="136">
        <f>SQRT(POWER((C4-C3),2)+POWER((D4-D3),2))</f>
        <v>0.20066838043017104</v>
      </c>
      <c r="S3" s="136">
        <f>R3/2</f>
        <v>0.10033419021508552</v>
      </c>
      <c r="T3" s="142">
        <f>G5*T8+I5*U8</f>
        <v>-2.4575249243004765E-15</v>
      </c>
      <c r="U3" s="142">
        <f>H5*T8+J5*U8</f>
        <v>4.5932712425139494E-2</v>
      </c>
      <c r="V3" s="136">
        <f>SQRT(C5*C5+D5*D5)</f>
        <v>0.19999999999999882</v>
      </c>
    </row>
    <row r="4" spans="1:22" s="100" customFormat="1" x14ac:dyDescent="0.25">
      <c r="A4" s="266"/>
      <c r="B4" s="2" t="s">
        <v>72</v>
      </c>
      <c r="C4" s="30">
        <v>0.29167269258710399</v>
      </c>
      <c r="D4" s="30">
        <v>-0.365745988083514</v>
      </c>
      <c r="E4" s="30">
        <f t="shared" si="0"/>
        <v>0.46780667737880488</v>
      </c>
      <c r="F4" s="30">
        <f t="shared" si="1"/>
        <v>0.3982304907496802</v>
      </c>
      <c r="G4" s="90">
        <f t="shared" si="2"/>
        <v>0.31134913494679317</v>
      </c>
      <c r="H4" s="30">
        <v>0.34625859228177303</v>
      </c>
      <c r="I4" s="90">
        <f t="shared" si="3"/>
        <v>0.24829264977162468</v>
      </c>
      <c r="J4" s="30">
        <v>0.22213466771509899</v>
      </c>
      <c r="K4" s="16">
        <f t="shared" si="4"/>
        <v>11.212318717681862</v>
      </c>
      <c r="L4" s="8">
        <f t="shared" si="5"/>
        <v>10.535141527783992</v>
      </c>
      <c r="M4" s="261">
        <v>0.49003311552115603</v>
      </c>
      <c r="N4" s="221">
        <v>-1.1847673396731999</v>
      </c>
      <c r="O4" s="259">
        <v>0.74624297082319102</v>
      </c>
      <c r="P4" s="261">
        <v>-0.211992642771656</v>
      </c>
      <c r="Q4" s="274"/>
      <c r="R4" s="136">
        <f>SQRT(POWER((C5-C4),2)+POWER((D5-D4),2))</f>
        <v>0.26780667737880604</v>
      </c>
      <c r="S4" s="136">
        <f>R4/2</f>
        <v>0.13390333868940302</v>
      </c>
      <c r="T4" s="142">
        <f>G8*T8+I8*U8</f>
        <v>0.2230293649145943</v>
      </c>
      <c r="U4" s="142">
        <f>H8*T8+J8*U8</f>
        <v>0.22575044686660653</v>
      </c>
      <c r="V4" s="136">
        <f>SQRT(C8*C8+D8*D8)</f>
        <v>0.33390333868940225</v>
      </c>
    </row>
    <row r="5" spans="1:22" s="100" customFormat="1" ht="16.5" thickBot="1" x14ac:dyDescent="0.3">
      <c r="A5" s="266"/>
      <c r="B5" s="3" t="s">
        <v>73</v>
      </c>
      <c r="C5" s="31">
        <v>0.12469796037174601</v>
      </c>
      <c r="D5" s="31">
        <v>-0.15636629649360501</v>
      </c>
      <c r="E5" s="31">
        <f t="shared" si="0"/>
        <v>0.19999999999999882</v>
      </c>
      <c r="F5" s="31">
        <f t="shared" si="1"/>
        <v>-2.4575249243004768E-15</v>
      </c>
      <c r="G5" s="93">
        <f t="shared" si="2"/>
        <v>-1.9213703547679742E-15</v>
      </c>
      <c r="H5" s="31">
        <v>1.6369223854397701E-2</v>
      </c>
      <c r="I5" s="93">
        <f t="shared" si="3"/>
        <v>-1.532241728115004E-15</v>
      </c>
      <c r="J5" s="31">
        <v>5.3143993331445302E-2</v>
      </c>
      <c r="K5" s="19">
        <f t="shared" si="4"/>
        <v>851955679121341.5</v>
      </c>
      <c r="L5" s="102">
        <f t="shared" si="5"/>
        <v>3468381806624317.5</v>
      </c>
      <c r="M5" s="262"/>
      <c r="N5" s="258"/>
      <c r="O5" s="260"/>
      <c r="P5" s="262"/>
      <c r="Q5" s="275"/>
      <c r="R5" s="137">
        <f>SQRT(POWER((C3-C5),2)+POWER((D3-D5),2))</f>
        <v>0.21664393425670642</v>
      </c>
      <c r="S5" s="137">
        <f>R5/2</f>
        <v>0.10832196712835321</v>
      </c>
      <c r="T5" s="143">
        <f>G4*T8+I4*U8</f>
        <v>0.39823049074968009</v>
      </c>
      <c r="U5" s="143">
        <f>H4*T8+J4*U8</f>
        <v>0.40921456848059423</v>
      </c>
      <c r="V5" s="137">
        <f>SQRT(C4*C4+D4*D4)</f>
        <v>0.46780667737880488</v>
      </c>
    </row>
    <row r="6" spans="1:22" s="100" customFormat="1" ht="19.5" thickBot="1" x14ac:dyDescent="0.3">
      <c r="A6" s="266"/>
      <c r="B6" s="6">
        <v>0</v>
      </c>
      <c r="C6" s="5">
        <v>0.16434804458275601</v>
      </c>
      <c r="D6" s="5">
        <v>-0.306231958188876</v>
      </c>
      <c r="E6" s="5">
        <f t="shared" si="0"/>
        <v>0.34754610050232049</v>
      </c>
      <c r="F6" s="5">
        <f t="shared" si="1"/>
        <v>0.24213901604708857</v>
      </c>
      <c r="G6" s="88">
        <f t="shared" si="2"/>
        <v>0.21335501946606511</v>
      </c>
      <c r="H6" s="5">
        <v>0.21074119961145901</v>
      </c>
      <c r="I6" s="88">
        <f t="shared" si="3"/>
        <v>0.11450300764996178</v>
      </c>
      <c r="J6" s="5">
        <v>0.118074429116284</v>
      </c>
      <c r="K6" s="4">
        <f t="shared" si="4"/>
        <v>1.2251035204830676</v>
      </c>
      <c r="L6" s="7">
        <f t="shared" si="5"/>
        <v>3.1190634548571303</v>
      </c>
      <c r="M6" s="268">
        <f>-1/12*C6*D6/(D6*D6+C6*C6)^2</f>
        <v>0.2874644381839454</v>
      </c>
      <c r="N6" s="270">
        <f>-1/0.96*(1-0.04*(C6*C6-D6*D6)/(C6*C6+D6*D6)^2)</f>
        <v>-1.2323469133988534</v>
      </c>
      <c r="O6" s="272">
        <f>1/0.96*(1-0.04*(D6*D6-C6*C6)/(C6*C6+D6*D6)^2)</f>
        <v>0.85098641993448032</v>
      </c>
      <c r="P6" s="268">
        <f>1/12*C6*D6/(C6*C6+D6*D6)^2</f>
        <v>-0.2874644381839454</v>
      </c>
      <c r="Q6" s="256">
        <v>4.3427807501454701E-3</v>
      </c>
      <c r="R6" s="144" t="s">
        <v>77</v>
      </c>
      <c r="S6" s="144" t="s">
        <v>76</v>
      </c>
      <c r="T6" s="140" t="s">
        <v>31</v>
      </c>
      <c r="U6" s="99" t="s">
        <v>32</v>
      </c>
      <c r="V6" s="135"/>
    </row>
    <row r="7" spans="1:22" s="100" customFormat="1" ht="16.5" thickBot="1" x14ac:dyDescent="0.3">
      <c r="A7" s="266"/>
      <c r="B7" s="2" t="s">
        <v>55</v>
      </c>
      <c r="C7" s="30">
        <v>0.19136528810919901</v>
      </c>
      <c r="D7" s="30">
        <v>-0.368064248858951</v>
      </c>
      <c r="E7" s="30">
        <f t="shared" si="0"/>
        <v>0.41483968563918827</v>
      </c>
      <c r="F7" s="30">
        <f t="shared" si="1"/>
        <v>0.33168426601976631</v>
      </c>
      <c r="G7" s="90">
        <f t="shared" si="2"/>
        <v>0.29428505626889151</v>
      </c>
      <c r="H7" s="30">
        <v>0.29537080776554803</v>
      </c>
      <c r="I7" s="90">
        <f t="shared" si="3"/>
        <v>0.15300574493098776</v>
      </c>
      <c r="J7" s="30">
        <v>0.148975577832727</v>
      </c>
      <c r="K7" s="16">
        <f t="shared" si="4"/>
        <v>0.36894550828447581</v>
      </c>
      <c r="L7" s="8">
        <f t="shared" si="5"/>
        <v>2.6339972398281795</v>
      </c>
      <c r="M7" s="269"/>
      <c r="N7" s="271"/>
      <c r="O7" s="273"/>
      <c r="P7" s="269"/>
      <c r="Q7" s="257"/>
      <c r="R7" s="128">
        <v>0.68511899206568305</v>
      </c>
      <c r="S7" s="138">
        <f>SUM(R3:R5)</f>
        <v>0.6851189920656835</v>
      </c>
      <c r="T7" s="135">
        <v>2.3105391795827001E-2</v>
      </c>
      <c r="U7" s="135">
        <v>-0.99973303479977105</v>
      </c>
      <c r="V7" s="136"/>
    </row>
    <row r="8" spans="1:22" s="100" customFormat="1" ht="19.5" thickBot="1" x14ac:dyDescent="0.3">
      <c r="A8" s="266"/>
      <c r="B8" s="2" t="s">
        <v>56</v>
      </c>
      <c r="C8" s="30">
        <v>0.208185326479425</v>
      </c>
      <c r="D8" s="30">
        <v>-0.26105614228856</v>
      </c>
      <c r="E8" s="30">
        <f t="shared" si="0"/>
        <v>0.33390333868940225</v>
      </c>
      <c r="F8" s="30">
        <f t="shared" si="1"/>
        <v>0.22302936491459432</v>
      </c>
      <c r="G8" s="90">
        <f t="shared" si="2"/>
        <v>0.17437137900508048</v>
      </c>
      <c r="H8" s="30">
        <v>0.17642461718083</v>
      </c>
      <c r="I8" s="90">
        <f t="shared" si="3"/>
        <v>0.1390565345392796</v>
      </c>
      <c r="J8" s="30">
        <v>0.14084613190218701</v>
      </c>
      <c r="K8" s="16">
        <f t="shared" si="4"/>
        <v>1.1775087101247779</v>
      </c>
      <c r="L8" s="8">
        <f t="shared" si="5"/>
        <v>1.2869566819255738</v>
      </c>
      <c r="M8" s="261">
        <v>5.3318310616940701E-2</v>
      </c>
      <c r="N8" s="221">
        <v>-0.95309232617540096</v>
      </c>
      <c r="O8" s="259">
        <v>1.1537363051412</v>
      </c>
      <c r="P8" s="261">
        <v>1.4888037333078701E-3</v>
      </c>
      <c r="Q8" s="263"/>
      <c r="R8" s="134" t="s">
        <v>74</v>
      </c>
      <c r="S8" s="139" t="s">
        <v>75</v>
      </c>
      <c r="T8" s="136">
        <v>0.78183148246802903</v>
      </c>
      <c r="U8" s="136">
        <v>0.62348980185873404</v>
      </c>
      <c r="V8" s="136"/>
    </row>
    <row r="9" spans="1:22" ht="16.5" thickBot="1" x14ac:dyDescent="0.3">
      <c r="A9" s="267"/>
      <c r="B9" s="3" t="s">
        <v>57</v>
      </c>
      <c r="C9" s="31">
        <v>0.10787792200151999</v>
      </c>
      <c r="D9" s="31">
        <v>-0.26337440306399601</v>
      </c>
      <c r="E9" s="31">
        <f t="shared" si="0"/>
        <v>0.28461152865736528</v>
      </c>
      <c r="F9" s="31">
        <f t="shared" si="1"/>
        <v>0.15007196255554314</v>
      </c>
      <c r="G9" s="90">
        <f t="shared" si="2"/>
        <v>0.13887390205577918</v>
      </c>
      <c r="H9" s="31">
        <v>0.129410896525398</v>
      </c>
      <c r="I9" s="90">
        <f t="shared" si="3"/>
        <v>5.688262716396101E-2</v>
      </c>
      <c r="J9" s="31">
        <v>6.1737420831304998E-2</v>
      </c>
      <c r="K9" s="19">
        <f t="shared" si="4"/>
        <v>6.8140992586067988</v>
      </c>
      <c r="L9" s="102">
        <f t="shared" si="5"/>
        <v>8.5347564087543208</v>
      </c>
      <c r="M9" s="262"/>
      <c r="N9" s="258"/>
      <c r="O9" s="260"/>
      <c r="P9" s="262"/>
      <c r="Q9" s="264"/>
      <c r="R9" s="129">
        <v>2.1389424385951799E-2</v>
      </c>
      <c r="S9" s="131">
        <f>SQRT(S7/2*(S7/2-R3)*(S7/2-R4)*(S7/2-R5))</f>
        <v>2.1389424385951882E-2</v>
      </c>
      <c r="T9" s="137">
        <v>-0.987870783805048</v>
      </c>
      <c r="U9" s="137">
        <v>0.155278184251361</v>
      </c>
      <c r="V9" s="137"/>
    </row>
    <row r="10" spans="1:22" ht="35.25" thickBot="1" x14ac:dyDescent="0.3">
      <c r="R10" s="133"/>
      <c r="T10" s="112" t="s">
        <v>79</v>
      </c>
      <c r="U10" s="27" t="s">
        <v>81</v>
      </c>
      <c r="V10" s="130" t="s">
        <v>3</v>
      </c>
    </row>
    <row r="11" spans="1:22" x14ac:dyDescent="0.25">
      <c r="T11" s="136">
        <f>G5*T9+I5*U9</f>
        <v>1.6601419249685562E-15</v>
      </c>
      <c r="U11" s="136">
        <f>H5*T9+J5*U9</f>
        <v>-7.9185752109508824E-3</v>
      </c>
      <c r="V11" s="136">
        <f>SQRT(C5*C5+D5*D5)</f>
        <v>0.19999999999999882</v>
      </c>
    </row>
    <row r="12" spans="1:22" x14ac:dyDescent="0.25">
      <c r="T12" s="136">
        <f>G9*T9+I9*U9</f>
        <v>-0.12835683941244105</v>
      </c>
      <c r="U12" s="136">
        <f>H9*T9+J9*U9</f>
        <v>-0.11825476917641169</v>
      </c>
      <c r="V12" s="136">
        <f>SQRT(C9*C9+D9*D9)</f>
        <v>0.28461152865736528</v>
      </c>
    </row>
    <row r="13" spans="1:22" ht="16.5" thickBot="1" x14ac:dyDescent="0.3">
      <c r="T13" s="137">
        <f>G3*T9+I3*U9</f>
        <v>-0.26565909185656922</v>
      </c>
      <c r="U13" s="137">
        <f>H3*T9+J3*U9</f>
        <v>-0.23897081572155668</v>
      </c>
      <c r="V13" s="137">
        <f>SQRT(C3*C3+D3*D3)</f>
        <v>0.3814115121682578</v>
      </c>
    </row>
    <row r="14" spans="1:22" ht="35.25" thickBot="1" x14ac:dyDescent="0.3">
      <c r="T14" s="112" t="s">
        <v>104</v>
      </c>
      <c r="U14" s="27" t="s">
        <v>105</v>
      </c>
      <c r="V14" s="130" t="s">
        <v>3</v>
      </c>
    </row>
    <row r="15" spans="1:22" x14ac:dyDescent="0.25">
      <c r="T15" s="136">
        <f>G3*T7+I3*U7</f>
        <v>-6.2289647124771114E-2</v>
      </c>
      <c r="U15" s="136">
        <f>H3*T7+J3*U7</f>
        <v>-6.7534666764108117E-2</v>
      </c>
      <c r="V15" s="136">
        <f>SQRT(C3*C3+D3*D3)</f>
        <v>0.3814115121682578</v>
      </c>
    </row>
    <row r="16" spans="1:22" x14ac:dyDescent="0.25">
      <c r="T16" s="136">
        <f>G7*T7+I7*U7</f>
        <v>-0.14616532619690636</v>
      </c>
      <c r="U16" s="136">
        <f>H7*T7+J7*U7</f>
        <v>-0.14211114829928875</v>
      </c>
      <c r="V16" s="136">
        <f>SQRT(C7*C7+D7*D7)</f>
        <v>0.41483968563918827</v>
      </c>
    </row>
    <row r="17" spans="1:22" ht="16.5" thickBot="1" x14ac:dyDescent="0.3">
      <c r="T17" s="137">
        <f>G4*T7+I4*U7</f>
        <v>-0.24103252052642554</v>
      </c>
      <c r="U17" s="137">
        <f>H4*T7+J4*U7</f>
        <v>-0.21407492505171274</v>
      </c>
      <c r="V17" s="137">
        <f>SQRT(C4*C4+D4*D4)</f>
        <v>0.46780667737880488</v>
      </c>
    </row>
    <row r="24" spans="1:22" ht="16.5" thickBot="1" x14ac:dyDescent="0.3"/>
    <row r="25" spans="1:22" s="100" customFormat="1" ht="16.5" thickBot="1" x14ac:dyDescent="0.3">
      <c r="A25" s="254" t="s">
        <v>99</v>
      </c>
      <c r="B25" s="255"/>
      <c r="C25" s="130" t="s">
        <v>100</v>
      </c>
      <c r="D25" s="130" t="s">
        <v>101</v>
      </c>
      <c r="E25" s="130" t="s">
        <v>102</v>
      </c>
      <c r="F25" s="134" t="s">
        <v>103</v>
      </c>
      <c r="G25" s="134" t="s">
        <v>107</v>
      </c>
    </row>
    <row r="26" spans="1:22" s="100" customFormat="1" x14ac:dyDescent="0.25">
      <c r="A26" s="251" t="s">
        <v>70</v>
      </c>
      <c r="B26" s="145">
        <v>1</v>
      </c>
      <c r="C26" s="155">
        <f>(T15+4*T16+T17)*R3/6</f>
        <v>-2.9698367543842977E-2</v>
      </c>
      <c r="D26" s="146">
        <f>(T15+2*T16+T17)*R3/4</f>
        <v>-2.9882171674274042E-2</v>
      </c>
      <c r="E26" s="148">
        <f>T16*R3</f>
        <v>-2.9330759282980852E-2</v>
      </c>
      <c r="F26" s="141">
        <v>-2.8517213970290299E-2</v>
      </c>
      <c r="G26" s="135">
        <f>(H7*T7+J7*U7)*R3</f>
        <v>-2.8517213970290129E-2</v>
      </c>
      <c r="H26">
        <f>(U15+4*U16+U17)*R3/6</f>
        <v>-2.842983276407381E-2</v>
      </c>
      <c r="I26" s="100">
        <f>H26-C26</f>
        <v>1.2685347797691676E-3</v>
      </c>
    </row>
    <row r="27" spans="1:22" s="100" customFormat="1" x14ac:dyDescent="0.25">
      <c r="A27" s="252"/>
      <c r="B27" s="147">
        <v>2</v>
      </c>
      <c r="C27" s="156">
        <f>(T3+4*T4+T5)*R4/6</f>
        <v>5.759396621022226E-2</v>
      </c>
      <c r="D27" s="149">
        <f>(T3+4*T4+T5)*R4/6</f>
        <v>5.759396621022226E-2</v>
      </c>
      <c r="E27" s="132">
        <f>T4*R4</f>
        <v>5.9728753175682756E-2</v>
      </c>
      <c r="F27" s="152">
        <v>6.0457477092126503E-2</v>
      </c>
      <c r="G27" s="151">
        <f>(H8*T8+J8*U8)*R4</f>
        <v>6.0457477092126587E-2</v>
      </c>
      <c r="H27">
        <f>(U3+4*U4+U5)*R4/6</f>
        <v>6.0620231564311504E-2</v>
      </c>
      <c r="I27" s="100">
        <f>H27-C27</f>
        <v>3.0262653540892442E-3</v>
      </c>
    </row>
    <row r="28" spans="1:22" s="100" customFormat="1" x14ac:dyDescent="0.25">
      <c r="A28" s="252"/>
      <c r="B28" s="147">
        <v>3</v>
      </c>
      <c r="C28" s="156">
        <f>(T11+4*T12+T13)*R5/6</f>
        <v>-2.8130725591190092E-2</v>
      </c>
      <c r="D28" s="149">
        <f>(T11+4*T12+T13)*R5/6</f>
        <v>-2.8130725591190092E-2</v>
      </c>
      <c r="E28" s="132">
        <f>T12*R5</f>
        <v>-2.7807730679067503E-2</v>
      </c>
      <c r="F28" s="152">
        <v>-2.5619178438996498E-2</v>
      </c>
      <c r="G28" s="151">
        <f>(H9*T9+J9*U9)*R5</f>
        <v>-2.5619178438996526E-2</v>
      </c>
      <c r="H28">
        <f>(U11+4*U12+U13)*R5/6</f>
        <v>-2.5993967122307757E-2</v>
      </c>
      <c r="I28" s="100">
        <f>H28-C28</f>
        <v>2.1367584688823348E-3</v>
      </c>
    </row>
    <row r="29" spans="1:22" s="100" customFormat="1" ht="19.5" thickBot="1" x14ac:dyDescent="0.3">
      <c r="A29" s="253"/>
      <c r="B29" s="138" t="s">
        <v>108</v>
      </c>
      <c r="C29" s="157">
        <f>SUM(C26:C28)</f>
        <v>-2.3512692481080996E-4</v>
      </c>
      <c r="D29" s="150">
        <f>SUM(D26:D28)</f>
        <v>-4.1893105524187443E-4</v>
      </c>
      <c r="E29" s="150">
        <f>SUM(E26:E28)</f>
        <v>2.5902632136344007E-3</v>
      </c>
      <c r="F29" s="153">
        <v>6.3629380283494004E-3</v>
      </c>
      <c r="G29" s="128">
        <f>SUM(G26:G28)</f>
        <v>6.3210846828399281E-3</v>
      </c>
      <c r="H29" s="154">
        <f>SUM(H26:H28)</f>
        <v>6.1964316779299332E-3</v>
      </c>
    </row>
    <row r="30" spans="1:22" ht="16.5" thickBot="1" x14ac:dyDescent="0.3"/>
    <row r="31" spans="1:22" ht="16.5" thickBot="1" x14ac:dyDescent="0.3">
      <c r="A31" s="281" t="s">
        <v>120</v>
      </c>
      <c r="B31" s="134" t="s">
        <v>121</v>
      </c>
      <c r="C31" s="134" t="s">
        <v>122</v>
      </c>
      <c r="D31" s="134" t="s">
        <v>123</v>
      </c>
      <c r="E31" s="134" t="s">
        <v>124</v>
      </c>
    </row>
    <row r="32" spans="1:22" ht="16.5" thickBot="1" x14ac:dyDescent="0.3">
      <c r="A32" s="283"/>
      <c r="B32" s="285">
        <f>1/0.96/0.96*(C2-0.08*C2/(C2*C2+D2*D2)-0.5*0.04*0.04*2*C2/(POWER(C2*C2+D2*D2,2)))</f>
        <v>4.066233509851179E-2</v>
      </c>
      <c r="C32" s="284">
        <v>5.8037345172168901E-2</v>
      </c>
      <c r="D32" s="285">
        <f>1/0.96/0.96*(D2-0.08*D2/(C2*C2+D2*D2)-0.5*0.04*0.04*2*D2/(POWER(C2*C2+D2*D2,2)))</f>
        <v>-7.5766684862985254E-2</v>
      </c>
      <c r="E32" s="284">
        <v>-0.16742062448784001</v>
      </c>
    </row>
  </sheetData>
  <mergeCells count="24">
    <mergeCell ref="A31:A32"/>
    <mergeCell ref="O2:O3"/>
    <mergeCell ref="Q2:Q3"/>
    <mergeCell ref="N4:N5"/>
    <mergeCell ref="O4:O5"/>
    <mergeCell ref="Q4:Q5"/>
    <mergeCell ref="P2:P3"/>
    <mergeCell ref="P4:P5"/>
    <mergeCell ref="A26:A29"/>
    <mergeCell ref="A25:B25"/>
    <mergeCell ref="Q6:Q7"/>
    <mergeCell ref="N8:N9"/>
    <mergeCell ref="O8:O9"/>
    <mergeCell ref="P8:P9"/>
    <mergeCell ref="Q8:Q9"/>
    <mergeCell ref="M8:M9"/>
    <mergeCell ref="A2:A9"/>
    <mergeCell ref="M6:M7"/>
    <mergeCell ref="N6:N7"/>
    <mergeCell ref="O6:O7"/>
    <mergeCell ref="P6:P7"/>
    <mergeCell ref="M2:M3"/>
    <mergeCell ref="M4:M5"/>
    <mergeCell ref="N2:N3"/>
  </mergeCells>
  <conditionalFormatting sqref="K2:L5">
    <cfRule type="cellIs" dxfId="15" priority="3" operator="greaterThan">
      <formula>5</formula>
    </cfRule>
  </conditionalFormatting>
  <conditionalFormatting sqref="K7:L9">
    <cfRule type="cellIs" dxfId="14" priority="2" operator="greaterThan">
      <formula>5</formula>
    </cfRule>
  </conditionalFormatting>
  <conditionalFormatting sqref="K6:L6">
    <cfRule type="cellIs" dxfId="13" priority="1" operator="greaterThan">
      <formula>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H26" sqref="H26:H29"/>
    </sheetView>
  </sheetViews>
  <sheetFormatPr defaultRowHeight="15.75" x14ac:dyDescent="0.25"/>
  <cols>
    <col min="3" max="3" width="11.375" bestFit="1" customWidth="1"/>
    <col min="8" max="8" width="9.125" customWidth="1"/>
    <col min="20" max="21" width="13" bestFit="1" customWidth="1"/>
  </cols>
  <sheetData>
    <row r="1" spans="1:22" s="100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112" t="s">
        <v>87</v>
      </c>
      <c r="U1" s="27" t="s">
        <v>88</v>
      </c>
      <c r="V1" s="130" t="s">
        <v>3</v>
      </c>
    </row>
    <row r="2" spans="1:22" s="100" customFormat="1" x14ac:dyDescent="0.25">
      <c r="A2" s="265" t="s">
        <v>82</v>
      </c>
      <c r="B2" s="6">
        <v>0</v>
      </c>
      <c r="C2" s="5">
        <v>0.66033285210861403</v>
      </c>
      <c r="D2" s="5">
        <v>-9.1824763792709499E-2</v>
      </c>
      <c r="E2" s="5">
        <f t="shared" ref="E2:E9" si="0">SQRT(D2*D2+C2*C2)</f>
        <v>0.66668678014453209</v>
      </c>
      <c r="F2" s="5">
        <f t="shared" ref="F2:F9" si="1">1/0.96*(E2-0.04/E2)</f>
        <v>0.63196728156554915</v>
      </c>
      <c r="G2" s="88">
        <f t="shared" ref="G2:G9" si="2">-F2*D2/E2</f>
        <v>8.7042743433275852E-2</v>
      </c>
      <c r="H2" s="5">
        <v>8.7042743433275893E-2</v>
      </c>
      <c r="I2" s="88">
        <f t="shared" ref="I2:I9" si="3">F2*C2/E2</f>
        <v>0.6259442513394935</v>
      </c>
      <c r="J2" s="5">
        <v>0.62594425133949405</v>
      </c>
      <c r="K2" s="4">
        <f t="shared" ref="K2:K9" si="4">ABS((G2-H2)/G2)*100</f>
        <v>4.783094119196526E-14</v>
      </c>
      <c r="L2" s="7">
        <f t="shared" ref="L2:L9" si="5">ABS((I2-J2)/I2)*100</f>
        <v>8.8683858206967119E-14</v>
      </c>
      <c r="M2" s="268">
        <f>-1/12*C2*D2/(D2*D2+C2*C2)^2</f>
        <v>2.5577265057762963E-2</v>
      </c>
      <c r="N2" s="270">
        <f>-1/0.96*(1-0.04*(C2*C2-D2*D2)/(C2*C2+D2*D2)^2)</f>
        <v>-0.95147905432174695</v>
      </c>
      <c r="O2" s="272">
        <f>1/0.96*(1-0.04*(D2*D2-C2*C2)/(C2*C2+D2*D2)^2)</f>
        <v>1.1318542790115866</v>
      </c>
      <c r="P2" s="268">
        <f>1/12*C2*D2/(C2*C2+D2*D2)^2</f>
        <v>-2.5577265057762963E-2</v>
      </c>
      <c r="Q2" s="256">
        <v>4.3427807501454701E-3</v>
      </c>
      <c r="R2" s="135" t="s">
        <v>64</v>
      </c>
      <c r="S2" s="135" t="s">
        <v>64</v>
      </c>
      <c r="T2" s="141" t="s">
        <v>64</v>
      </c>
      <c r="U2" s="141" t="s">
        <v>64</v>
      </c>
      <c r="V2" s="135" t="s">
        <v>64</v>
      </c>
    </row>
    <row r="3" spans="1:22" s="100" customFormat="1" x14ac:dyDescent="0.25">
      <c r="A3" s="266"/>
      <c r="B3" s="2" t="s">
        <v>83</v>
      </c>
      <c r="C3" s="30">
        <v>0.55087908455516699</v>
      </c>
      <c r="D3" s="30">
        <v>5.4484647972927198E-3</v>
      </c>
      <c r="E3" s="30">
        <f t="shared" si="0"/>
        <v>0.55090602789313003</v>
      </c>
      <c r="F3" s="30">
        <f t="shared" si="1"/>
        <v>0.49822746195159229</v>
      </c>
      <c r="G3" s="90">
        <f t="shared" si="2"/>
        <v>-4.9274733802955363E-3</v>
      </c>
      <c r="H3" s="30">
        <v>-1.150351425477E-2</v>
      </c>
      <c r="I3" s="90">
        <f t="shared" si="3"/>
        <v>0.49820309498116505</v>
      </c>
      <c r="J3" s="30">
        <v>0.49980828672447097</v>
      </c>
      <c r="K3" s="16">
        <f t="shared" si="4"/>
        <v>133.45664942141303</v>
      </c>
      <c r="L3" s="8">
        <f t="shared" si="5"/>
        <v>0.32219626081740982</v>
      </c>
      <c r="M3" s="269"/>
      <c r="N3" s="271"/>
      <c r="O3" s="273"/>
      <c r="P3" s="269"/>
      <c r="Q3" s="257"/>
      <c r="R3" s="136">
        <f>SQRT(POWER((C4-C3),2)+POWER((D4-D3),2))</f>
        <v>0.25698704275732182</v>
      </c>
      <c r="S3" s="136">
        <f>R3/2</f>
        <v>0.12849352137866091</v>
      </c>
      <c r="T3" s="142">
        <f>G5*T8+I5*U8</f>
        <v>-0.85761430547081696</v>
      </c>
      <c r="U3" s="142">
        <f>H5*T8+J5*U8</f>
        <v>-0.86395335544361573</v>
      </c>
      <c r="V3" s="136">
        <f>SQRT(C5*C5+D5*D5)</f>
        <v>1</v>
      </c>
    </row>
    <row r="4" spans="1:22" s="100" customFormat="1" x14ac:dyDescent="0.25">
      <c r="A4" s="266"/>
      <c r="B4" s="2" t="s">
        <v>84</v>
      </c>
      <c r="C4" s="30">
        <v>0.58415171647529496</v>
      </c>
      <c r="D4" s="30">
        <v>-0.249375537428285</v>
      </c>
      <c r="E4" s="30">
        <f t="shared" si="0"/>
        <v>0.63515461623818759</v>
      </c>
      <c r="F4" s="30">
        <f t="shared" si="1"/>
        <v>0.59601856716844437</v>
      </c>
      <c r="G4" s="90">
        <f t="shared" si="2"/>
        <v>0.23400987209251259</v>
      </c>
      <c r="H4" s="30">
        <v>0.233141327315492</v>
      </c>
      <c r="I4" s="90">
        <f t="shared" si="3"/>
        <v>0.5481582911648526</v>
      </c>
      <c r="J4" s="30">
        <v>0.53781674721247297</v>
      </c>
      <c r="K4" s="16">
        <f t="shared" si="4"/>
        <v>0.37115732308815519</v>
      </c>
      <c r="L4" s="8">
        <f t="shared" si="5"/>
        <v>1.8865981084411843</v>
      </c>
      <c r="M4" s="261">
        <v>5.3318310616940701E-2</v>
      </c>
      <c r="N4" s="221">
        <v>-0.95309232617540096</v>
      </c>
      <c r="O4" s="259">
        <v>1.1537363051412</v>
      </c>
      <c r="P4" s="261">
        <v>1.4888037333078701E-3</v>
      </c>
      <c r="Q4" s="274"/>
      <c r="R4" s="136">
        <f>SQRT(POWER((C5-C4),2)+POWER((D5-D4),2))</f>
        <v>0.48488963030579385</v>
      </c>
      <c r="S4" s="136">
        <f>R4/2</f>
        <v>0.24244481515289693</v>
      </c>
      <c r="T4" s="142">
        <f>G8*T8+I8*U8</f>
        <v>-0.60093404885823687</v>
      </c>
      <c r="U4" s="142">
        <f>H8*T8+J8*U8</f>
        <v>-0.59979415401735392</v>
      </c>
      <c r="V4" s="136">
        <f>SQRT(C8*C8+D8*D8)</f>
        <v>0.80182991018657845</v>
      </c>
    </row>
    <row r="5" spans="1:22" s="100" customFormat="1" ht="16.5" thickBot="1" x14ac:dyDescent="0.3">
      <c r="A5" s="266"/>
      <c r="B5" s="3" t="s">
        <v>85</v>
      </c>
      <c r="C5" s="31">
        <v>1</v>
      </c>
      <c r="D5" s="31">
        <v>0</v>
      </c>
      <c r="E5" s="31">
        <f t="shared" si="0"/>
        <v>1</v>
      </c>
      <c r="F5" s="31">
        <f t="shared" si="1"/>
        <v>1</v>
      </c>
      <c r="G5" s="93">
        <f t="shared" si="2"/>
        <v>0</v>
      </c>
      <c r="H5" s="31">
        <v>1.7635744207218699E-2</v>
      </c>
      <c r="I5" s="93">
        <f t="shared" si="3"/>
        <v>1</v>
      </c>
      <c r="J5" s="31">
        <v>1.0179672805766899</v>
      </c>
      <c r="K5" s="19" t="e">
        <f t="shared" si="4"/>
        <v>#DIV/0!</v>
      </c>
      <c r="L5" s="102">
        <f t="shared" si="5"/>
        <v>1.7967280576689948</v>
      </c>
      <c r="M5" s="262"/>
      <c r="N5" s="258"/>
      <c r="O5" s="260"/>
      <c r="P5" s="262"/>
      <c r="Q5" s="275"/>
      <c r="R5" s="137">
        <f>SQRT(POWER((C3-C5),2)+POWER((D3-D5),2))</f>
        <v>0.44915396297778803</v>
      </c>
      <c r="S5" s="137">
        <f>R5/2</f>
        <v>0.22457698148889402</v>
      </c>
      <c r="T5" s="143">
        <f>G4*T8+I4*U8</f>
        <v>-0.34975865901110448</v>
      </c>
      <c r="U5" s="143">
        <f>H4*T8+J4*U8</f>
        <v>-0.34133628982480774</v>
      </c>
      <c r="V5" s="137">
        <f>SQRT(C4*C4+D4*D4)</f>
        <v>0.63515461623818759</v>
      </c>
    </row>
    <row r="6" spans="1:22" s="100" customFormat="1" ht="19.5" thickBot="1" x14ac:dyDescent="0.3">
      <c r="A6" s="266"/>
      <c r="B6" s="6">
        <v>0</v>
      </c>
      <c r="C6" s="5">
        <v>0.66033285210861403</v>
      </c>
      <c r="D6" s="5">
        <v>-9.1824763792709499E-2</v>
      </c>
      <c r="E6" s="5">
        <f t="shared" si="0"/>
        <v>0.66668678014453209</v>
      </c>
      <c r="F6" s="5">
        <f t="shared" si="1"/>
        <v>0.63196728156554915</v>
      </c>
      <c r="G6" s="88">
        <f t="shared" si="2"/>
        <v>8.7042743433275852E-2</v>
      </c>
      <c r="H6" s="5">
        <v>8.7042743433275893E-2</v>
      </c>
      <c r="I6" s="88">
        <f t="shared" si="3"/>
        <v>0.6259442513394935</v>
      </c>
      <c r="J6" s="5">
        <v>0.62594425133949405</v>
      </c>
      <c r="K6" s="4">
        <f t="shared" si="4"/>
        <v>4.783094119196526E-14</v>
      </c>
      <c r="L6" s="7">
        <f t="shared" si="5"/>
        <v>8.8683858206967119E-14</v>
      </c>
      <c r="M6" s="268">
        <f>-1/12*C6*D6/(D6*D6+C6*C6)^2</f>
        <v>2.5577265057762963E-2</v>
      </c>
      <c r="N6" s="270">
        <f>-1/0.96*(1-0.04*(C6*C6-D6*D6)/(C6*C6+D6*D6)^2)</f>
        <v>-0.95147905432174695</v>
      </c>
      <c r="O6" s="272">
        <f>1/0.96*(1-0.04*(D6*D6-C6*C6)/(C6*C6+D6*D6)^2)</f>
        <v>1.1318542790115866</v>
      </c>
      <c r="P6" s="268">
        <f>1/12*C6*D6/(C6*C6+D6*D6)^2</f>
        <v>-2.5577265057762963E-2</v>
      </c>
      <c r="Q6" s="256">
        <v>-2.3529370910404901E-3</v>
      </c>
      <c r="R6" s="144" t="s">
        <v>77</v>
      </c>
      <c r="S6" s="144" t="s">
        <v>76</v>
      </c>
      <c r="T6" s="140" t="s">
        <v>31</v>
      </c>
      <c r="U6" s="99" t="s">
        <v>32</v>
      </c>
      <c r="V6" s="135"/>
    </row>
    <row r="7" spans="1:22" s="100" customFormat="1" ht="16.5" thickBot="1" x14ac:dyDescent="0.3">
      <c r="A7" s="266"/>
      <c r="B7" s="2" t="s">
        <v>55</v>
      </c>
      <c r="C7" s="30">
        <v>0.56751540051523097</v>
      </c>
      <c r="D7" s="30">
        <v>-0.121963536315496</v>
      </c>
      <c r="E7" s="30">
        <f t="shared" si="0"/>
        <v>0.58047293994857707</v>
      </c>
      <c r="F7" s="30">
        <f t="shared" si="1"/>
        <v>0.5328787628305337</v>
      </c>
      <c r="G7" s="90">
        <f t="shared" si="2"/>
        <v>0.11196349367809612</v>
      </c>
      <c r="H7" s="30">
        <v>0.109955917147962</v>
      </c>
      <c r="I7" s="90">
        <f t="shared" si="3"/>
        <v>0.5209836388594129</v>
      </c>
      <c r="J7" s="30">
        <v>0.519896435549421</v>
      </c>
      <c r="K7" s="16">
        <f t="shared" si="4"/>
        <v>1.7930634925577216</v>
      </c>
      <c r="L7" s="8">
        <f t="shared" si="5"/>
        <v>0.20868281245301892</v>
      </c>
      <c r="M7" s="269"/>
      <c r="N7" s="271"/>
      <c r="O7" s="273"/>
      <c r="P7" s="269"/>
      <c r="Q7" s="276"/>
      <c r="R7" s="128">
        <v>1.1910306360409</v>
      </c>
      <c r="S7" s="138">
        <f>SUM(R3:R5)</f>
        <v>1.1910306360409038</v>
      </c>
      <c r="T7" s="135">
        <v>-0.99158307551798697</v>
      </c>
      <c r="U7" s="135">
        <v>-0.129472021480661</v>
      </c>
      <c r="V7" s="136"/>
    </row>
    <row r="8" spans="1:22" s="100" customFormat="1" ht="19.5" thickBot="1" x14ac:dyDescent="0.3">
      <c r="A8" s="266"/>
      <c r="B8" s="2" t="s">
        <v>56</v>
      </c>
      <c r="C8" s="30">
        <v>0.79207585823764703</v>
      </c>
      <c r="D8" s="30">
        <v>-0.124687768714142</v>
      </c>
      <c r="E8" s="30">
        <f t="shared" si="0"/>
        <v>0.80182991018657845</v>
      </c>
      <c r="F8" s="30">
        <f t="shared" si="1"/>
        <v>0.78327501933660293</v>
      </c>
      <c r="G8" s="90">
        <f t="shared" si="2"/>
        <v>0.12180240872765863</v>
      </c>
      <c r="H8" s="30">
        <v>0.124302663142213</v>
      </c>
      <c r="I8" s="90">
        <f t="shared" si="3"/>
        <v>0.77374668280057657</v>
      </c>
      <c r="J8" s="30">
        <v>0.77391688694270699</v>
      </c>
      <c r="K8" s="16">
        <f t="shared" si="4"/>
        <v>2.0527134402939096</v>
      </c>
      <c r="L8" s="8">
        <f t="shared" si="5"/>
        <v>2.1997398620743895E-2</v>
      </c>
      <c r="M8" s="261">
        <v>-5.6957584114745899E-2</v>
      </c>
      <c r="N8" s="221">
        <v>-0.95759798272257901</v>
      </c>
      <c r="O8" s="259">
        <v>1.1344986861228901</v>
      </c>
      <c r="P8" s="261">
        <v>5.2676185244459398E-2</v>
      </c>
      <c r="Q8" s="263"/>
      <c r="R8" s="134" t="s">
        <v>74</v>
      </c>
      <c r="S8" s="139" t="s">
        <v>75</v>
      </c>
      <c r="T8" s="136">
        <v>0.51429340171910298</v>
      </c>
      <c r="U8" s="136">
        <v>-0.85761430547081696</v>
      </c>
      <c r="V8" s="136"/>
    </row>
    <row r="9" spans="1:22" ht="16.5" thickBot="1" x14ac:dyDescent="0.3">
      <c r="A9" s="267"/>
      <c r="B9" s="3" t="s">
        <v>57</v>
      </c>
      <c r="C9" s="31">
        <v>0.77543954227758305</v>
      </c>
      <c r="D9" s="31">
        <v>2.7242323986463599E-3</v>
      </c>
      <c r="E9" s="31">
        <f t="shared" si="0"/>
        <v>0.77544432757602222</v>
      </c>
      <c r="F9" s="31">
        <f t="shared" si="1"/>
        <v>0.75402187334278115</v>
      </c>
      <c r="G9" s="90">
        <f t="shared" si="2"/>
        <v>-2.6489726516789117E-3</v>
      </c>
      <c r="H9" s="31">
        <v>-2.7761824377573901E-3</v>
      </c>
      <c r="I9" s="90">
        <f t="shared" si="3"/>
        <v>0.75401722024317708</v>
      </c>
      <c r="J9" s="31">
        <v>0.75864892720995303</v>
      </c>
      <c r="K9" s="19">
        <f t="shared" si="4"/>
        <v>4.8022310082308035</v>
      </c>
      <c r="L9" s="102">
        <f t="shared" si="5"/>
        <v>0.61427071457097293</v>
      </c>
      <c r="M9" s="262"/>
      <c r="N9" s="258"/>
      <c r="O9" s="260"/>
      <c r="P9" s="262"/>
      <c r="Q9" s="264"/>
      <c r="R9" s="129">
        <v>5.7132752196568798E-2</v>
      </c>
      <c r="S9" s="131">
        <f>SQRT(S7/2*(S7/2-R3)*(S7/2-R4)*(S7/2-R5))</f>
        <v>5.7132752196568784E-2</v>
      </c>
      <c r="T9" s="137">
        <v>1.21305058986247E-2</v>
      </c>
      <c r="U9" s="137">
        <v>0.999926422706512</v>
      </c>
      <c r="V9" s="137"/>
    </row>
    <row r="10" spans="1:22" ht="35.25" thickBot="1" x14ac:dyDescent="0.3">
      <c r="R10" s="133"/>
      <c r="T10" s="112" t="s">
        <v>89</v>
      </c>
      <c r="U10" s="27" t="s">
        <v>90</v>
      </c>
      <c r="V10" s="130" t="s">
        <v>3</v>
      </c>
    </row>
    <row r="11" spans="1:22" x14ac:dyDescent="0.25">
      <c r="T11" s="136">
        <f>G5*T9+I5*U9</f>
        <v>0.999926422706512</v>
      </c>
      <c r="U11" s="136">
        <f>H5*T9+J5*U9</f>
        <v>1.0181063117984579</v>
      </c>
      <c r="V11" s="136">
        <f>SQRT(C5*C5+D5*D5)</f>
        <v>1</v>
      </c>
    </row>
    <row r="12" spans="1:22" x14ac:dyDescent="0.25">
      <c r="T12" s="136">
        <f>G9*T9+I9*U9</f>
        <v>0.75392960831849176</v>
      </c>
      <c r="U12" s="136">
        <f>H9*T9+J9*U9</f>
        <v>0.7585594313777444</v>
      </c>
      <c r="V12" s="136">
        <f>SQRT(C9*C9+D9*D9)</f>
        <v>0.77544432757602222</v>
      </c>
    </row>
    <row r="13" spans="1:22" ht="16.5" thickBot="1" x14ac:dyDescent="0.3">
      <c r="T13" s="137">
        <f>G3*T9+I3*U9</f>
        <v>0.498106665800924</v>
      </c>
      <c r="U13" s="137">
        <f>H3*T9+J3*U9</f>
        <v>0.49963196873594851</v>
      </c>
      <c r="V13" s="137">
        <f>SQRT(C3*C3+D3*D3)</f>
        <v>0.55090602789313003</v>
      </c>
    </row>
    <row r="14" spans="1:22" ht="35.25" thickBot="1" x14ac:dyDescent="0.3">
      <c r="T14" s="112" t="s">
        <v>86</v>
      </c>
      <c r="U14" s="27" t="s">
        <v>81</v>
      </c>
      <c r="V14" s="130" t="s">
        <v>3</v>
      </c>
    </row>
    <row r="15" spans="1:22" x14ac:dyDescent="0.25">
      <c r="T15" s="136">
        <f>G3*T7+I3*U7</f>
        <v>-5.9617362606166735E-2</v>
      </c>
      <c r="U15" s="136">
        <f>H3*T7+J3*U7</f>
        <v>-5.3304499190993233E-2</v>
      </c>
      <c r="V15" s="136">
        <f>SQRT(C3*C3+D3*D3)</f>
        <v>0.55090602789313003</v>
      </c>
    </row>
    <row r="16" spans="1:22" x14ac:dyDescent="0.25">
      <c r="T16" s="136">
        <f>G7*T7+I7*U7</f>
        <v>-0.17847391028854409</v>
      </c>
      <c r="U16" s="136">
        <f>H7*T7+J7*U7</f>
        <v>-0.17634246896815087</v>
      </c>
      <c r="V16" s="136">
        <f>SQRT(C7*C7+D7*D7)</f>
        <v>0.58047293994857707</v>
      </c>
    </row>
    <row r="17" spans="1:22" ht="16.5" thickBot="1" x14ac:dyDescent="0.3">
      <c r="T17" s="137">
        <f>G4*T7+I4*U7</f>
        <v>-0.30301139071956262</v>
      </c>
      <c r="U17" s="137">
        <f>H4*T7+J4*U7</f>
        <v>-0.30081121581759374</v>
      </c>
      <c r="V17" s="137">
        <f>SQRT(C4*C4+D4*D4)</f>
        <v>0.63515461623818759</v>
      </c>
    </row>
    <row r="24" spans="1:22" ht="16.5" thickBot="1" x14ac:dyDescent="0.3"/>
    <row r="25" spans="1:22" ht="16.5" thickBot="1" x14ac:dyDescent="0.3">
      <c r="A25" s="254" t="s">
        <v>99</v>
      </c>
      <c r="B25" s="255"/>
      <c r="C25" s="130" t="s">
        <v>100</v>
      </c>
      <c r="D25" s="130" t="s">
        <v>101</v>
      </c>
      <c r="E25" s="130" t="s">
        <v>102</v>
      </c>
      <c r="F25" s="134" t="s">
        <v>103</v>
      </c>
      <c r="G25" s="134" t="s">
        <v>107</v>
      </c>
    </row>
    <row r="26" spans="1:22" x14ac:dyDescent="0.25">
      <c r="A26" s="251" t="s">
        <v>82</v>
      </c>
      <c r="B26" s="145">
        <v>1</v>
      </c>
      <c r="C26" s="146">
        <f>(T15+4*T16+T17)*R3/6</f>
        <v>-4.6108803432251246E-2</v>
      </c>
      <c r="D26" s="146">
        <f>(T15+2*T16+T17)*R3/4</f>
        <v>-4.6230463941182624E-2</v>
      </c>
      <c r="E26" s="148">
        <f>T16*R3</f>
        <v>-4.5865482414388495E-2</v>
      </c>
      <c r="F26" s="141">
        <v>-4.5317729612650202E-2</v>
      </c>
      <c r="G26" s="135">
        <f>(H7*T7+J7*U7)*R3</f>
        <v>-4.5317729612649883E-2</v>
      </c>
      <c r="H26">
        <f>(U15+4*U16+U17)*R3/6</f>
        <v>-4.5379011474091811E-2</v>
      </c>
    </row>
    <row r="27" spans="1:22" x14ac:dyDescent="0.25">
      <c r="A27" s="252"/>
      <c r="B27" s="147">
        <v>2</v>
      </c>
      <c r="C27" s="149">
        <f>(T3+4*T4+T5)*R4/6</f>
        <v>-0.29183156425749773</v>
      </c>
      <c r="D27" s="149">
        <f>(T3+4*T4+T5)*R4/6</f>
        <v>-0.29183156425749773</v>
      </c>
      <c r="E27" s="132">
        <f>T4*R4</f>
        <v>-0.29138668878903434</v>
      </c>
      <c r="F27" s="152">
        <v>-0.29083396560105101</v>
      </c>
      <c r="G27" s="151">
        <f>(H8*T8+J8*U8)*R4</f>
        <v>-0.29083396560105113</v>
      </c>
      <c r="H27">
        <f>(U3+4*U4+U5)*R4/6</f>
        <v>-0.29129471881830199</v>
      </c>
    </row>
    <row r="28" spans="1:22" x14ac:dyDescent="0.25">
      <c r="A28" s="252"/>
      <c r="B28" s="147">
        <v>3</v>
      </c>
      <c r="C28" s="149">
        <f>(T11+4*T12+T13)*R5/6</f>
        <v>0.33789489731752309</v>
      </c>
      <c r="D28" s="149">
        <f>(T11+4*T12+T13)*R5/6</f>
        <v>0.33789489731752309</v>
      </c>
      <c r="E28" s="132">
        <f>T12*R5</f>
        <v>0.3386304713825421</v>
      </c>
      <c r="F28" s="152">
        <v>0.34070997475749099</v>
      </c>
      <c r="G28" s="151">
        <f>(H9*T9+J9*U9)*R5</f>
        <v>0.34070997475749137</v>
      </c>
      <c r="H28">
        <f>(U11+4*U12+U13)*R5/6</f>
        <v>0.34075634374918123</v>
      </c>
    </row>
    <row r="29" spans="1:22" ht="19.5" thickBot="1" x14ac:dyDescent="0.3">
      <c r="A29" s="253"/>
      <c r="B29" s="138" t="s">
        <v>106</v>
      </c>
      <c r="C29" s="150">
        <f>SUM(C26:C28)</f>
        <v>-4.5470372225908662E-5</v>
      </c>
      <c r="D29" s="150">
        <f>SUM(D26:D28)</f>
        <v>-1.6713088115727359E-4</v>
      </c>
      <c r="E29" s="150">
        <f>SUM(E26:E28)</f>
        <v>1.3783001791192739E-3</v>
      </c>
      <c r="F29" s="153">
        <v>4.3427807501454701E-3</v>
      </c>
      <c r="G29" s="128">
        <f>SUM(G26:G28)</f>
        <v>4.5582795437903445E-3</v>
      </c>
      <c r="H29" s="154">
        <f>SUM(H26:H28)</f>
        <v>4.0826134567874539E-3</v>
      </c>
    </row>
  </sheetData>
  <mergeCells count="23">
    <mergeCell ref="Q8:Q9"/>
    <mergeCell ref="A25:B25"/>
    <mergeCell ref="Q4:Q5"/>
    <mergeCell ref="M6:M7"/>
    <mergeCell ref="N6:N7"/>
    <mergeCell ref="O6:O7"/>
    <mergeCell ref="P6:P7"/>
    <mergeCell ref="Q6:Q7"/>
    <mergeCell ref="A2:A9"/>
    <mergeCell ref="M2:M3"/>
    <mergeCell ref="N2:N3"/>
    <mergeCell ref="O2:O3"/>
    <mergeCell ref="P2:P3"/>
    <mergeCell ref="Q2:Q3"/>
    <mergeCell ref="O8:O9"/>
    <mergeCell ref="P8:P9"/>
    <mergeCell ref="M4:M5"/>
    <mergeCell ref="N4:N5"/>
    <mergeCell ref="A26:A29"/>
    <mergeCell ref="M8:M9"/>
    <mergeCell ref="N8:N9"/>
    <mergeCell ref="O4:O5"/>
    <mergeCell ref="P4:P5"/>
  </mergeCells>
  <conditionalFormatting sqref="K2:L5">
    <cfRule type="cellIs" dxfId="12" priority="3" operator="greaterThan">
      <formula>5</formula>
    </cfRule>
  </conditionalFormatting>
  <conditionalFormatting sqref="K7:L9">
    <cfRule type="cellIs" dxfId="11" priority="2" operator="greaterThan">
      <formula>5</formula>
    </cfRule>
  </conditionalFormatting>
  <conditionalFormatting sqref="K6:L6">
    <cfRule type="cellIs" dxfId="10" priority="1" operator="greaterThan">
      <formula>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G2" sqref="G2"/>
    </sheetView>
  </sheetViews>
  <sheetFormatPr defaultRowHeight="15.75" x14ac:dyDescent="0.25"/>
  <cols>
    <col min="3" max="3" width="11.375" bestFit="1" customWidth="1"/>
    <col min="8" max="8" width="9.125" customWidth="1"/>
    <col min="13" max="13" width="11.375" bestFit="1" customWidth="1"/>
    <col min="14" max="14" width="12.125" bestFit="1" customWidth="1"/>
    <col min="15" max="15" width="11.375" bestFit="1" customWidth="1"/>
    <col min="16" max="16" width="12.125" bestFit="1" customWidth="1"/>
    <col min="17" max="17" width="10.375" bestFit="1" customWidth="1"/>
    <col min="20" max="21" width="13" bestFit="1" customWidth="1"/>
  </cols>
  <sheetData>
    <row r="1" spans="1:22" s="100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112" t="s">
        <v>79</v>
      </c>
      <c r="U1" s="27" t="s">
        <v>98</v>
      </c>
      <c r="V1" s="130" t="s">
        <v>3</v>
      </c>
    </row>
    <row r="2" spans="1:22" s="100" customFormat="1" x14ac:dyDescent="0.25">
      <c r="A2" s="265" t="s">
        <v>91</v>
      </c>
      <c r="B2" s="6">
        <v>0</v>
      </c>
      <c r="C2" s="5">
        <v>5.5247601130158697E-2</v>
      </c>
      <c r="D2" s="5">
        <v>-0.23074400502558101</v>
      </c>
      <c r="E2" s="5">
        <f t="shared" ref="E2:E9" si="0">SQRT(D2*D2+C2*C2)</f>
        <v>0.23726587046156147</v>
      </c>
      <c r="F2" s="5">
        <f t="shared" ref="F2:F9" si="1">1/0.96*(E2-0.04/E2)</f>
        <v>7.1540232369313617E-2</v>
      </c>
      <c r="G2" s="88">
        <f t="shared" ref="G2:G9" si="2">-F2*D2/E2</f>
        <v>6.9573764255447118E-2</v>
      </c>
      <c r="H2" s="5">
        <v>6.9573764255448201E-2</v>
      </c>
      <c r="I2" s="88">
        <f t="shared" ref="I2:I9" si="3">F2*C2/E2</f>
        <v>1.6658216434626338E-2</v>
      </c>
      <c r="J2" s="5">
        <v>1.6658216434626501E-2</v>
      </c>
      <c r="K2" s="4">
        <f t="shared" ref="K2:K9" si="4">ABS((G2-H2)/G2)*100</f>
        <v>1.555855803683611E-12</v>
      </c>
      <c r="L2" s="7">
        <f t="shared" ref="L2:L9" si="5">ABS((I2-J2)/I2)*100</f>
        <v>9.7888034641493457E-13</v>
      </c>
      <c r="M2" s="268">
        <f>-1/12*C2*D2/(D2*D2+C2*C2)^2</f>
        <v>0.33521351471629535</v>
      </c>
      <c r="N2" s="270">
        <f>-1/0.96*(1-0.04*(C2*C2-D2*D2)/(C2*C2+D2*D2)^2)</f>
        <v>-1.7015530708291557</v>
      </c>
      <c r="O2" s="272">
        <f>1/0.96*(1-0.04*(D2*D2-C2*C2)/(C2*C2+D2*D2)^2)</f>
        <v>0.38178026250417763</v>
      </c>
      <c r="P2" s="268">
        <f>1/12*C2*D2/(C2*C2+D2*D2)^2</f>
        <v>-0.33521351471629535</v>
      </c>
      <c r="Q2" s="256">
        <v>1.7683012531248901E-4</v>
      </c>
      <c r="R2" s="135" t="s">
        <v>64</v>
      </c>
      <c r="S2" s="135" t="s">
        <v>64</v>
      </c>
      <c r="T2" s="141" t="s">
        <v>64</v>
      </c>
      <c r="U2" s="141" t="s">
        <v>64</v>
      </c>
      <c r="V2" s="135" t="s">
        <v>64</v>
      </c>
    </row>
    <row r="3" spans="1:22" s="100" customFormat="1" x14ac:dyDescent="0.25">
      <c r="A3" s="266"/>
      <c r="B3" s="2" t="s">
        <v>92</v>
      </c>
      <c r="C3" s="30">
        <v>-4.45041867912623E-2</v>
      </c>
      <c r="D3" s="30">
        <v>-0.19498558243636399</v>
      </c>
      <c r="E3" s="30">
        <f t="shared" si="0"/>
        <v>0.19999999999999915</v>
      </c>
      <c r="F3" s="30">
        <f t="shared" si="1"/>
        <v>-1.763635533909754E-15</v>
      </c>
      <c r="G3" s="90">
        <f t="shared" si="2"/>
        <v>-1.7194175089243131E-15</v>
      </c>
      <c r="H3" s="30">
        <v>3.1320933234136798E-3</v>
      </c>
      <c r="I3" s="90">
        <f t="shared" si="3"/>
        <v>3.9244582616413822E-16</v>
      </c>
      <c r="J3" s="30">
        <v>-6.1698377837002397E-2</v>
      </c>
      <c r="K3" s="16">
        <f t="shared" si="4"/>
        <v>182160138951642.53</v>
      </c>
      <c r="L3" s="8">
        <f t="shared" si="5"/>
        <v>1.5721501854168734E+16</v>
      </c>
      <c r="M3" s="269"/>
      <c r="N3" s="271"/>
      <c r="O3" s="273"/>
      <c r="P3" s="269"/>
      <c r="Q3" s="257"/>
      <c r="R3" s="136">
        <f>SQRT(POWER((C4-C3),2)+POWER((D4-D3),2))</f>
        <v>0.22167804809623956</v>
      </c>
      <c r="S3" s="136">
        <f>R3/2</f>
        <v>0.11083902404811978</v>
      </c>
      <c r="T3" s="142">
        <f>G5*T8+I5*U8</f>
        <v>-1.6601419249685562E-15</v>
      </c>
      <c r="U3" s="142">
        <f>H5*T8+J5*U8</f>
        <v>-3.1585395189800095E-2</v>
      </c>
      <c r="V3" s="136">
        <f>SQRT(C5*C5+D5*D5)</f>
        <v>0.19999999999999882</v>
      </c>
    </row>
    <row r="4" spans="1:22" s="100" customFormat="1" x14ac:dyDescent="0.25">
      <c r="A4" s="266"/>
      <c r="B4" s="2" t="s">
        <v>93</v>
      </c>
      <c r="C4" s="30">
        <v>9.1057883631293995E-2</v>
      </c>
      <c r="D4" s="30">
        <v>-0.37038250963438701</v>
      </c>
      <c r="E4" s="30">
        <f t="shared" si="0"/>
        <v>0.3814115121682578</v>
      </c>
      <c r="F4" s="30">
        <f t="shared" si="1"/>
        <v>0.28806032070319859</v>
      </c>
      <c r="G4" s="90">
        <f t="shared" si="2"/>
        <v>0.27973068747088631</v>
      </c>
      <c r="H4" s="30">
        <v>0.27110161151504297</v>
      </c>
      <c r="I4" s="90">
        <f t="shared" si="3"/>
        <v>6.8771293798320851E-2</v>
      </c>
      <c r="J4" s="30">
        <v>6.5033478746062801E-2</v>
      </c>
      <c r="K4" s="16">
        <f t="shared" si="4"/>
        <v>3.0847798766238075</v>
      </c>
      <c r="L4" s="8">
        <f t="shared" si="5"/>
        <v>5.435138479755218</v>
      </c>
      <c r="M4" s="261">
        <v>0.16566277110175201</v>
      </c>
      <c r="N4" s="221">
        <v>-1.4104933914347599</v>
      </c>
      <c r="O4" s="259">
        <v>0.711099224132827</v>
      </c>
      <c r="P4" s="261">
        <v>-0.16558433425369001</v>
      </c>
      <c r="Q4" s="274"/>
      <c r="R4" s="136">
        <f>SQRT(POWER((C5-C4),2)+POWER((D5-D4),2))</f>
        <v>0.21664393425670642</v>
      </c>
      <c r="S4" s="136">
        <f>R4/2</f>
        <v>0.10832196712835321</v>
      </c>
      <c r="T4" s="142">
        <f>G8*T8+I8*U8</f>
        <v>0.12835683941244105</v>
      </c>
      <c r="U4" s="142">
        <f>H8*T8+J8*U8</f>
        <v>0.11825476917641169</v>
      </c>
      <c r="V4" s="136">
        <f>SQRT(C8*C8+D8*D8)</f>
        <v>0.28461152865736528</v>
      </c>
    </row>
    <row r="5" spans="1:22" s="100" customFormat="1" ht="16.5" thickBot="1" x14ac:dyDescent="0.3">
      <c r="A5" s="266"/>
      <c r="B5" s="3" t="s">
        <v>73</v>
      </c>
      <c r="C5" s="31">
        <v>0.12469796037174601</v>
      </c>
      <c r="D5" s="31">
        <v>-0.15636629649360501</v>
      </c>
      <c r="E5" s="31">
        <f t="shared" si="0"/>
        <v>0.19999999999999882</v>
      </c>
      <c r="F5" s="31">
        <f t="shared" si="1"/>
        <v>-2.4575249243004768E-15</v>
      </c>
      <c r="G5" s="93">
        <f t="shared" si="2"/>
        <v>-1.9213703547679742E-15</v>
      </c>
      <c r="H5" s="31">
        <v>-2.3271141000489898E-2</v>
      </c>
      <c r="I5" s="93">
        <f t="shared" si="3"/>
        <v>-1.532241728115004E-15</v>
      </c>
      <c r="J5" s="31">
        <v>5.5362026102085897E-2</v>
      </c>
      <c r="K5" s="19">
        <f t="shared" si="4"/>
        <v>1211174146761425</v>
      </c>
      <c r="L5" s="102">
        <f t="shared" si="5"/>
        <v>3613139172902892</v>
      </c>
      <c r="M5" s="262"/>
      <c r="N5" s="258"/>
      <c r="O5" s="260"/>
      <c r="P5" s="262"/>
      <c r="Q5" s="275"/>
      <c r="R5" s="137">
        <f>SQRT(POWER((C3-C5),2)+POWER((D3-D5),2))</f>
        <v>0.17355349564702202</v>
      </c>
      <c r="S5" s="137">
        <f>R5/2</f>
        <v>8.6776747823511011E-2</v>
      </c>
      <c r="T5" s="143">
        <f>G4*T8+I4*U8</f>
        <v>0.26565909185656922</v>
      </c>
      <c r="U5" s="143">
        <f>H4*T8+J4*U8</f>
        <v>0.25771508096293905</v>
      </c>
      <c r="V5" s="137">
        <f>SQRT(C4*C4+D4*D4)</f>
        <v>0.3814115121682578</v>
      </c>
    </row>
    <row r="6" spans="1:22" s="100" customFormat="1" ht="19.5" thickBot="1" x14ac:dyDescent="0.3">
      <c r="A6" s="266"/>
      <c r="B6" s="6">
        <v>0</v>
      </c>
      <c r="C6" s="5">
        <v>5.5247601130158697E-2</v>
      </c>
      <c r="D6" s="5">
        <v>-0.23074400502558101</v>
      </c>
      <c r="E6" s="5">
        <f t="shared" si="0"/>
        <v>0.23726587046156147</v>
      </c>
      <c r="F6" s="5">
        <f t="shared" si="1"/>
        <v>7.1540232369313617E-2</v>
      </c>
      <c r="G6" s="88">
        <f t="shared" si="2"/>
        <v>6.9573764255447118E-2</v>
      </c>
      <c r="H6" s="5">
        <v>6.9573764255448201E-2</v>
      </c>
      <c r="I6" s="88">
        <f t="shared" si="3"/>
        <v>1.6658216434626338E-2</v>
      </c>
      <c r="J6" s="5">
        <v>1.6658216434626501E-2</v>
      </c>
      <c r="K6" s="4">
        <f t="shared" si="4"/>
        <v>1.555855803683611E-12</v>
      </c>
      <c r="L6" s="7">
        <f t="shared" si="5"/>
        <v>9.7888034641493457E-13</v>
      </c>
      <c r="M6" s="268">
        <f>-1/12*C6*D6/(D6*D6+C6*C6)^2</f>
        <v>0.33521351471629535</v>
      </c>
      <c r="N6" s="270">
        <f>-1/0.96*(1-0.04*(C6*C6-D6*D6)/(C6*C6+D6*D6)^2)</f>
        <v>-1.7015530708291557</v>
      </c>
      <c r="O6" s="272">
        <f>1/0.96*(1-0.04*(D6*D6-C6*C6)/(C6*C6+D6*D6)^2)</f>
        <v>0.38178026250417763</v>
      </c>
      <c r="P6" s="268">
        <f>1/12*C6*D6/(C6*C6+D6*D6)^2</f>
        <v>-0.33521351471629535</v>
      </c>
      <c r="Q6" s="256">
        <f>Q2</f>
        <v>1.7683012531248901E-4</v>
      </c>
      <c r="R6" s="144" t="s">
        <v>77</v>
      </c>
      <c r="S6" s="144" t="s">
        <v>76</v>
      </c>
      <c r="T6" s="140" t="s">
        <v>31</v>
      </c>
      <c r="U6" s="99" t="s">
        <v>32</v>
      </c>
      <c r="V6" s="135"/>
    </row>
    <row r="7" spans="1:22" s="100" customFormat="1" ht="16.5" thickBot="1" x14ac:dyDescent="0.3">
      <c r="A7" s="266"/>
      <c r="B7" s="2" t="s">
        <v>55</v>
      </c>
      <c r="C7" s="30">
        <v>2.3276848420015799E-2</v>
      </c>
      <c r="D7" s="30">
        <v>-0.282684046035376</v>
      </c>
      <c r="E7" s="30">
        <f t="shared" si="0"/>
        <v>0.2836407614488774</v>
      </c>
      <c r="F7" s="30">
        <f t="shared" si="1"/>
        <v>0.14855969479912426</v>
      </c>
      <c r="G7" s="90">
        <f t="shared" si="2"/>
        <v>0.14805860550182662</v>
      </c>
      <c r="H7" s="30">
        <v>0.14182740009445</v>
      </c>
      <c r="I7" s="90">
        <f t="shared" si="3"/>
        <v>1.2191482914864072E-2</v>
      </c>
      <c r="J7" s="30">
        <v>4.0357518499587004E-3</v>
      </c>
      <c r="K7" s="16">
        <f t="shared" si="4"/>
        <v>4.2086073864174995</v>
      </c>
      <c r="L7" s="8">
        <f t="shared" si="5"/>
        <v>66.89695684978372</v>
      </c>
      <c r="M7" s="269"/>
      <c r="N7" s="271"/>
      <c r="O7" s="273"/>
      <c r="P7" s="269"/>
      <c r="Q7" s="276"/>
      <c r="R7" s="128">
        <v>0.611875477999968</v>
      </c>
      <c r="S7" s="138">
        <f>SUM(R3:R5)</f>
        <v>0.611875477999968</v>
      </c>
      <c r="T7" s="135">
        <v>-0.79122370800502395</v>
      </c>
      <c r="U7" s="135">
        <v>-0.61152681371365802</v>
      </c>
      <c r="V7" s="136"/>
    </row>
    <row r="8" spans="1:22" s="100" customFormat="1" ht="19.5" thickBot="1" x14ac:dyDescent="0.3">
      <c r="A8" s="266"/>
      <c r="B8" s="2" t="s">
        <v>56</v>
      </c>
      <c r="C8" s="30">
        <v>0.10787792200151999</v>
      </c>
      <c r="D8" s="30">
        <v>-0.26337440306399601</v>
      </c>
      <c r="E8" s="30">
        <f t="shared" si="0"/>
        <v>0.28461152865736528</v>
      </c>
      <c r="F8" s="30">
        <f t="shared" si="1"/>
        <v>0.15007196255554314</v>
      </c>
      <c r="G8" s="90">
        <f t="shared" si="2"/>
        <v>0.13887390205577918</v>
      </c>
      <c r="H8" s="30">
        <v>0.129410896525398</v>
      </c>
      <c r="I8" s="90">
        <f t="shared" si="3"/>
        <v>5.688262716396101E-2</v>
      </c>
      <c r="J8" s="30">
        <v>6.1737420831304998E-2</v>
      </c>
      <c r="K8" s="16">
        <f t="shared" si="4"/>
        <v>6.8140992586067988</v>
      </c>
      <c r="L8" s="8">
        <f t="shared" si="5"/>
        <v>8.5347564087543208</v>
      </c>
      <c r="M8" s="261">
        <f>M4</f>
        <v>0.16566277110175201</v>
      </c>
      <c r="N8" s="274">
        <f>N4</f>
        <v>-1.4104933914347599</v>
      </c>
      <c r="O8" s="277">
        <f>O4</f>
        <v>0.711099224132827</v>
      </c>
      <c r="P8" s="261">
        <f>P4</f>
        <v>-0.16558433425369001</v>
      </c>
      <c r="Q8" s="263"/>
      <c r="R8" s="134" t="s">
        <v>74</v>
      </c>
      <c r="S8" s="139" t="s">
        <v>75</v>
      </c>
      <c r="T8" s="136">
        <v>0.987870783805048</v>
      </c>
      <c r="U8" s="136">
        <v>-0.155278184251361</v>
      </c>
      <c r="V8" s="136"/>
    </row>
    <row r="9" spans="1:22" ht="16.5" thickBot="1" x14ac:dyDescent="0.3">
      <c r="A9" s="267"/>
      <c r="B9" s="3" t="s">
        <v>57</v>
      </c>
      <c r="C9" s="31">
        <v>4.0096886790242203E-2</v>
      </c>
      <c r="D9" s="31">
        <v>-0.175675939464985</v>
      </c>
      <c r="E9" s="31">
        <f t="shared" si="0"/>
        <v>0.18019377358048355</v>
      </c>
      <c r="F9" s="31">
        <f t="shared" si="1"/>
        <v>-4.353070755673466E-2</v>
      </c>
      <c r="G9" s="90">
        <f t="shared" si="2"/>
        <v>-4.2439301834084835E-2</v>
      </c>
      <c r="H9" s="31">
        <v>0</v>
      </c>
      <c r="I9" s="90">
        <f t="shared" si="3"/>
        <v>-9.6864937013038752E-3</v>
      </c>
      <c r="J9" s="31">
        <v>0</v>
      </c>
      <c r="K9" s="19">
        <f t="shared" si="4"/>
        <v>100</v>
      </c>
      <c r="L9" s="102">
        <f t="shared" si="5"/>
        <v>100</v>
      </c>
      <c r="M9" s="262"/>
      <c r="N9" s="275"/>
      <c r="O9" s="278"/>
      <c r="P9" s="262"/>
      <c r="Q9" s="264"/>
      <c r="R9" s="129">
        <v>1.74564235241703E-2</v>
      </c>
      <c r="S9" s="131">
        <f>SQRT(S7/2*(S7/2-R3)*(S7/2-R4)*(S7/2-R5))</f>
        <v>1.7456423524170237E-2</v>
      </c>
      <c r="T9" s="137">
        <v>-0.222520933956316</v>
      </c>
      <c r="U9" s="137">
        <v>0.97492791218182295</v>
      </c>
      <c r="V9" s="137"/>
    </row>
    <row r="10" spans="1:22" ht="35.25" thickBot="1" x14ac:dyDescent="0.3">
      <c r="R10" s="133"/>
      <c r="T10" s="112" t="s">
        <v>96</v>
      </c>
      <c r="U10" s="27" t="s">
        <v>97</v>
      </c>
      <c r="V10" s="130" t="s">
        <v>3</v>
      </c>
    </row>
    <row r="11" spans="1:22" x14ac:dyDescent="0.25">
      <c r="T11" s="136">
        <f>G5*T9+I5*U9</f>
        <v>-1.0662801031300814E-15</v>
      </c>
      <c r="U11" s="136">
        <f>H5*T9+J5*U9</f>
        <v>5.915230055152032E-2</v>
      </c>
      <c r="V11" s="136">
        <f>SQRT(C5*C5+D5*D5)</f>
        <v>0.19999999999999882</v>
      </c>
    </row>
    <row r="12" spans="1:22" x14ac:dyDescent="0.25">
      <c r="T12" s="136">
        <f>G9*T9+I9*U9</f>
        <v>-1.3877787807814457E-17</v>
      </c>
      <c r="U12" s="136">
        <f>H9*T9+J9*U9</f>
        <v>0</v>
      </c>
      <c r="V12" s="136">
        <f>SQRT(C9*C9+D9*D9)</f>
        <v>0.18019377358048355</v>
      </c>
    </row>
    <row r="13" spans="1:22" ht="16.5" thickBot="1" x14ac:dyDescent="0.3">
      <c r="T13" s="137">
        <f>G3*T9+I3*U9</f>
        <v>7.6521277989335444E-16</v>
      </c>
      <c r="U13" s="137">
        <f>H3*T9+J3*U9</f>
        <v>-6.0848427021198352E-2</v>
      </c>
      <c r="V13" s="137">
        <f>SQRT(C3*C3+D3*D3)</f>
        <v>0.19999999999999915</v>
      </c>
    </row>
    <row r="14" spans="1:22" ht="35.25" thickBot="1" x14ac:dyDescent="0.3">
      <c r="T14" s="112" t="s">
        <v>94</v>
      </c>
      <c r="U14" s="27" t="s">
        <v>95</v>
      </c>
      <c r="V14" s="130" t="s">
        <v>3</v>
      </c>
    </row>
    <row r="15" spans="1:22" x14ac:dyDescent="0.25">
      <c r="T15" s="136">
        <f>G3*T7+I3*U7</f>
        <v>1.1204527513904768E-15</v>
      </c>
      <c r="U15" s="136">
        <f>H3*T7+J3*U7</f>
        <v>3.52520259167943E-2</v>
      </c>
      <c r="V15" s="136">
        <f>SQRT(C3*C3+D3*D3)</f>
        <v>0.19999999999999915</v>
      </c>
    </row>
    <row r="16" spans="1:22" x14ac:dyDescent="0.25">
      <c r="T16" s="136">
        <f>G7*T7+I7*U7</f>
        <v>-0.12460289754857963</v>
      </c>
      <c r="U16" s="136">
        <f>H7*T7+J7*U7</f>
        <v>-0.11468517186918706</v>
      </c>
      <c r="V16" s="136">
        <f>SQRT(C7*C7+D7*D7)</f>
        <v>0.2836407614488774</v>
      </c>
    </row>
    <row r="17" spans="1:22" ht="16.5" thickBot="1" x14ac:dyDescent="0.3">
      <c r="T17" s="137">
        <f>G4*T7+I4*U7</f>
        <v>-0.26338504195496215</v>
      </c>
      <c r="U17" s="137">
        <f>H4*T7+J4*U7</f>
        <v>-0.25427173835136452</v>
      </c>
      <c r="V17" s="137">
        <f>SQRT(C4*C4+D4*D4)</f>
        <v>0.3814115121682578</v>
      </c>
    </row>
    <row r="24" spans="1:22" ht="16.5" thickBot="1" x14ac:dyDescent="0.3"/>
    <row r="25" spans="1:22" ht="16.5" thickBot="1" x14ac:dyDescent="0.3">
      <c r="A25" s="254" t="s">
        <v>99</v>
      </c>
      <c r="B25" s="255"/>
      <c r="C25" s="130" t="s">
        <v>100</v>
      </c>
      <c r="D25" s="130" t="s">
        <v>101</v>
      </c>
      <c r="E25" s="130" t="s">
        <v>102</v>
      </c>
      <c r="F25" s="134" t="s">
        <v>103</v>
      </c>
      <c r="G25" s="134" t="s">
        <v>107</v>
      </c>
    </row>
    <row r="26" spans="1:22" x14ac:dyDescent="0.25">
      <c r="A26" s="251" t="s">
        <v>91</v>
      </c>
      <c r="B26" s="145">
        <v>1</v>
      </c>
      <c r="C26" s="146">
        <f>(T15+4*T16+T17)*R3/6</f>
        <v>-2.8145598410190219E-2</v>
      </c>
      <c r="D26" s="146">
        <f>(T15+2*T16+T17)*R3/4</f>
        <v>-2.8407534057432904E-2</v>
      </c>
      <c r="E26" s="148">
        <f>T16*R3</f>
        <v>-2.7621727115704847E-2</v>
      </c>
      <c r="F26" s="141">
        <v>-2.5423185045543199E-2</v>
      </c>
      <c r="G26" s="135">
        <f>(H7*T7+J7*U7)*R3</f>
        <v>-2.542318504554315E-2</v>
      </c>
    </row>
    <row r="27" spans="1:22" x14ac:dyDescent="0.25">
      <c r="A27" s="252"/>
      <c r="B27" s="147">
        <v>2</v>
      </c>
      <c r="C27" s="149">
        <f>(T3+4*T4+T5)*R4/6</f>
        <v>2.8130725591190092E-2</v>
      </c>
      <c r="D27" s="149">
        <f>(T3+4*T4+T5)*R4/6</f>
        <v>2.8130725591190092E-2</v>
      </c>
      <c r="E27" s="132">
        <f>T4*R4</f>
        <v>2.7807730679067503E-2</v>
      </c>
      <c r="F27" s="152">
        <v>2.5619178438996498E-2</v>
      </c>
      <c r="G27" s="151">
        <f>(H8*T8+J8*U8)*R4</f>
        <v>2.5619178438996526E-2</v>
      </c>
    </row>
    <row r="28" spans="1:22" x14ac:dyDescent="0.25">
      <c r="A28" s="252"/>
      <c r="B28" s="147">
        <v>3</v>
      </c>
      <c r="C28" s="149">
        <f>(T11+4*T12+T13)*R5/6</f>
        <v>-1.0314240119400191E-17</v>
      </c>
      <c r="D28" s="149">
        <f>(T11+4*T12+T13)*R5/6</f>
        <v>-1.0314240119400191E-17</v>
      </c>
      <c r="E28" s="132">
        <f>T12*R5</f>
        <v>-2.4085385858938216E-18</v>
      </c>
      <c r="F28" s="152">
        <v>0</v>
      </c>
      <c r="G28" s="151">
        <f>(H9*T9+J9*U9)*R5</f>
        <v>0</v>
      </c>
    </row>
    <row r="29" spans="1:22" ht="19.5" thickBot="1" x14ac:dyDescent="0.3">
      <c r="A29" s="253"/>
      <c r="B29" s="138" t="s">
        <v>106</v>
      </c>
      <c r="C29" s="150">
        <f>SUM(C26:C28)</f>
        <v>-1.4872819000137554E-5</v>
      </c>
      <c r="D29" s="150">
        <f>SUM(D26:D28)</f>
        <v>-2.7680846624282193E-4</v>
      </c>
      <c r="E29" s="150">
        <f>SUM(E26:E28)</f>
        <v>1.8600356336265328E-4</v>
      </c>
      <c r="F29" s="153">
        <v>1.7683012531248901E-4</v>
      </c>
      <c r="G29" s="128">
        <f>SUM(G26:G28)</f>
        <v>1.9599339345337599E-4</v>
      </c>
    </row>
  </sheetData>
  <mergeCells count="23">
    <mergeCell ref="Q8:Q9"/>
    <mergeCell ref="A25:B25"/>
    <mergeCell ref="Q4:Q5"/>
    <mergeCell ref="M6:M7"/>
    <mergeCell ref="N6:N7"/>
    <mergeCell ref="O6:O7"/>
    <mergeCell ref="P6:P7"/>
    <mergeCell ref="Q6:Q7"/>
    <mergeCell ref="A2:A9"/>
    <mergeCell ref="M2:M3"/>
    <mergeCell ref="N2:N3"/>
    <mergeCell ref="O2:O3"/>
    <mergeCell ref="P2:P3"/>
    <mergeCell ref="Q2:Q3"/>
    <mergeCell ref="O8:O9"/>
    <mergeCell ref="P8:P9"/>
    <mergeCell ref="M4:M5"/>
    <mergeCell ref="N4:N5"/>
    <mergeCell ref="A26:A29"/>
    <mergeCell ref="M8:M9"/>
    <mergeCell ref="N8:N9"/>
    <mergeCell ref="O4:O5"/>
    <mergeCell ref="P4:P5"/>
  </mergeCells>
  <conditionalFormatting sqref="K2:L5">
    <cfRule type="cellIs" dxfId="9" priority="3" operator="greaterThan">
      <formula>5</formula>
    </cfRule>
  </conditionalFormatting>
  <conditionalFormatting sqref="K7:L9">
    <cfRule type="cellIs" dxfId="8" priority="2" operator="greaterThan">
      <formula>5</formula>
    </cfRule>
  </conditionalFormatting>
  <conditionalFormatting sqref="K6:L6">
    <cfRule type="cellIs" dxfId="7" priority="1" operator="greaterThan">
      <formula>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sqref="A1:R5"/>
    </sheetView>
  </sheetViews>
  <sheetFormatPr defaultRowHeight="15.75" x14ac:dyDescent="0.25"/>
  <cols>
    <col min="1" max="2" width="9.125" style="101" bestFit="1" customWidth="1"/>
    <col min="3" max="6" width="11.375" style="101" bestFit="1" customWidth="1"/>
    <col min="7" max="8" width="12.125" style="101" bestFit="1" customWidth="1"/>
    <col min="9" max="10" width="11.375" style="101" bestFit="1" customWidth="1"/>
    <col min="11" max="11" width="10.375" style="101" customWidth="1"/>
    <col min="12" max="12" width="10.25" style="101" bestFit="1" customWidth="1"/>
    <col min="13" max="13" width="9.5" style="101" customWidth="1"/>
    <col min="14" max="14" width="10.75" style="101" customWidth="1"/>
    <col min="15" max="16" width="11.375" style="101" bestFit="1" customWidth="1"/>
    <col min="17" max="18" width="12.125" style="101" bestFit="1" customWidth="1"/>
    <col min="19" max="19" width="11.375" style="101" bestFit="1" customWidth="1"/>
    <col min="20" max="16384" width="9" style="101"/>
  </cols>
  <sheetData>
    <row r="1" spans="1:18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58</v>
      </c>
      <c r="L1" s="10" t="s">
        <v>10</v>
      </c>
      <c r="M1" s="11" t="s">
        <v>11</v>
      </c>
      <c r="N1" s="10" t="s">
        <v>51</v>
      </c>
      <c r="O1" s="10" t="s">
        <v>52</v>
      </c>
      <c r="P1" s="10" t="s">
        <v>53</v>
      </c>
      <c r="Q1" s="10" t="s">
        <v>54</v>
      </c>
      <c r="R1" s="10" t="s">
        <v>59</v>
      </c>
    </row>
    <row r="2" spans="1:18" x14ac:dyDescent="0.25">
      <c r="A2" s="194" t="s">
        <v>60</v>
      </c>
      <c r="B2" s="6">
        <v>0</v>
      </c>
      <c r="C2" s="5">
        <v>0.215999570887704</v>
      </c>
      <c r="D2" s="5">
        <v>8.7535826562047503E-2</v>
      </c>
      <c r="E2" s="5">
        <f>SQRT(D2*D2+C2*C2)</f>
        <v>0.23306294333414124</v>
      </c>
      <c r="F2" s="5">
        <f>1/0.96*(E2-0.04/E2)</f>
        <v>6.3995299540198489E-2</v>
      </c>
      <c r="G2" s="88">
        <f>-F2*D2/E2</f>
        <v>-2.4035916483324003E-2</v>
      </c>
      <c r="H2" s="5">
        <v>-2.9028580553714899E-2</v>
      </c>
      <c r="I2" s="88">
        <f t="shared" ref="I2:I29" si="0">F2*C2/E2</f>
        <v>5.9309974557795943E-2</v>
      </c>
      <c r="J2" s="5">
        <v>7.37070171687665E-2</v>
      </c>
      <c r="K2" s="125" t="s">
        <v>64</v>
      </c>
      <c r="L2" s="4">
        <f t="shared" ref="L2:L29" si="1">ABS((G2-H2)/G2)*100</f>
        <v>20.771681719957634</v>
      </c>
      <c r="M2" s="7">
        <f t="shared" ref="M2:M29" si="2">ABS((I2-J2)/I2)*100</f>
        <v>24.274235014113916</v>
      </c>
      <c r="N2" s="117">
        <f>-1/12*C2*D2/(D2*D2+C2*C2)^2</f>
        <v>-0.53402866836813123</v>
      </c>
      <c r="O2" s="270">
        <f>-1/0.96*(1-0.04*(C2*C2-D2*D2)/(C2*C2+D2*D2)^2)</f>
        <v>-0.49100382475466869</v>
      </c>
      <c r="P2" s="272">
        <f>1/0.96*(1-0.04*(D2*D2-C2*C2)/(C2*C2+D2*D2)^2)</f>
        <v>1.5923295085786646</v>
      </c>
      <c r="Q2" s="121">
        <f>1/12*C2*D2/(C2*C2+D2*D2)^2</f>
        <v>0.53402866836813123</v>
      </c>
      <c r="R2" s="279">
        <v>-2.3529370910404901E-3</v>
      </c>
    </row>
    <row r="3" spans="1:18" x14ac:dyDescent="0.25">
      <c r="A3" s="195"/>
      <c r="B3" s="2" t="s">
        <v>55</v>
      </c>
      <c r="C3" s="30">
        <v>0.26387200699677998</v>
      </c>
      <c r="D3" s="30">
        <v>6.0759982506205297E-2</v>
      </c>
      <c r="E3" s="30">
        <f>SQRT(D3*D3+C3*C3)</f>
        <v>0.27077705137375119</v>
      </c>
      <c r="F3" s="30">
        <f>1/0.96*(E3-0.04/E3)</f>
        <v>0.12818129720564639</v>
      </c>
      <c r="G3" s="90">
        <f>-F3*D3/E3</f>
        <v>-2.8762752738184093E-2</v>
      </c>
      <c r="H3" s="30">
        <v>-2.71776400341752E-2</v>
      </c>
      <c r="I3" s="90">
        <f t="shared" si="0"/>
        <v>0.12491256545377782</v>
      </c>
      <c r="J3" s="30">
        <v>0.133975249197297</v>
      </c>
      <c r="K3" s="126">
        <v>-2.0404952538293199E-2</v>
      </c>
      <c r="L3" s="16">
        <f t="shared" si="1"/>
        <v>5.5109909626437474</v>
      </c>
      <c r="M3" s="8">
        <f t="shared" si="2"/>
        <v>7.2552218510576498</v>
      </c>
      <c r="N3" s="118"/>
      <c r="O3" s="271"/>
      <c r="P3" s="273"/>
      <c r="Q3" s="122"/>
      <c r="R3" s="276"/>
    </row>
    <row r="4" spans="1:18" x14ac:dyDescent="0.25">
      <c r="A4" s="195"/>
      <c r="B4" s="2" t="s">
        <v>56</v>
      </c>
      <c r="C4" s="30">
        <v>0.22622098718265299</v>
      </c>
      <c r="D4" s="30">
        <v>0.13894313075300799</v>
      </c>
      <c r="E4" s="30">
        <f>SQRT(D4*D4+C4*C4)</f>
        <v>0.26548282171421472</v>
      </c>
      <c r="F4" s="30">
        <f>1/0.96*(E4-0.04/E4)</f>
        <v>0.11959785362525914</v>
      </c>
      <c r="G4" s="90">
        <f>-F4*D4/E4</f>
        <v>-6.2592751224866738E-2</v>
      </c>
      <c r="H4" s="30">
        <v>-7.2232755478001495E-2</v>
      </c>
      <c r="I4" s="90">
        <f t="shared" si="0"/>
        <v>0.10191071624648143</v>
      </c>
      <c r="J4" s="30">
        <v>0.101247965715746</v>
      </c>
      <c r="K4" s="126">
        <v>1.8052015447252701E-2</v>
      </c>
      <c r="L4" s="16">
        <f t="shared" si="1"/>
        <v>15.401151194812785</v>
      </c>
      <c r="M4" s="8">
        <f t="shared" si="2"/>
        <v>0.65032467158066276</v>
      </c>
      <c r="N4" s="119">
        <v>-5.6957584114745899E-2</v>
      </c>
      <c r="O4" s="221">
        <v>-0.95759798272257901</v>
      </c>
      <c r="P4" s="259">
        <v>1.1344986861228901</v>
      </c>
      <c r="Q4" s="123">
        <v>5.2676185244459398E-2</v>
      </c>
      <c r="R4" s="263">
        <f>K3+K4+K5</f>
        <v>-2.3529370910404974E-3</v>
      </c>
    </row>
    <row r="5" spans="1:18" ht="16.5" thickBot="1" x14ac:dyDescent="0.3">
      <c r="A5" s="210"/>
      <c r="B5" s="3" t="s">
        <v>57</v>
      </c>
      <c r="C5" s="31">
        <v>0.16234898018587299</v>
      </c>
      <c r="D5" s="31">
        <v>7.81831482468031E-2</v>
      </c>
      <c r="E5" s="31">
        <f>SQRT(D5*D5+C5*C5)</f>
        <v>0.18019377358048355</v>
      </c>
      <c r="F5" s="31">
        <f>1/0.96*(E5-0.04/E5)</f>
        <v>-4.353070755673466E-2</v>
      </c>
      <c r="G5" s="93">
        <f>-F5*D5/E5</f>
        <v>1.8887266161149035E-2</v>
      </c>
      <c r="H5" s="31">
        <v>0</v>
      </c>
      <c r="I5" s="93">
        <f t="shared" si="0"/>
        <v>-3.9219812306382482E-2</v>
      </c>
      <c r="J5" s="31">
        <v>0</v>
      </c>
      <c r="K5" s="127">
        <v>0</v>
      </c>
      <c r="L5" s="19">
        <f t="shared" si="1"/>
        <v>100</v>
      </c>
      <c r="M5" s="102">
        <f t="shared" si="2"/>
        <v>100</v>
      </c>
      <c r="N5" s="120"/>
      <c r="O5" s="258"/>
      <c r="P5" s="260"/>
      <c r="Q5" s="124"/>
      <c r="R5" s="264"/>
    </row>
    <row r="6" spans="1:18" x14ac:dyDescent="0.25">
      <c r="A6" s="195" t="s">
        <v>61</v>
      </c>
      <c r="B6" s="6">
        <v>0</v>
      </c>
      <c r="C6" s="5">
        <v>0.215999570887704</v>
      </c>
      <c r="D6" s="5">
        <v>8.7535826562047503E-2</v>
      </c>
      <c r="E6" s="5">
        <f t="shared" ref="E6:E13" si="3">SQRT(D6*D6+C6*C6)</f>
        <v>0.23306294333414124</v>
      </c>
      <c r="F6" s="5">
        <f t="shared" ref="F6:F13" si="4">1/0.96*(E6-0.04/E6)</f>
        <v>6.3995299540198489E-2</v>
      </c>
      <c r="G6" s="88">
        <f t="shared" ref="G6:G13" si="5">-F6*D6/E6</f>
        <v>-2.4035916483324003E-2</v>
      </c>
      <c r="H6" s="5">
        <v>-2.9028580553714899E-2</v>
      </c>
      <c r="I6" s="88">
        <f t="shared" si="0"/>
        <v>5.9309974557795943E-2</v>
      </c>
      <c r="J6" s="5">
        <v>7.37070171687665E-2</v>
      </c>
      <c r="K6" s="125" t="s">
        <v>64</v>
      </c>
      <c r="L6" s="4">
        <f t="shared" si="1"/>
        <v>20.771681719957634</v>
      </c>
      <c r="M6" s="7">
        <f t="shared" si="2"/>
        <v>24.274235014113916</v>
      </c>
      <c r="N6" s="117">
        <f>-1/12*C6*D6/(D6*D6+C6*C6)^2</f>
        <v>-0.53402866836813123</v>
      </c>
      <c r="O6" s="270">
        <f>-1/0.96*(1-0.04*(C6*C6-D6*D6)/(C6*C6+D6*D6)^2)</f>
        <v>-0.49100382475466869</v>
      </c>
      <c r="P6" s="272">
        <f>1/0.96*(1-0.04*(D6*D6-C6*C6)/(C6*C6+D6*D6)^2)</f>
        <v>1.5923295085786646</v>
      </c>
      <c r="Q6" s="121">
        <f>1/12*C6*D6/(C6*C6+D6*D6)^2</f>
        <v>0.53402866836813123</v>
      </c>
      <c r="R6" s="279">
        <v>1.52082465948405E-2</v>
      </c>
    </row>
    <row r="7" spans="1:18" x14ac:dyDescent="0.25">
      <c r="A7" s="195"/>
      <c r="B7" s="2" t="s">
        <v>55</v>
      </c>
      <c r="C7" s="30">
        <v>0.26387200699677998</v>
      </c>
      <c r="D7" s="30">
        <v>6.0759982506205297E-2</v>
      </c>
      <c r="E7" s="30">
        <f t="shared" si="3"/>
        <v>0.27077705137375119</v>
      </c>
      <c r="F7" s="30">
        <f t="shared" si="4"/>
        <v>0.12818129720564639</v>
      </c>
      <c r="G7" s="90">
        <f t="shared" si="5"/>
        <v>-2.8762752738184093E-2</v>
      </c>
      <c r="H7" s="30">
        <v>-1.9446955419259601E-2</v>
      </c>
      <c r="I7" s="90">
        <f t="shared" si="0"/>
        <v>0.12491256545377782</v>
      </c>
      <c r="J7" s="30">
        <v>0.128605755576468</v>
      </c>
      <c r="K7" s="126">
        <v>-1.8779599346129099E-2</v>
      </c>
      <c r="L7" s="16">
        <f t="shared" si="1"/>
        <v>32.388406644254438</v>
      </c>
      <c r="M7" s="8">
        <f t="shared" si="2"/>
        <v>2.9566201841053297</v>
      </c>
      <c r="N7" s="118"/>
      <c r="O7" s="271"/>
      <c r="P7" s="273"/>
      <c r="Q7" s="122"/>
      <c r="R7" s="276"/>
    </row>
    <row r="8" spans="1:18" x14ac:dyDescent="0.25">
      <c r="A8" s="195"/>
      <c r="B8" s="2" t="s">
        <v>56</v>
      </c>
      <c r="C8" s="30">
        <v>0.22622098718265299</v>
      </c>
      <c r="D8" s="30">
        <v>0.13894313075300799</v>
      </c>
      <c r="E8" s="30">
        <f t="shared" si="3"/>
        <v>0.26548282171421472</v>
      </c>
      <c r="F8" s="30">
        <f t="shared" si="4"/>
        <v>0.11959785362525914</v>
      </c>
      <c r="G8" s="90">
        <f t="shared" si="5"/>
        <v>-6.2592751224866738E-2</v>
      </c>
      <c r="H8" s="30">
        <v>-7.2147538592033295E-2</v>
      </c>
      <c r="I8" s="90">
        <f t="shared" si="0"/>
        <v>0.10191071624648143</v>
      </c>
      <c r="J8" s="30">
        <v>0.17971716378022401</v>
      </c>
      <c r="K8" s="126">
        <v>3.3987845940969597E-2</v>
      </c>
      <c r="L8" s="16">
        <f t="shared" si="1"/>
        <v>15.265006219075808</v>
      </c>
      <c r="M8" s="8">
        <f t="shared" si="2"/>
        <v>76.34766038299621</v>
      </c>
      <c r="N8" s="119">
        <v>-5.6957584114745899E-2</v>
      </c>
      <c r="O8" s="221">
        <v>-0.95759798272257901</v>
      </c>
      <c r="P8" s="259">
        <v>1.1344986861228901</v>
      </c>
      <c r="Q8" s="123">
        <v>5.2676185244459398E-2</v>
      </c>
      <c r="R8" s="263">
        <f>K7+K8+K9</f>
        <v>1.5208246594840498E-2</v>
      </c>
    </row>
    <row r="9" spans="1:18" ht="16.5" thickBot="1" x14ac:dyDescent="0.3">
      <c r="A9" s="196"/>
      <c r="B9" s="3" t="s">
        <v>57</v>
      </c>
      <c r="C9" s="31">
        <v>0.16234898018587299</v>
      </c>
      <c r="D9" s="31">
        <v>7.81831482468031E-2</v>
      </c>
      <c r="E9" s="31">
        <f t="shared" si="3"/>
        <v>0.18019377358048355</v>
      </c>
      <c r="F9" s="31">
        <f t="shared" si="4"/>
        <v>-4.353070755673466E-2</v>
      </c>
      <c r="G9" s="93">
        <f t="shared" si="5"/>
        <v>1.8887266161149035E-2</v>
      </c>
      <c r="H9" s="31">
        <v>0</v>
      </c>
      <c r="I9" s="93">
        <f t="shared" si="0"/>
        <v>-3.9219812306382482E-2</v>
      </c>
      <c r="J9" s="31">
        <v>0</v>
      </c>
      <c r="K9" s="127">
        <v>0</v>
      </c>
      <c r="L9" s="19">
        <f t="shared" si="1"/>
        <v>100</v>
      </c>
      <c r="M9" s="102">
        <f t="shared" si="2"/>
        <v>100</v>
      </c>
      <c r="N9" s="120"/>
      <c r="O9" s="258"/>
      <c r="P9" s="260"/>
      <c r="Q9" s="124"/>
      <c r="R9" s="264"/>
    </row>
    <row r="10" spans="1:18" x14ac:dyDescent="0.25">
      <c r="A10" s="194" t="s">
        <v>65</v>
      </c>
      <c r="B10" s="6">
        <v>0</v>
      </c>
      <c r="C10" s="5">
        <v>0.247879199310308</v>
      </c>
      <c r="D10" s="5">
        <v>0.20326976144112499</v>
      </c>
      <c r="E10" s="5">
        <f t="shared" si="3"/>
        <v>0.32056620746275061</v>
      </c>
      <c r="F10" s="5">
        <f t="shared" si="4"/>
        <v>0.20394478291438509</v>
      </c>
      <c r="G10" s="88">
        <f t="shared" si="5"/>
        <v>-0.12932057841744343</v>
      </c>
      <c r="H10" s="5">
        <v>-0.13515577123328601</v>
      </c>
      <c r="I10" s="88">
        <f t="shared" si="0"/>
        <v>0.15770118095871546</v>
      </c>
      <c r="J10" s="5">
        <v>0.154317453343947</v>
      </c>
      <c r="K10" s="125" t="s">
        <v>64</v>
      </c>
      <c r="L10" s="4">
        <f t="shared" si="1"/>
        <v>4.5121920171179006</v>
      </c>
      <c r="M10" s="7">
        <f t="shared" si="2"/>
        <v>2.1456577523374958</v>
      </c>
      <c r="N10" s="117">
        <f>-1/12*C10*D10/(D10*D10+C10*C10)^2</f>
        <v>-0.39761307687490022</v>
      </c>
      <c r="O10" s="270">
        <f>-1/0.96*(1-0.04*(C10*C10-D10*D10)/(C10*C10+D10*D10)^2)</f>
        <v>-0.96225861994314255</v>
      </c>
      <c r="P10" s="272">
        <f>1/0.96*(1-0.04*(D10*D10-C10*C10)/(C10*C10+D10*D10)^2)</f>
        <v>1.1210747133901908</v>
      </c>
      <c r="Q10" s="121">
        <f>1/12*C10*D10/(C10*C10+D10*D10)^2</f>
        <v>0.39761307687490022</v>
      </c>
      <c r="R10" s="279">
        <v>5.5289471330137504E-3</v>
      </c>
    </row>
    <row r="11" spans="1:18" x14ac:dyDescent="0.25">
      <c r="A11" s="195"/>
      <c r="B11" s="2" t="s">
        <v>55</v>
      </c>
      <c r="C11" s="30">
        <v>0.30970835329033097</v>
      </c>
      <c r="D11" s="30">
        <v>0.24363297654796201</v>
      </c>
      <c r="E11" s="30">
        <f t="shared" si="3"/>
        <v>0.39405112784945595</v>
      </c>
      <c r="F11" s="30">
        <f t="shared" si="4"/>
        <v>0.30473068513065271</v>
      </c>
      <c r="G11" s="90">
        <f t="shared" si="5"/>
        <v>-0.18840814964560751</v>
      </c>
      <c r="H11" s="30">
        <v>-0.18554090555397601</v>
      </c>
      <c r="I11" s="90">
        <f t="shared" si="0"/>
        <v>0.23950607425974685</v>
      </c>
      <c r="J11" s="30">
        <v>0.23748255535377899</v>
      </c>
      <c r="K11" s="126">
        <v>-3.6742325791069397E-2</v>
      </c>
      <c r="L11" s="16">
        <f t="shared" si="1"/>
        <v>1.5218259385407349</v>
      </c>
      <c r="M11" s="8">
        <f t="shared" si="2"/>
        <v>0.84487164353641009</v>
      </c>
      <c r="N11" s="118"/>
      <c r="O11" s="271"/>
      <c r="P11" s="273"/>
      <c r="Q11" s="122"/>
      <c r="R11" s="276"/>
    </row>
    <row r="12" spans="1:18" x14ac:dyDescent="0.25">
      <c r="A12" s="195"/>
      <c r="B12" s="2" t="s">
        <v>56</v>
      </c>
      <c r="C12" s="30">
        <v>0.208185326479424</v>
      </c>
      <c r="D12" s="30">
        <v>0.26105614228856</v>
      </c>
      <c r="E12" s="30">
        <f t="shared" si="3"/>
        <v>0.33390333868940164</v>
      </c>
      <c r="F12" s="30">
        <f t="shared" si="4"/>
        <v>0.22302936491459346</v>
      </c>
      <c r="G12" s="90">
        <f t="shared" si="5"/>
        <v>-0.1743713790050801</v>
      </c>
      <c r="H12" s="30">
        <v>-0.17841260948587401</v>
      </c>
      <c r="I12" s="90">
        <f t="shared" si="0"/>
        <v>0.13905653453927863</v>
      </c>
      <c r="J12" s="30">
        <v>0.137698288618117</v>
      </c>
      <c r="K12" s="126">
        <v>6.0323288371335798E-2</v>
      </c>
      <c r="L12" s="16">
        <f t="shared" si="1"/>
        <v>2.3175996564643646</v>
      </c>
      <c r="M12" s="8">
        <f t="shared" si="2"/>
        <v>0.97675806869613158</v>
      </c>
      <c r="N12" s="119">
        <v>-5.6957584114745899E-2</v>
      </c>
      <c r="O12" s="221">
        <v>-0.95759798272257901</v>
      </c>
      <c r="P12" s="259">
        <v>1.1344986861228901</v>
      </c>
      <c r="Q12" s="123">
        <v>5.2676185244459398E-2</v>
      </c>
      <c r="R12" s="263">
        <f>K11+K12+K13</f>
        <v>5.5289471330137001E-3</v>
      </c>
    </row>
    <row r="13" spans="1:18" ht="16.5" thickBot="1" x14ac:dyDescent="0.3">
      <c r="A13" s="210"/>
      <c r="B13" s="3" t="s">
        <v>57</v>
      </c>
      <c r="C13" s="31">
        <v>0.22622098718265299</v>
      </c>
      <c r="D13" s="31">
        <v>0.13894313075300799</v>
      </c>
      <c r="E13" s="31">
        <f t="shared" si="3"/>
        <v>0.26548282171421472</v>
      </c>
      <c r="F13" s="31">
        <f t="shared" si="4"/>
        <v>0.11959785362525914</v>
      </c>
      <c r="G13" s="93">
        <f t="shared" si="5"/>
        <v>-6.2592751224866738E-2</v>
      </c>
      <c r="H13" s="31">
        <v>-7.2232755478001495E-2</v>
      </c>
      <c r="I13" s="93">
        <f t="shared" si="0"/>
        <v>0.10191071624648143</v>
      </c>
      <c r="J13" s="31">
        <v>0.101247965715746</v>
      </c>
      <c r="K13" s="127">
        <v>-1.8052015447252701E-2</v>
      </c>
      <c r="L13" s="19">
        <f t="shared" si="1"/>
        <v>15.401151194812785</v>
      </c>
      <c r="M13" s="102">
        <f t="shared" si="2"/>
        <v>0.65032467158066276</v>
      </c>
      <c r="N13" s="120"/>
      <c r="O13" s="258"/>
      <c r="P13" s="260"/>
      <c r="Q13" s="124"/>
      <c r="R13" s="264"/>
    </row>
    <row r="14" spans="1:18" x14ac:dyDescent="0.25">
      <c r="A14" s="195" t="s">
        <v>66</v>
      </c>
      <c r="B14" s="6">
        <v>0</v>
      </c>
      <c r="C14" s="5">
        <v>0.247879199310308</v>
      </c>
      <c r="D14" s="5">
        <v>0.20326976144112499</v>
      </c>
      <c r="E14" s="5">
        <f t="shared" ref="E14:E21" si="6">SQRT(D14*D14+C14*C14)</f>
        <v>0.32056620746275061</v>
      </c>
      <c r="F14" s="5">
        <f t="shared" ref="F14:F21" si="7">1/0.96*(E14-0.04/E14)</f>
        <v>0.20394478291438509</v>
      </c>
      <c r="G14" s="88">
        <f t="shared" ref="G14:G21" si="8">-F14*D14/E14</f>
        <v>-0.12932057841744343</v>
      </c>
      <c r="H14" s="5">
        <v>-0.13515577123328601</v>
      </c>
      <c r="I14" s="88">
        <f t="shared" si="0"/>
        <v>0.15770118095871546</v>
      </c>
      <c r="J14" s="5">
        <v>0.154317453343947</v>
      </c>
      <c r="K14" s="125" t="s">
        <v>64</v>
      </c>
      <c r="L14" s="4">
        <f t="shared" si="1"/>
        <v>4.5121920171179006</v>
      </c>
      <c r="M14" s="7">
        <f t="shared" si="2"/>
        <v>2.1456577523374958</v>
      </c>
      <c r="N14" s="117">
        <f>-1/12*C14*D14/(D14*D14+C14*C14)^2</f>
        <v>-0.39761307687490022</v>
      </c>
      <c r="O14" s="270">
        <f>-1/0.96*(1-0.04*(C14*C14-D14*D14)/(C14*C14+D14*D14)^2)</f>
        <v>-0.96225861994314255</v>
      </c>
      <c r="P14" s="272">
        <f>1/0.96*(1-0.04*(D14*D14-C14*C14)/(C14*C14+D14*D14)^2)</f>
        <v>1.1210747133901908</v>
      </c>
      <c r="Q14" s="121">
        <f>1/12*C14*D14/(C14*C14+D14*D14)^2</f>
        <v>0.39761307687490022</v>
      </c>
      <c r="R14" s="279">
        <v>4.0323231025556301E-2</v>
      </c>
    </row>
    <row r="15" spans="1:18" x14ac:dyDescent="0.25">
      <c r="A15" s="195"/>
      <c r="B15" s="2" t="s">
        <v>55</v>
      </c>
      <c r="C15" s="30">
        <v>0.30970835329033097</v>
      </c>
      <c r="D15" s="30">
        <v>0.24363297654796201</v>
      </c>
      <c r="E15" s="30">
        <f t="shared" si="6"/>
        <v>0.39405112784945595</v>
      </c>
      <c r="F15" s="30">
        <f t="shared" si="7"/>
        <v>0.30473068513065271</v>
      </c>
      <c r="G15" s="90">
        <f t="shared" si="8"/>
        <v>-0.18840814964560751</v>
      </c>
      <c r="H15" s="30">
        <v>-0.10928521800916099</v>
      </c>
      <c r="I15" s="90">
        <f t="shared" si="0"/>
        <v>0.23950607425974685</v>
      </c>
      <c r="J15" s="30">
        <v>0.20891546658270099</v>
      </c>
      <c r="K15" s="126">
        <v>-1.91491551261549E-2</v>
      </c>
      <c r="L15" s="16">
        <f t="shared" si="1"/>
        <v>41.995493180775561</v>
      </c>
      <c r="M15" s="8">
        <f t="shared" si="2"/>
        <v>12.772372379946415</v>
      </c>
      <c r="N15" s="118"/>
      <c r="O15" s="271"/>
      <c r="P15" s="273"/>
      <c r="Q15" s="122"/>
      <c r="R15" s="276"/>
    </row>
    <row r="16" spans="1:18" x14ac:dyDescent="0.25">
      <c r="A16" s="195"/>
      <c r="B16" s="2" t="s">
        <v>56</v>
      </c>
      <c r="C16" s="30">
        <v>0.208185326479424</v>
      </c>
      <c r="D16" s="30">
        <v>0.26105614228856</v>
      </c>
      <c r="E16" s="30">
        <f t="shared" si="6"/>
        <v>0.33390333868940164</v>
      </c>
      <c r="F16" s="30">
        <f t="shared" si="7"/>
        <v>0.22302936491459346</v>
      </c>
      <c r="G16" s="90">
        <f t="shared" si="8"/>
        <v>-0.1743713790050801</v>
      </c>
      <c r="H16" s="30">
        <v>-0.23443812529143099</v>
      </c>
      <c r="I16" s="90">
        <f t="shared" si="0"/>
        <v>0.13905653453927863</v>
      </c>
      <c r="J16" s="30">
        <v>0.18780054897422499</v>
      </c>
      <c r="K16" s="126">
        <v>8.0419705098214195E-2</v>
      </c>
      <c r="L16" s="16">
        <f t="shared" si="1"/>
        <v>34.447594914415923</v>
      </c>
      <c r="M16" s="8">
        <f t="shared" si="2"/>
        <v>35.053379257900225</v>
      </c>
      <c r="N16" s="119">
        <v>-5.6957584114745899E-2</v>
      </c>
      <c r="O16" s="221">
        <v>-0.95759798272257901</v>
      </c>
      <c r="P16" s="259">
        <v>1.1344986861228901</v>
      </c>
      <c r="Q16" s="123">
        <v>5.2676185244459398E-2</v>
      </c>
      <c r="R16" s="263">
        <f>K15+K16+K17</f>
        <v>4.0323231025556391E-2</v>
      </c>
    </row>
    <row r="17" spans="1:18" ht="16.5" thickBot="1" x14ac:dyDescent="0.3">
      <c r="A17" s="196"/>
      <c r="B17" s="3" t="s">
        <v>57</v>
      </c>
      <c r="C17" s="31">
        <v>0.22622098718265299</v>
      </c>
      <c r="D17" s="31">
        <v>0.13894313075300799</v>
      </c>
      <c r="E17" s="31">
        <f t="shared" si="6"/>
        <v>0.26548282171421472</v>
      </c>
      <c r="F17" s="31">
        <f t="shared" si="7"/>
        <v>0.11959785362525914</v>
      </c>
      <c r="G17" s="93">
        <f t="shared" si="8"/>
        <v>-6.2592751224866738E-2</v>
      </c>
      <c r="H17" s="31">
        <v>-9.3570629844627898E-2</v>
      </c>
      <c r="I17" s="93">
        <f t="shared" si="0"/>
        <v>0.10191071624648143</v>
      </c>
      <c r="J17" s="31">
        <v>0.119169270156912</v>
      </c>
      <c r="K17" s="127">
        <v>-2.09473189465029E-2</v>
      </c>
      <c r="L17" s="19">
        <f t="shared" si="1"/>
        <v>49.49115994034517</v>
      </c>
      <c r="M17" s="102">
        <f t="shared" si="2"/>
        <v>16.934974599421913</v>
      </c>
      <c r="N17" s="120"/>
      <c r="O17" s="258"/>
      <c r="P17" s="260"/>
      <c r="Q17" s="124"/>
      <c r="R17" s="264"/>
    </row>
    <row r="18" spans="1:18" x14ac:dyDescent="0.25">
      <c r="A18" s="194" t="s">
        <v>67</v>
      </c>
      <c r="B18" s="6">
        <v>0</v>
      </c>
      <c r="C18" s="5">
        <v>0.39008509039914102</v>
      </c>
      <c r="D18" s="5">
        <v>0.24205055766328401</v>
      </c>
      <c r="E18" s="5">
        <f t="shared" si="6"/>
        <v>0.45908043981072943</v>
      </c>
      <c r="F18" s="5">
        <f t="shared" si="7"/>
        <v>0.38744764581092966</v>
      </c>
      <c r="G18" s="88">
        <f t="shared" si="8"/>
        <v>-0.20428210527228444</v>
      </c>
      <c r="H18" s="5">
        <v>-0.20361845640537399</v>
      </c>
      <c r="I18" s="88">
        <f t="shared" si="0"/>
        <v>0.32921801243242288</v>
      </c>
      <c r="J18" s="5">
        <v>0.330064925268372</v>
      </c>
      <c r="K18" s="125" t="s">
        <v>64</v>
      </c>
      <c r="L18" s="4">
        <f t="shared" si="1"/>
        <v>0.32486882099921666</v>
      </c>
      <c r="M18" s="7">
        <f t="shared" si="2"/>
        <v>0.25724984781109528</v>
      </c>
      <c r="N18" s="117">
        <f>-1/12*C18*D18/(D18*D18+C18*C18)^2</f>
        <v>-0.17714505627851754</v>
      </c>
      <c r="O18" s="270">
        <f>-1/0.96*(1-0.04*(C18*C18-D18*D18)/(C18*C18+D18*D18)^2)</f>
        <v>-0.95388437356372024</v>
      </c>
      <c r="P18" s="272">
        <f>1/0.96*(1-0.04*(D18*D18-C18*C18)/(C18*C18+D18*D18)^2)</f>
        <v>1.1294489597696131</v>
      </c>
      <c r="Q18" s="121">
        <f>1/12*C18*D18/(C18*C18+D18*D18)^2</f>
        <v>0.17714505627851754</v>
      </c>
      <c r="R18" s="279">
        <v>-4.6216095055825798E-3</v>
      </c>
    </row>
    <row r="19" spans="1:18" x14ac:dyDescent="0.25">
      <c r="A19" s="195"/>
      <c r="B19" s="2" t="s">
        <v>55</v>
      </c>
      <c r="C19" s="30">
        <v>0.455713651858564</v>
      </c>
      <c r="D19" s="30">
        <v>0.186443664387938</v>
      </c>
      <c r="E19" s="30">
        <f t="shared" si="6"/>
        <v>0.49237807879785889</v>
      </c>
      <c r="F19" s="30">
        <f t="shared" si="7"/>
        <v>0.42827051422666923</v>
      </c>
      <c r="G19" s="90">
        <f t="shared" si="8"/>
        <v>-0.16216872249202571</v>
      </c>
      <c r="H19" s="30">
        <v>-0.163882011377116</v>
      </c>
      <c r="I19" s="90">
        <f t="shared" si="0"/>
        <v>0.396379791111101</v>
      </c>
      <c r="J19" s="30">
        <v>0.39936987018611902</v>
      </c>
      <c r="K19" s="126">
        <v>-0.12358051977053899</v>
      </c>
      <c r="L19" s="16">
        <f t="shared" si="1"/>
        <v>1.0564854053003552</v>
      </c>
      <c r="M19" s="8">
        <f t="shared" si="2"/>
        <v>0.75434700306906899</v>
      </c>
      <c r="N19" s="118"/>
      <c r="O19" s="271"/>
      <c r="P19" s="273"/>
      <c r="Q19" s="122"/>
      <c r="R19" s="276"/>
    </row>
    <row r="20" spans="1:18" x14ac:dyDescent="0.25">
      <c r="A20" s="195"/>
      <c r="B20" s="2" t="s">
        <v>56</v>
      </c>
      <c r="C20" s="30">
        <v>0.43767799115533501</v>
      </c>
      <c r="D20" s="30">
        <v>0.30855667592349001</v>
      </c>
      <c r="E20" s="30">
        <f t="shared" si="6"/>
        <v>0.53550839974618802</v>
      </c>
      <c r="F20" s="30">
        <f t="shared" si="7"/>
        <v>0.48001356887306179</v>
      </c>
      <c r="G20" s="90">
        <f t="shared" si="8"/>
        <v>-0.27658089262435981</v>
      </c>
      <c r="H20" s="30">
        <v>-0.27858397278539698</v>
      </c>
      <c r="I20" s="90">
        <f t="shared" si="0"/>
        <v>0.39232134295417326</v>
      </c>
      <c r="J20" s="30">
        <v>0.39071233441443498</v>
      </c>
      <c r="K20" s="126">
        <v>8.2216584473887702E-2</v>
      </c>
      <c r="L20" s="16">
        <f t="shared" si="1"/>
        <v>0.72422940790695567</v>
      </c>
      <c r="M20" s="8">
        <f t="shared" si="2"/>
        <v>0.41012516107904529</v>
      </c>
      <c r="N20" s="119">
        <v>-5.6957584114745899E-2</v>
      </c>
      <c r="O20" s="221">
        <v>-0.95759798272257901</v>
      </c>
      <c r="P20" s="259">
        <v>1.1344986861228901</v>
      </c>
      <c r="Q20" s="123">
        <v>5.2676185244459398E-2</v>
      </c>
      <c r="R20" s="263">
        <f>K19+K20+K21</f>
        <v>-4.6216095055818945E-3</v>
      </c>
    </row>
    <row r="21" spans="1:18" ht="16.5" thickBot="1" x14ac:dyDescent="0.3">
      <c r="A21" s="210"/>
      <c r="B21" s="3" t="s">
        <v>57</v>
      </c>
      <c r="C21" s="31">
        <v>0.30970835329033097</v>
      </c>
      <c r="D21" s="31">
        <v>0.24363297654796201</v>
      </c>
      <c r="E21" s="31">
        <f t="shared" si="6"/>
        <v>0.39405112784945595</v>
      </c>
      <c r="F21" s="31">
        <f t="shared" si="7"/>
        <v>0.30473068513065271</v>
      </c>
      <c r="G21" s="93">
        <f t="shared" si="8"/>
        <v>-0.18840814964560751</v>
      </c>
      <c r="H21" s="31">
        <v>-0.18554090555397601</v>
      </c>
      <c r="I21" s="93">
        <f t="shared" si="0"/>
        <v>0.23950607425974685</v>
      </c>
      <c r="J21" s="31">
        <v>0.23748255535377899</v>
      </c>
      <c r="K21" s="127">
        <v>3.6742325791069397E-2</v>
      </c>
      <c r="L21" s="19">
        <f t="shared" si="1"/>
        <v>1.5218259385407349</v>
      </c>
      <c r="M21" s="102">
        <f t="shared" si="2"/>
        <v>0.84487164353641009</v>
      </c>
      <c r="N21" s="120"/>
      <c r="O21" s="258"/>
      <c r="P21" s="260"/>
      <c r="Q21" s="124"/>
      <c r="R21" s="264"/>
    </row>
    <row r="22" spans="1:18" x14ac:dyDescent="0.25">
      <c r="A22" s="195" t="s">
        <v>68</v>
      </c>
      <c r="B22" s="6">
        <v>0</v>
      </c>
      <c r="C22" s="5">
        <v>0.39008509039914102</v>
      </c>
      <c r="D22" s="5">
        <v>0.24205055766328401</v>
      </c>
      <c r="E22" s="5">
        <f t="shared" ref="E22:E29" si="9">SQRT(D22*D22+C22*C22)</f>
        <v>0.45908043981072943</v>
      </c>
      <c r="F22" s="5">
        <f t="shared" ref="F22:F29" si="10">1/0.96*(E22-0.04/E22)</f>
        <v>0.38744764581092966</v>
      </c>
      <c r="G22" s="88">
        <f t="shared" ref="G22:G28" si="11">-F22*D22/E22</f>
        <v>-0.20428210527228444</v>
      </c>
      <c r="H22" s="5">
        <v>-0.20361845640537399</v>
      </c>
      <c r="I22" s="88">
        <f t="shared" si="0"/>
        <v>0.32921801243242288</v>
      </c>
      <c r="J22" s="5">
        <v>0.330064925268372</v>
      </c>
      <c r="K22" s="125" t="s">
        <v>64</v>
      </c>
      <c r="L22" s="4">
        <f t="shared" si="1"/>
        <v>0.32486882099921666</v>
      </c>
      <c r="M22" s="7">
        <f t="shared" si="2"/>
        <v>0.25724984781109528</v>
      </c>
      <c r="N22" s="117">
        <f>-1/12*C22*D22/(D22*D22+C22*C22)^2</f>
        <v>-0.17714505627851754</v>
      </c>
      <c r="O22" s="270">
        <f>-1/0.96*(1-0.04*(C22*C22-D22*D22)/(C22*C22+D22*D22)^2)</f>
        <v>-0.95388437356372024</v>
      </c>
      <c r="P22" s="272">
        <f>1/0.96*(1-0.04*(D22*D22-C22*C22)/(C22*C22+D22*D22)^2)</f>
        <v>1.1294489597696131</v>
      </c>
      <c r="Q22" s="121">
        <f>1/12*C22*D22/(C22*C22+D22*D22)^2</f>
        <v>0.17714505627851754</v>
      </c>
      <c r="R22" s="279">
        <v>5.9126179060860602E-2</v>
      </c>
    </row>
    <row r="23" spans="1:18" x14ac:dyDescent="0.25">
      <c r="A23" s="195"/>
      <c r="B23" s="2" t="s">
        <v>55</v>
      </c>
      <c r="C23" s="30">
        <v>0.455713651858564</v>
      </c>
      <c r="D23" s="30">
        <v>0.186443664387938</v>
      </c>
      <c r="E23" s="30">
        <f t="shared" si="9"/>
        <v>0.49237807879785889</v>
      </c>
      <c r="F23" s="30">
        <f t="shared" si="10"/>
        <v>0.42827051422666923</v>
      </c>
      <c r="G23" s="90">
        <f t="shared" si="11"/>
        <v>-0.16216872249202571</v>
      </c>
      <c r="H23" s="30">
        <v>-9.2213600873070997E-2</v>
      </c>
      <c r="I23" s="90">
        <f t="shared" si="0"/>
        <v>0.396379791111101</v>
      </c>
      <c r="J23" s="30">
        <v>0.25256679995706899</v>
      </c>
      <c r="K23" s="126">
        <v>-7.67018916246021E-2</v>
      </c>
      <c r="L23" s="16">
        <f t="shared" si="1"/>
        <v>43.137246531861038</v>
      </c>
      <c r="M23" s="8">
        <f t="shared" si="2"/>
        <v>36.281615354533244</v>
      </c>
      <c r="N23" s="118"/>
      <c r="O23" s="271"/>
      <c r="P23" s="273"/>
      <c r="Q23" s="122"/>
      <c r="R23" s="276"/>
    </row>
    <row r="24" spans="1:18" x14ac:dyDescent="0.25">
      <c r="A24" s="195"/>
      <c r="B24" s="2" t="s">
        <v>56</v>
      </c>
      <c r="C24" s="30">
        <v>0.43767799115533501</v>
      </c>
      <c r="D24" s="30">
        <v>0.30855667592349001</v>
      </c>
      <c r="E24" s="30">
        <f t="shared" si="9"/>
        <v>0.53550839974618802</v>
      </c>
      <c r="F24" s="30">
        <f t="shared" si="10"/>
        <v>0.48001356887306179</v>
      </c>
      <c r="G24" s="90">
        <f t="shared" si="11"/>
        <v>-0.27658089262435981</v>
      </c>
      <c r="H24" s="30">
        <v>-0.249148420634765</v>
      </c>
      <c r="I24" s="90">
        <f t="shared" si="0"/>
        <v>0.39232134295417326</v>
      </c>
      <c r="J24" s="30">
        <v>0.40821995712584502</v>
      </c>
      <c r="K24" s="126">
        <v>9.0695793797376606E-2</v>
      </c>
      <c r="L24" s="16">
        <f t="shared" si="1"/>
        <v>9.9184262981074411</v>
      </c>
      <c r="M24" s="8">
        <f t="shared" si="2"/>
        <v>4.0524469181195855</v>
      </c>
      <c r="N24" s="119">
        <v>-5.6957584114745899E-2</v>
      </c>
      <c r="O24" s="221">
        <v>-0.95759798272257901</v>
      </c>
      <c r="P24" s="259">
        <v>1.1344986861228901</v>
      </c>
      <c r="Q24" s="123">
        <v>5.2676185244459398E-2</v>
      </c>
      <c r="R24" s="263">
        <f>K23+K24+K25</f>
        <v>5.9126179060860505E-2</v>
      </c>
    </row>
    <row r="25" spans="1:18" ht="16.5" thickBot="1" x14ac:dyDescent="0.3">
      <c r="A25" s="196"/>
      <c r="B25" s="3" t="s">
        <v>57</v>
      </c>
      <c r="C25" s="31">
        <v>0.30970835329033097</v>
      </c>
      <c r="D25" s="31">
        <v>0.24363297654796201</v>
      </c>
      <c r="E25" s="31">
        <f t="shared" si="9"/>
        <v>0.39405112784945595</v>
      </c>
      <c r="F25" s="31">
        <f t="shared" si="10"/>
        <v>0.30473068513065271</v>
      </c>
      <c r="G25" s="93">
        <f t="shared" si="11"/>
        <v>-0.18840814964560751</v>
      </c>
      <c r="H25" s="31">
        <v>-0.217046816661215</v>
      </c>
      <c r="I25" s="93">
        <f t="shared" si="0"/>
        <v>0.23950607425974685</v>
      </c>
      <c r="J25" s="31">
        <v>0.21820442256157499</v>
      </c>
      <c r="K25" s="127">
        <v>4.5132276888086E-2</v>
      </c>
      <c r="L25" s="19">
        <f t="shared" si="1"/>
        <v>15.200333461942241</v>
      </c>
      <c r="M25" s="102">
        <f t="shared" si="2"/>
        <v>8.8939922563592244</v>
      </c>
      <c r="N25" s="120"/>
      <c r="O25" s="258"/>
      <c r="P25" s="260"/>
      <c r="Q25" s="124"/>
      <c r="R25" s="264"/>
    </row>
    <row r="26" spans="1:18" x14ac:dyDescent="0.25">
      <c r="A26" s="194" t="s">
        <v>69</v>
      </c>
      <c r="B26" s="6">
        <v>0</v>
      </c>
      <c r="C26" s="5">
        <v>0.21369687781951299</v>
      </c>
      <c r="D26" s="5">
        <v>0.81093605056284601</v>
      </c>
      <c r="E26" s="5">
        <f t="shared" si="9"/>
        <v>0.83862007708632547</v>
      </c>
      <c r="F26" s="5">
        <f t="shared" si="10"/>
        <v>0.82387778523416422</v>
      </c>
      <c r="G26" s="88">
        <f t="shared" si="11"/>
        <v>-0.79668042246916526</v>
      </c>
      <c r="H26" s="5">
        <v>-0.79768972897205603</v>
      </c>
      <c r="I26" s="88">
        <f t="shared" si="0"/>
        <v>0.20994025211165193</v>
      </c>
      <c r="J26" s="5">
        <v>0.20354624043290701</v>
      </c>
      <c r="K26" s="125" t="s">
        <v>64</v>
      </c>
      <c r="L26" s="4">
        <f t="shared" si="1"/>
        <v>0.12668900533072111</v>
      </c>
      <c r="M26" s="7">
        <f t="shared" si="2"/>
        <v>3.0456339908291703</v>
      </c>
      <c r="N26" s="117">
        <f>-1/12*C26*D26/(D26*D26+C26*C26)^2</f>
        <v>-2.9197288200581158E-2</v>
      </c>
      <c r="O26" s="270">
        <f>-1/0.96*(1-0.04*(C26*C26-D26*D26)/(C26*C26+D26*D26)^2)</f>
        <v>-1.0932185255859852</v>
      </c>
      <c r="P26" s="272">
        <f>1/0.96*(1-0.04*(D26*D26-C26*C26)/(C26*C26+D26*D26)^2)</f>
        <v>0.99011480774734817</v>
      </c>
      <c r="Q26" s="121">
        <f>1/12*C26*D26/(C26*C26+D26*D26)^2</f>
        <v>2.9197288200581158E-2</v>
      </c>
      <c r="R26" s="279">
        <v>-2.3529370910404901E-3</v>
      </c>
    </row>
    <row r="27" spans="1:18" x14ac:dyDescent="0.25">
      <c r="A27" s="195"/>
      <c r="B27" s="2" t="s">
        <v>55</v>
      </c>
      <c r="C27" s="30">
        <v>7.8782216460385301E-2</v>
      </c>
      <c r="D27" s="30">
        <v>0.80500445235153695</v>
      </c>
      <c r="E27" s="30">
        <f t="shared" si="9"/>
        <v>0.80885029884163906</v>
      </c>
      <c r="F27" s="30">
        <f t="shared" si="10"/>
        <v>0.79103894803920183</v>
      </c>
      <c r="G27" s="90">
        <f t="shared" si="11"/>
        <v>-0.78727778931031545</v>
      </c>
      <c r="H27" s="30">
        <v>-0.78669057342002002</v>
      </c>
      <c r="I27" s="90">
        <f t="shared" si="0"/>
        <v>7.7047386546396243E-2</v>
      </c>
      <c r="J27" s="30">
        <v>6.7870822556525406E-2</v>
      </c>
      <c r="K27" s="126">
        <v>-2.0404952538293199E-2</v>
      </c>
      <c r="L27" s="16">
        <f t="shared" si="1"/>
        <v>7.4588143888810285E-2</v>
      </c>
      <c r="M27" s="8">
        <f t="shared" si="2"/>
        <v>11.910285865887108</v>
      </c>
      <c r="N27" s="118"/>
      <c r="O27" s="271"/>
      <c r="P27" s="273"/>
      <c r="Q27" s="122"/>
      <c r="R27" s="276"/>
    </row>
    <row r="28" spans="1:18" x14ac:dyDescent="0.25">
      <c r="A28" s="195"/>
      <c r="B28" s="2" t="s">
        <v>56</v>
      </c>
      <c r="C28" s="30">
        <v>0.32878221646038502</v>
      </c>
      <c r="D28" s="30">
        <v>0.73801715424375602</v>
      </c>
      <c r="E28" s="30">
        <f t="shared" si="9"/>
        <v>0.80794001375018898</v>
      </c>
      <c r="F28" s="30">
        <f t="shared" si="10"/>
        <v>0.79003269553597311</v>
      </c>
      <c r="G28" s="90">
        <f t="shared" si="11"/>
        <v>-0.72165961803602563</v>
      </c>
      <c r="H28" s="30">
        <v>-0.72636715957160303</v>
      </c>
      <c r="I28" s="90">
        <f t="shared" si="0"/>
        <v>0.32149503217302311</v>
      </c>
      <c r="J28" s="30">
        <v>0.31149134468011203</v>
      </c>
      <c r="K28" s="126">
        <v>1.8052015447252701E-2</v>
      </c>
      <c r="L28" s="16">
        <f t="shared" si="1"/>
        <v>0.65232159565597236</v>
      </c>
      <c r="M28" s="8">
        <f t="shared" si="2"/>
        <v>3.1116149525841728</v>
      </c>
      <c r="N28" s="119">
        <v>-5.6957584114745899E-2</v>
      </c>
      <c r="O28" s="221">
        <v>-0.95759798272257901</v>
      </c>
      <c r="P28" s="259">
        <v>1.1344986861228901</v>
      </c>
      <c r="Q28" s="123">
        <v>5.2676185244459398E-2</v>
      </c>
      <c r="R28" s="263">
        <f>K27+K28+K29</f>
        <v>-2.3529370910404974E-3</v>
      </c>
    </row>
    <row r="29" spans="1:18" ht="16.5" thickBot="1" x14ac:dyDescent="0.3">
      <c r="A29" s="196"/>
      <c r="B29" s="3" t="s">
        <v>57</v>
      </c>
      <c r="C29" s="31">
        <v>0.249999999999999</v>
      </c>
      <c r="D29" s="31">
        <v>0.93301270189221897</v>
      </c>
      <c r="E29" s="31">
        <f t="shared" si="9"/>
        <v>0.96592582628906765</v>
      </c>
      <c r="F29" s="31">
        <f t="shared" si="10"/>
        <v>0.96303622820069212</v>
      </c>
      <c r="G29" s="93">
        <f>-F29*D29/E29</f>
        <v>-0.93022156447106152</v>
      </c>
      <c r="H29" s="31">
        <v>-0.93301270189221897</v>
      </c>
      <c r="I29" s="93">
        <f t="shared" si="0"/>
        <v>0.24925211698203556</v>
      </c>
      <c r="J29" s="31">
        <v>0.249999999999999</v>
      </c>
      <c r="K29" s="127">
        <v>0</v>
      </c>
      <c r="L29" s="19">
        <f t="shared" si="1"/>
        <v>0.30005081883309442</v>
      </c>
      <c r="M29" s="102">
        <f t="shared" si="2"/>
        <v>0.30005081883310281</v>
      </c>
      <c r="N29" s="120"/>
      <c r="O29" s="258"/>
      <c r="P29" s="260"/>
      <c r="Q29" s="124"/>
      <c r="R29" s="264"/>
    </row>
  </sheetData>
  <mergeCells count="49">
    <mergeCell ref="A6:A9"/>
    <mergeCell ref="A2:A5"/>
    <mergeCell ref="A10:A13"/>
    <mergeCell ref="O10:O11"/>
    <mergeCell ref="P10:P11"/>
    <mergeCell ref="O12:O13"/>
    <mergeCell ref="P12:P13"/>
    <mergeCell ref="A14:A17"/>
    <mergeCell ref="O14:O15"/>
    <mergeCell ref="P14:P15"/>
    <mergeCell ref="O16:O17"/>
    <mergeCell ref="P16:P17"/>
    <mergeCell ref="A18:A21"/>
    <mergeCell ref="O18:O19"/>
    <mergeCell ref="P18:P19"/>
    <mergeCell ref="O20:O21"/>
    <mergeCell ref="P20:P21"/>
    <mergeCell ref="A22:A25"/>
    <mergeCell ref="O22:O23"/>
    <mergeCell ref="P22:P23"/>
    <mergeCell ref="O24:O25"/>
    <mergeCell ref="P24:P25"/>
    <mergeCell ref="A26:A29"/>
    <mergeCell ref="O26:O27"/>
    <mergeCell ref="P26:P27"/>
    <mergeCell ref="O28:O29"/>
    <mergeCell ref="P28:P29"/>
    <mergeCell ref="R2:R3"/>
    <mergeCell ref="R4:R5"/>
    <mergeCell ref="R6:R7"/>
    <mergeCell ref="R8:R9"/>
    <mergeCell ref="O6:O7"/>
    <mergeCell ref="O4:O5"/>
    <mergeCell ref="P8:P9"/>
    <mergeCell ref="O8:O9"/>
    <mergeCell ref="O2:O3"/>
    <mergeCell ref="P2:P3"/>
    <mergeCell ref="P4:P5"/>
    <mergeCell ref="P6:P7"/>
    <mergeCell ref="R22:R23"/>
    <mergeCell ref="R24:R25"/>
    <mergeCell ref="R26:R27"/>
    <mergeCell ref="R28:R29"/>
    <mergeCell ref="R10:R11"/>
    <mergeCell ref="R12:R13"/>
    <mergeCell ref="R14:R15"/>
    <mergeCell ref="R16:R17"/>
    <mergeCell ref="R18:R19"/>
    <mergeCell ref="R20:R21"/>
  </mergeCells>
  <conditionalFormatting sqref="L2:M5">
    <cfRule type="cellIs" dxfId="6" priority="10" operator="greaterThan">
      <formula>5</formula>
    </cfRule>
  </conditionalFormatting>
  <conditionalFormatting sqref="L6:M9">
    <cfRule type="cellIs" dxfId="5" priority="8" operator="greaterThan">
      <formula>5</formula>
    </cfRule>
  </conditionalFormatting>
  <conditionalFormatting sqref="L10:M13">
    <cfRule type="cellIs" dxfId="4" priority="7" operator="greaterThan">
      <formula>5</formula>
    </cfRule>
  </conditionalFormatting>
  <conditionalFormatting sqref="L26:M29">
    <cfRule type="cellIs" dxfId="3" priority="1" operator="greaterThan">
      <formula>5</formula>
    </cfRule>
  </conditionalFormatting>
  <conditionalFormatting sqref="L14:M17">
    <cfRule type="cellIs" dxfId="2" priority="5" operator="greaterThan">
      <formula>5</formula>
    </cfRule>
  </conditionalFormatting>
  <conditionalFormatting sqref="L18:M21">
    <cfRule type="cellIs" dxfId="1" priority="4" operator="greaterThan">
      <formula>5</formula>
    </cfRule>
  </conditionalFormatting>
  <conditionalFormatting sqref="L22:M25">
    <cfRule type="cellIs" dxfId="0" priority="2" operator="greaterThan">
      <formula>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24" sqref="D24"/>
    </sheetView>
  </sheetViews>
  <sheetFormatPr defaultRowHeight="15.75" x14ac:dyDescent="0.25"/>
  <cols>
    <col min="2" max="2" width="10.125" customWidth="1"/>
    <col min="4" max="4" width="12.625" bestFit="1" customWidth="1"/>
  </cols>
  <sheetData>
    <row r="1" spans="1:8" x14ac:dyDescent="0.25">
      <c r="A1" t="s">
        <v>109</v>
      </c>
      <c r="B1">
        <v>0.471681273945385</v>
      </c>
      <c r="C1">
        <v>5.7546117565155401E-3</v>
      </c>
    </row>
    <row r="2" spans="1:8" x14ac:dyDescent="0.25">
      <c r="A2" t="s">
        <v>110</v>
      </c>
      <c r="B2" s="158">
        <v>0.49174985721075398</v>
      </c>
      <c r="C2">
        <v>9.0238421150407293E-3</v>
      </c>
    </row>
    <row r="3" spans="1:8" x14ac:dyDescent="0.25">
      <c r="A3" t="s">
        <v>111</v>
      </c>
      <c r="B3">
        <v>0.50374495212450898</v>
      </c>
      <c r="C3">
        <v>6.5721405478509701E-3</v>
      </c>
    </row>
    <row r="6" spans="1:8" x14ac:dyDescent="0.25">
      <c r="A6" s="280" t="s">
        <v>109</v>
      </c>
      <c r="B6" s="100" t="s">
        <v>112</v>
      </c>
      <c r="C6" s="100" t="s">
        <v>113</v>
      </c>
      <c r="D6" s="100" t="s">
        <v>114</v>
      </c>
    </row>
    <row r="7" spans="1:8" x14ac:dyDescent="0.25">
      <c r="A7" s="280"/>
      <c r="B7" s="100">
        <v>0</v>
      </c>
      <c r="C7" s="100">
        <v>0.37073695703180898</v>
      </c>
      <c r="D7" s="100">
        <v>5.8743147664902601E-2</v>
      </c>
    </row>
    <row r="8" spans="1:8" x14ac:dyDescent="0.25">
      <c r="A8" s="280"/>
      <c r="B8" s="100">
        <v>1</v>
      </c>
      <c r="C8" s="100">
        <v>0.1202906705054</v>
      </c>
      <c r="D8" s="100">
        <v>-1.0498167238699899E-2</v>
      </c>
    </row>
    <row r="9" spans="1:8" x14ac:dyDescent="0.25">
      <c r="A9" s="280"/>
      <c r="B9" s="100">
        <v>2</v>
      </c>
      <c r="C9" s="100">
        <v>6.9573764255448201E-2</v>
      </c>
      <c r="D9" s="100">
        <v>-2.8329643351018501E-2</v>
      </c>
    </row>
    <row r="10" spans="1:8" ht="16.5" thickBot="1" x14ac:dyDescent="0.3"/>
    <row r="11" spans="1:8" ht="16.5" thickBot="1" x14ac:dyDescent="0.3">
      <c r="A11" s="281" t="s">
        <v>115</v>
      </c>
      <c r="B11" s="134" t="s">
        <v>112</v>
      </c>
      <c r="C11" s="134" t="s">
        <v>116</v>
      </c>
      <c r="D11" s="134" t="s">
        <v>31</v>
      </c>
      <c r="E11" s="134" t="s">
        <v>30</v>
      </c>
      <c r="F11" s="134" t="s">
        <v>35</v>
      </c>
      <c r="G11" s="134" t="s">
        <v>118</v>
      </c>
      <c r="H11" s="134" t="s">
        <v>117</v>
      </c>
    </row>
    <row r="12" spans="1:8" x14ac:dyDescent="0.25">
      <c r="A12" s="282"/>
      <c r="B12" s="146">
        <v>0</v>
      </c>
      <c r="C12" s="161">
        <v>0.24551381376860401</v>
      </c>
      <c r="D12" s="161">
        <v>0.96253884708735205</v>
      </c>
      <c r="E12" s="165">
        <v>0.24857818633508</v>
      </c>
      <c r="F12" s="148">
        <v>2.13505944194072E-2</v>
      </c>
      <c r="G12" s="148">
        <f>C12*D12</f>
        <v>0.23631658324885096</v>
      </c>
      <c r="H12" s="166">
        <f>E12/F12</f>
        <v>11.642682234136213</v>
      </c>
    </row>
    <row r="13" spans="1:8" x14ac:dyDescent="0.25">
      <c r="A13" s="282"/>
      <c r="B13" s="159">
        <v>1</v>
      </c>
      <c r="C13" s="162">
        <v>9.4932217380424497E-2</v>
      </c>
      <c r="D13" s="162">
        <v>-0.18318695673410099</v>
      </c>
      <c r="E13" s="163">
        <v>0.191596466394993</v>
      </c>
      <c r="F13" s="132">
        <v>2.13505944194072E-2</v>
      </c>
      <c r="G13" s="132">
        <f>C13*D13</f>
        <v>-1.7390343997940091E-2</v>
      </c>
      <c r="H13" s="167">
        <f>E13/F13</f>
        <v>8.9738235213178044</v>
      </c>
    </row>
    <row r="14" spans="1:8" ht="16.5" thickBot="1" x14ac:dyDescent="0.3">
      <c r="A14" s="283"/>
      <c r="B14" s="168">
        <v>2</v>
      </c>
      <c r="C14" s="160">
        <v>0.22015536064362801</v>
      </c>
      <c r="D14" s="160">
        <v>-0.86035566494885096</v>
      </c>
      <c r="E14" s="164">
        <v>0.23730672744308001</v>
      </c>
      <c r="F14" s="169">
        <v>2.13505944194072E-2</v>
      </c>
      <c r="G14" s="169">
        <f>C14*D14</f>
        <v>-0.18941191169860266</v>
      </c>
      <c r="H14" s="170">
        <f>E14/F14</f>
        <v>11.114759747736748</v>
      </c>
    </row>
    <row r="15" spans="1:8" ht="16.5" thickBot="1" x14ac:dyDescent="0.3"/>
    <row r="16" spans="1:8" ht="16.5" thickBot="1" x14ac:dyDescent="0.3">
      <c r="A16" s="281" t="s">
        <v>119</v>
      </c>
      <c r="B16" s="134" t="s">
        <v>112</v>
      </c>
      <c r="C16" s="134" t="s">
        <v>116</v>
      </c>
      <c r="D16" s="134" t="s">
        <v>31</v>
      </c>
      <c r="E16" s="134" t="s">
        <v>30</v>
      </c>
      <c r="F16" s="134" t="s">
        <v>35</v>
      </c>
      <c r="G16" s="134" t="s">
        <v>118</v>
      </c>
      <c r="H16" s="134" t="s">
        <v>117</v>
      </c>
    </row>
    <row r="17" spans="1:8" x14ac:dyDescent="0.25">
      <c r="A17" s="282"/>
      <c r="B17" s="146">
        <v>0</v>
      </c>
      <c r="C17" s="161">
        <v>0.29204598824893702</v>
      </c>
      <c r="D17" s="161">
        <v>0.99578420321215</v>
      </c>
      <c r="E17" s="165">
        <v>0.12922502054937299</v>
      </c>
      <c r="F17" s="148">
        <v>6.5721405478509701E-3</v>
      </c>
      <c r="G17" s="148">
        <f>C17*D17</f>
        <v>0.29081478170977265</v>
      </c>
      <c r="H17" s="166">
        <f>E17/F17</f>
        <v>19.662546716477081</v>
      </c>
    </row>
    <row r="18" spans="1:8" x14ac:dyDescent="0.25">
      <c r="A18" s="282"/>
      <c r="B18" s="159">
        <v>1</v>
      </c>
      <c r="C18" s="162">
        <v>0.14146439186075699</v>
      </c>
      <c r="D18" s="162">
        <v>0.56899023143641003</v>
      </c>
      <c r="E18" s="163">
        <v>0.132670033671275</v>
      </c>
      <c r="F18" s="132">
        <v>6.5721405478509701E-3</v>
      </c>
      <c r="G18" s="132">
        <f>C18*D18</f>
        <v>8.0491857064863115E-2</v>
      </c>
      <c r="H18" s="167">
        <f>E18/F18</f>
        <v>20.186731051370607</v>
      </c>
    </row>
    <row r="19" spans="1:8" ht="16.5" thickBot="1" x14ac:dyDescent="0.3">
      <c r="A19" s="283"/>
      <c r="B19" s="168">
        <v>2</v>
      </c>
      <c r="C19" s="160">
        <v>0.22015536064362801</v>
      </c>
      <c r="D19" s="160">
        <v>-0.86035566494885096</v>
      </c>
      <c r="E19" s="164">
        <v>0.23730672744308001</v>
      </c>
      <c r="F19" s="169">
        <v>6.5721405478509701E-3</v>
      </c>
      <c r="G19" s="169">
        <f>C19*D19</f>
        <v>-0.18941191169860266</v>
      </c>
      <c r="H19" s="170">
        <f>E19/F19</f>
        <v>36.107981214838311</v>
      </c>
    </row>
    <row r="22" spans="1:8" x14ac:dyDescent="0.25">
      <c r="B22" s="154">
        <v>71</v>
      </c>
    </row>
    <row r="23" spans="1:8" x14ac:dyDescent="0.25">
      <c r="B23">
        <v>5.5247601130158697E-2</v>
      </c>
      <c r="C23">
        <v>0.17620145261923401</v>
      </c>
      <c r="D23">
        <f>0.5*(B23+C23)</f>
        <v>0.11572452687469635</v>
      </c>
    </row>
    <row r="24" spans="1:8" x14ac:dyDescent="0.25">
      <c r="B24">
        <v>-0.23074400502558101</v>
      </c>
      <c r="C24">
        <v>-0.43491219231170802</v>
      </c>
      <c r="D24">
        <f>0.5*(B24+C24)</f>
        <v>-0.33282809866864449</v>
      </c>
    </row>
  </sheetData>
  <mergeCells count="3">
    <mergeCell ref="A6:A9"/>
    <mergeCell ref="A11:A14"/>
    <mergeCell ref="A16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MUSCL; beta</vt:lpstr>
      <vt:lpstr>Лист1</vt:lpstr>
      <vt:lpstr>43</vt:lpstr>
      <vt:lpstr>23</vt:lpstr>
      <vt:lpstr>71</vt:lpstr>
      <vt:lpstr>Лист3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2023-02-16T08:53:10Z</dcterms:modified>
</cp:coreProperties>
</file>