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1.xml" ContentType="application/vnd.openxmlformats-officedocument.spreadsheetml.comments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b2f4972ff4dddc0/Gröngräset/"/>
    </mc:Choice>
  </mc:AlternateContent>
  <xr:revisionPtr revIDLastSave="843" documentId="13_ncr:1_{F6CBD1A2-117E-424E-B3F0-CD0AA19B56FB}" xr6:coauthVersionLast="47" xr6:coauthVersionMax="47" xr10:uidLastSave="{6887EBC2-3D8E-40A6-8247-6A9438914B53}"/>
  <bookViews>
    <workbookView xWindow="-120" yWindow="-120" windowWidth="51840" windowHeight="21120" tabRatio="856" activeTab="17" xr2:uid="{00000000-000D-0000-FFFF-FFFF00000000}"/>
  </bookViews>
  <sheets>
    <sheet name="Lån" sheetId="20" r:id="rId1"/>
    <sheet name="Huvud mätare" sheetId="1" r:id="rId2"/>
    <sheet name="Gräsv.6" sheetId="2" r:id="rId3"/>
    <sheet name="Gräsv.8" sheetId="7" r:id="rId4"/>
    <sheet name="Gräsv.10" sheetId="8" r:id="rId5"/>
    <sheet name="Gräsv.12" sheetId="9" r:id="rId6"/>
    <sheet name="Gräsv.14" sheetId="10" r:id="rId7"/>
    <sheet name="Gräsv.16" sheetId="11" r:id="rId8"/>
    <sheet name="Gräsv.18" sheetId="12" r:id="rId9"/>
    <sheet name="Gräsv.20" sheetId="13" r:id="rId10"/>
    <sheet name="Gräsv.22" sheetId="14" r:id="rId11"/>
    <sheet name="Gräsv.24" sheetId="15" r:id="rId12"/>
    <sheet name="Gräsv.26" sheetId="16" r:id="rId13"/>
    <sheet name="Gräsv.28" sheetId="17" r:id="rId14"/>
    <sheet name="Gräsv.30" sheetId="18" r:id="rId15"/>
    <sheet name="Gräsv.32" sheetId="19" r:id="rId16"/>
    <sheet name="Blad1" sheetId="37" r:id="rId17"/>
    <sheet name="Giro.6" sheetId="39" r:id="rId18"/>
    <sheet name="Giro.8" sheetId="40" r:id="rId19"/>
    <sheet name="Giro.10" sheetId="41" r:id="rId20"/>
    <sheet name="Giro.12" sheetId="42" r:id="rId21"/>
    <sheet name="Giro.14" sheetId="43" r:id="rId22"/>
    <sheet name="Giro.16" sheetId="44" r:id="rId23"/>
    <sheet name="Giro.18" sheetId="45" r:id="rId24"/>
    <sheet name="Giro.20" sheetId="46" r:id="rId25"/>
    <sheet name="Giro.22" sheetId="47" r:id="rId26"/>
    <sheet name="Giro.24" sheetId="48" r:id="rId27"/>
    <sheet name="Giro.26" sheetId="49" r:id="rId28"/>
    <sheet name="Giro.28" sheetId="50" r:id="rId29"/>
    <sheet name="Giro.30" sheetId="51" r:id="rId30"/>
    <sheet name="Giro.32" sheetId="52" r:id="rId31"/>
  </sheets>
  <definedNames>
    <definedName name="Företagsnamn" localSheetId="19">Giro.10!$B$1</definedName>
    <definedName name="Företagsnamn" localSheetId="20">Giro.12!$B$1</definedName>
    <definedName name="Företagsnamn" localSheetId="21">Giro.14!$B$1</definedName>
    <definedName name="Företagsnamn" localSheetId="22">Giro.16!$B$1</definedName>
    <definedName name="Företagsnamn" localSheetId="23">Giro.18!$B$1</definedName>
    <definedName name="Företagsnamn" localSheetId="24">Giro.20!$B$1</definedName>
    <definedName name="Företagsnamn" localSheetId="25">Giro.22!$B$1</definedName>
    <definedName name="Företagsnamn" localSheetId="26">Giro.24!$B$1</definedName>
    <definedName name="Företagsnamn" localSheetId="27">Giro.26!$B$1</definedName>
    <definedName name="Företagsnamn" localSheetId="28">Giro.28!$B$1</definedName>
    <definedName name="Företagsnamn" localSheetId="29">Giro.30!$B$1</definedName>
    <definedName name="Företagsnamn" localSheetId="30">Giro.32!$B$1</definedName>
    <definedName name="Företagsnamn" localSheetId="18">Giro.8!$B$1</definedName>
    <definedName name="Företagsnamn">Giro.6!$B$1</definedName>
    <definedName name="KolumnRubrik1" localSheetId="19">Faktura[[#Headers],[BESKRIVNING]]</definedName>
    <definedName name="KolumnRubrik1" localSheetId="20">Faktura[[#Headers],[BESKRIVNING]]</definedName>
    <definedName name="KolumnRubrik1" localSheetId="21">Faktura[[#Headers],[BESKRIVNING]]</definedName>
    <definedName name="KolumnRubrik1" localSheetId="22">Faktura[[#Headers],[BESKRIVNING]]</definedName>
    <definedName name="KolumnRubrik1" localSheetId="23">Faktura[[#Headers],[BESKRIVNING]]</definedName>
    <definedName name="KolumnRubrik1" localSheetId="24">Faktura[[#Headers],[BESKRIVNING]]</definedName>
    <definedName name="KolumnRubrik1" localSheetId="25">Faktura[[#Headers],[BESKRIVNING]]</definedName>
    <definedName name="KolumnRubrik1" localSheetId="26">Faktura[[#Headers],[BESKRIVNING]]</definedName>
    <definedName name="KolumnRubrik1" localSheetId="27">Faktura[[#Headers],[BESKRIVNING]]</definedName>
    <definedName name="KolumnRubrik1" localSheetId="28">Faktura[[#Headers],[BESKRIVNING]]</definedName>
    <definedName name="KolumnRubrik1" localSheetId="29">Faktura[[#Headers],[BESKRIVNING]]</definedName>
    <definedName name="KolumnRubrik1" localSheetId="30">Faktura[[#Headers],[BESKRIVNING]]</definedName>
    <definedName name="KolumnRubrik1" localSheetId="18">Faktura[[#Headers],[BESKRIVNING]]</definedName>
    <definedName name="KolumnRubrik1">Faktura[[#Headers],[BESKRIVNING]]</definedName>
    <definedName name="KolumnRubrikAvsnitt1..B11.1" localSheetId="19">Giro.10!#REF!</definedName>
    <definedName name="KolumnRubrikAvsnitt1..B11.1" localSheetId="20">Giro.12!#REF!</definedName>
    <definedName name="KolumnRubrikAvsnitt1..B11.1" localSheetId="21">Giro.14!#REF!</definedName>
    <definedName name="KolumnRubrikAvsnitt1..B11.1" localSheetId="22">Giro.16!#REF!</definedName>
    <definedName name="KolumnRubrikAvsnitt1..B11.1" localSheetId="23">Giro.18!#REF!</definedName>
    <definedName name="KolumnRubrikAvsnitt1..B11.1" localSheetId="24">Giro.20!#REF!</definedName>
    <definedName name="KolumnRubrikAvsnitt1..B11.1" localSheetId="25">Giro.22!#REF!</definedName>
    <definedName name="KolumnRubrikAvsnitt1..B11.1" localSheetId="26">Giro.24!#REF!</definedName>
    <definedName name="KolumnRubrikAvsnitt1..B11.1" localSheetId="27">Giro.26!#REF!</definedName>
    <definedName name="KolumnRubrikAvsnitt1..B11.1" localSheetId="28">Giro.28!#REF!</definedName>
    <definedName name="KolumnRubrikAvsnitt1..B11.1" localSheetId="29">Giro.30!#REF!</definedName>
    <definedName name="KolumnRubrikAvsnitt1..B11.1" localSheetId="30">Giro.32!#REF!</definedName>
    <definedName name="KolumnRubrikAvsnitt1..B11.1" localSheetId="18">Giro.8!#REF!</definedName>
    <definedName name="KolumnRubrikAvsnitt1..B11.1">Giro.6!#REF!</definedName>
    <definedName name="RadRubrikAvsnitt1..D5" localSheetId="19">Giro.10!$C$3</definedName>
    <definedName name="RadRubrikAvsnitt1..D5" localSheetId="20">Giro.12!$C$3</definedName>
    <definedName name="RadRubrikAvsnitt1..D5" localSheetId="21">Giro.14!$C$3</definedName>
    <definedName name="RadRubrikAvsnitt1..D5" localSheetId="22">Giro.16!$C$3</definedName>
    <definedName name="RadRubrikAvsnitt1..D5" localSheetId="23">Giro.18!$C$3</definedName>
    <definedName name="RadRubrikAvsnitt1..D5" localSheetId="24">Giro.20!$C$3</definedName>
    <definedName name="RadRubrikAvsnitt1..D5" localSheetId="25">Giro.22!$C$3</definedName>
    <definedName name="RadRubrikAvsnitt1..D5" localSheetId="26">Giro.24!$C$3</definedName>
    <definedName name="RadRubrikAvsnitt1..D5" localSheetId="27">Giro.26!$C$3</definedName>
    <definedName name="RadRubrikAvsnitt1..D5" localSheetId="28">Giro.28!$C$3</definedName>
    <definedName name="RadRubrikAvsnitt1..D5" localSheetId="29">Giro.30!$C$3</definedName>
    <definedName name="RadRubrikAvsnitt1..D5" localSheetId="30">Giro.32!$C$3</definedName>
    <definedName name="RadRubrikAvsnitt1..D5" localSheetId="18">Giro.8!$C$3</definedName>
    <definedName name="RadRubrikAvsnitt1..D5">Giro.6!$C$3</definedName>
    <definedName name="_xlnm.Print_Area" localSheetId="19">Giro.10!$B$1:$D$33</definedName>
    <definedName name="_xlnm.Print_Area" localSheetId="20">Giro.12!$B$1:$D$33</definedName>
    <definedName name="_xlnm.Print_Area" localSheetId="21">Giro.14!$B$1:$D$33</definedName>
    <definedName name="_xlnm.Print_Area" localSheetId="22">Giro.16!$B$1:$D$33</definedName>
    <definedName name="_xlnm.Print_Area" localSheetId="23">Giro.18!$B$1:$D$33</definedName>
    <definedName name="_xlnm.Print_Area" localSheetId="24">Giro.20!$B$1:$D$33</definedName>
    <definedName name="_xlnm.Print_Area" localSheetId="25">Giro.22!$B$1:$D$33</definedName>
    <definedName name="_xlnm.Print_Area" localSheetId="26">Giro.24!$B$1:$D$33</definedName>
    <definedName name="_xlnm.Print_Area" localSheetId="27">Giro.26!$B$1:$D$33</definedName>
    <definedName name="_xlnm.Print_Area" localSheetId="28">Giro.28!$B$1:$D$33</definedName>
    <definedName name="_xlnm.Print_Area" localSheetId="29">Giro.30!$B$1:$D$33</definedName>
    <definedName name="_xlnm.Print_Area" localSheetId="30">Giro.32!$B$1:$D$33</definedName>
    <definedName name="_xlnm.Print_Area" localSheetId="17">Giro.6!$B$1:$D$33</definedName>
    <definedName name="_xlnm.Print_Area" localSheetId="18">Giro.8!$B$1:$D$33</definedName>
    <definedName name="_xlnm.Print_Titles" localSheetId="19">Giro.10!$7:$7</definedName>
    <definedName name="_xlnm.Print_Titles" localSheetId="20">Giro.12!$7:$7</definedName>
    <definedName name="_xlnm.Print_Titles" localSheetId="21">Giro.14!$7:$7</definedName>
    <definedName name="_xlnm.Print_Titles" localSheetId="22">Giro.16!$7:$7</definedName>
    <definedName name="_xlnm.Print_Titles" localSheetId="23">Giro.18!$7:$7</definedName>
    <definedName name="_xlnm.Print_Titles" localSheetId="24">Giro.20!$7:$7</definedName>
    <definedName name="_xlnm.Print_Titles" localSheetId="25">Giro.22!$7:$7</definedName>
    <definedName name="_xlnm.Print_Titles" localSheetId="26">Giro.24!$7:$7</definedName>
    <definedName name="_xlnm.Print_Titles" localSheetId="27">Giro.26!$7:$7</definedName>
    <definedName name="_xlnm.Print_Titles" localSheetId="28">Giro.28!$7:$7</definedName>
    <definedName name="_xlnm.Print_Titles" localSheetId="29">Giro.30!$7:$7</definedName>
    <definedName name="_xlnm.Print_Titles" localSheetId="30">Giro.32!$7:$7</definedName>
    <definedName name="_xlnm.Print_Titles" localSheetId="17">Giro.6!$7:$7</definedName>
    <definedName name="_xlnm.Print_Titles" localSheetId="18">Giro.8!$7:$7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39" l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P49" i="1"/>
  <c r="P50" i="1"/>
  <c r="P51" i="1"/>
  <c r="P52" i="1"/>
  <c r="P53" i="1"/>
  <c r="P54" i="1"/>
  <c r="P55" i="1"/>
  <c r="P56" i="1"/>
  <c r="P57" i="1"/>
  <c r="P58" i="1"/>
  <c r="P59" i="1"/>
  <c r="P60" i="1"/>
  <c r="P48" i="1"/>
  <c r="P47" i="1"/>
  <c r="P46" i="1"/>
  <c r="I65" i="1"/>
  <c r="M49" i="1"/>
  <c r="M50" i="1"/>
  <c r="M51" i="1"/>
  <c r="M52" i="1"/>
  <c r="M53" i="1"/>
  <c r="M54" i="1"/>
  <c r="M55" i="1"/>
  <c r="M56" i="1"/>
  <c r="M57" i="1"/>
  <c r="M58" i="1"/>
  <c r="M59" i="1"/>
  <c r="M60" i="1"/>
  <c r="M48" i="1"/>
  <c r="C46" i="11"/>
  <c r="P43" i="1"/>
  <c r="P44" i="1"/>
  <c r="P45" i="1"/>
  <c r="P42" i="1"/>
  <c r="N43" i="1"/>
  <c r="N44" i="1"/>
  <c r="N45" i="1"/>
  <c r="N42" i="1"/>
  <c r="O43" i="1"/>
  <c r="O44" i="1"/>
  <c r="O45" i="1"/>
  <c r="O42" i="1"/>
  <c r="M42" i="1"/>
  <c r="M43" i="1"/>
  <c r="M44" i="1"/>
  <c r="M45" i="1"/>
  <c r="K49" i="19"/>
  <c r="K50" i="19"/>
  <c r="K51" i="19"/>
  <c r="K52" i="19"/>
  <c r="K53" i="19"/>
  <c r="K54" i="19"/>
  <c r="K55" i="19"/>
  <c r="K56" i="19"/>
  <c r="K57" i="19"/>
  <c r="K58" i="19"/>
  <c r="K59" i="19"/>
  <c r="K60" i="19"/>
  <c r="K49" i="18"/>
  <c r="K50" i="18"/>
  <c r="K51" i="18"/>
  <c r="K52" i="18"/>
  <c r="K53" i="18"/>
  <c r="K54" i="18"/>
  <c r="K55" i="18"/>
  <c r="K56" i="18"/>
  <c r="K57" i="18"/>
  <c r="K58" i="18"/>
  <c r="K59" i="18"/>
  <c r="K60" i="18"/>
  <c r="K49" i="17"/>
  <c r="K50" i="17"/>
  <c r="K51" i="17"/>
  <c r="K52" i="17"/>
  <c r="K53" i="17"/>
  <c r="K54" i="17"/>
  <c r="K55" i="17"/>
  <c r="K56" i="17"/>
  <c r="K57" i="17"/>
  <c r="K58" i="17"/>
  <c r="K59" i="17"/>
  <c r="K60" i="17"/>
  <c r="K49" i="16"/>
  <c r="K50" i="16"/>
  <c r="K51" i="16"/>
  <c r="K52" i="16"/>
  <c r="K53" i="16"/>
  <c r="K54" i="16"/>
  <c r="K55" i="16"/>
  <c r="K56" i="16"/>
  <c r="K57" i="16"/>
  <c r="K58" i="16"/>
  <c r="K59" i="16"/>
  <c r="K60" i="16"/>
  <c r="K49" i="15"/>
  <c r="K50" i="15"/>
  <c r="K51" i="15"/>
  <c r="K52" i="15"/>
  <c r="K53" i="15"/>
  <c r="K54" i="15"/>
  <c r="K55" i="15"/>
  <c r="K56" i="15"/>
  <c r="K57" i="15"/>
  <c r="K58" i="15"/>
  <c r="K59" i="15"/>
  <c r="K60" i="15"/>
  <c r="K49" i="14"/>
  <c r="K50" i="14"/>
  <c r="K51" i="14"/>
  <c r="K52" i="14"/>
  <c r="K53" i="14"/>
  <c r="K54" i="14"/>
  <c r="K55" i="14"/>
  <c r="K56" i="14"/>
  <c r="K57" i="14"/>
  <c r="K58" i="14"/>
  <c r="K59" i="14"/>
  <c r="K60" i="14"/>
  <c r="K49" i="13"/>
  <c r="K50" i="13"/>
  <c r="K51" i="13"/>
  <c r="K52" i="13"/>
  <c r="K53" i="13"/>
  <c r="K54" i="13"/>
  <c r="K55" i="13"/>
  <c r="K56" i="13"/>
  <c r="K57" i="13"/>
  <c r="K58" i="13"/>
  <c r="K59" i="13"/>
  <c r="K60" i="13"/>
  <c r="K49" i="12"/>
  <c r="K50" i="12"/>
  <c r="K51" i="12"/>
  <c r="K52" i="12"/>
  <c r="K53" i="12"/>
  <c r="K54" i="12"/>
  <c r="K55" i="12"/>
  <c r="K56" i="12"/>
  <c r="K57" i="12"/>
  <c r="K58" i="12"/>
  <c r="K59" i="12"/>
  <c r="K60" i="12"/>
  <c r="K49" i="11"/>
  <c r="K50" i="11"/>
  <c r="K51" i="11"/>
  <c r="K52" i="11"/>
  <c r="K53" i="11"/>
  <c r="K54" i="11"/>
  <c r="K55" i="11"/>
  <c r="K56" i="11"/>
  <c r="K57" i="11"/>
  <c r="K58" i="11"/>
  <c r="K59" i="11"/>
  <c r="K60" i="11"/>
  <c r="K49" i="10"/>
  <c r="K50" i="10"/>
  <c r="K51" i="10"/>
  <c r="K52" i="10"/>
  <c r="K53" i="10"/>
  <c r="K54" i="10"/>
  <c r="K55" i="10"/>
  <c r="K56" i="10"/>
  <c r="K57" i="10"/>
  <c r="K58" i="10"/>
  <c r="K59" i="10"/>
  <c r="K60" i="10"/>
  <c r="K31" i="9"/>
  <c r="K49" i="9"/>
  <c r="K50" i="9"/>
  <c r="K51" i="9"/>
  <c r="K52" i="9"/>
  <c r="K53" i="9"/>
  <c r="K54" i="9"/>
  <c r="K55" i="9"/>
  <c r="K56" i="9"/>
  <c r="K57" i="9"/>
  <c r="K58" i="9"/>
  <c r="K59" i="9"/>
  <c r="K60" i="9"/>
  <c r="K49" i="8"/>
  <c r="K50" i="8"/>
  <c r="K51" i="8"/>
  <c r="K52" i="8"/>
  <c r="K53" i="8"/>
  <c r="K54" i="8"/>
  <c r="K55" i="8"/>
  <c r="K56" i="8"/>
  <c r="K57" i="8"/>
  <c r="K58" i="8"/>
  <c r="K59" i="8"/>
  <c r="K60" i="8"/>
  <c r="K49" i="2"/>
  <c r="K50" i="2"/>
  <c r="K51" i="2"/>
  <c r="K52" i="2"/>
  <c r="K53" i="2"/>
  <c r="K54" i="2"/>
  <c r="K55" i="2"/>
  <c r="K56" i="2"/>
  <c r="K57" i="2"/>
  <c r="K58" i="2"/>
  <c r="K59" i="2"/>
  <c r="K60" i="2"/>
  <c r="B3" i="52"/>
  <c r="B3" i="51"/>
  <c r="B3" i="50"/>
  <c r="B3" i="49"/>
  <c r="B3" i="48"/>
  <c r="B3" i="47"/>
  <c r="B3" i="46"/>
  <c r="B3" i="45"/>
  <c r="B3" i="44"/>
  <c r="B3" i="43"/>
  <c r="B3" i="42"/>
  <c r="D3" i="52"/>
  <c r="D3" i="51"/>
  <c r="D3" i="50"/>
  <c r="D3" i="49"/>
  <c r="D3" i="48"/>
  <c r="D3" i="47"/>
  <c r="D3" i="46"/>
  <c r="D3" i="45"/>
  <c r="D3" i="44"/>
  <c r="D3" i="43"/>
  <c r="B3" i="41"/>
  <c r="B3" i="40"/>
  <c r="D3" i="42"/>
  <c r="D3" i="41"/>
  <c r="D3" i="40"/>
  <c r="B3" i="39"/>
  <c r="D3" i="39"/>
  <c r="A37" i="19" l="1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C37" i="19"/>
  <c r="C38" i="19"/>
  <c r="C39" i="19"/>
  <c r="D39" i="19" s="1"/>
  <c r="C40" i="19"/>
  <c r="D40" i="19" s="1"/>
  <c r="C41" i="19"/>
  <c r="D41" i="19" s="1"/>
  <c r="C42" i="19"/>
  <c r="D42" i="19" s="1"/>
  <c r="C43" i="19"/>
  <c r="D43" i="19" s="1"/>
  <c r="C44" i="19"/>
  <c r="D44" i="19" s="1"/>
  <c r="C45" i="19"/>
  <c r="C46" i="19"/>
  <c r="D46" i="19" s="1"/>
  <c r="C47" i="19"/>
  <c r="D47" i="19" s="1"/>
  <c r="C48" i="19"/>
  <c r="C49" i="19"/>
  <c r="C50" i="19"/>
  <c r="C51" i="19"/>
  <c r="D51" i="19" s="1"/>
  <c r="C52" i="19"/>
  <c r="C53" i="19"/>
  <c r="C54" i="19"/>
  <c r="C55" i="19"/>
  <c r="C56" i="19"/>
  <c r="C57" i="19"/>
  <c r="C58" i="19"/>
  <c r="C59" i="19"/>
  <c r="C60" i="19"/>
  <c r="D37" i="19"/>
  <c r="D38" i="19"/>
  <c r="D45" i="19"/>
  <c r="D48" i="19"/>
  <c r="D49" i="19"/>
  <c r="D50" i="19"/>
  <c r="D52" i="19"/>
  <c r="D53" i="19"/>
  <c r="D54" i="19"/>
  <c r="D55" i="19"/>
  <c r="D56" i="19"/>
  <c r="D57" i="19"/>
  <c r="D58" i="19"/>
  <c r="D59" i="19"/>
  <c r="D60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C37" i="18"/>
  <c r="C38" i="18"/>
  <c r="C39" i="18"/>
  <c r="C40" i="18"/>
  <c r="C41" i="18"/>
  <c r="C42" i="18"/>
  <c r="C43" i="18"/>
  <c r="D43" i="18" s="1"/>
  <c r="C44" i="18"/>
  <c r="C45" i="18"/>
  <c r="C46" i="18"/>
  <c r="D46" i="18" s="1"/>
  <c r="C47" i="18"/>
  <c r="C48" i="18"/>
  <c r="D48" i="18" s="1"/>
  <c r="C49" i="18"/>
  <c r="C50" i="18"/>
  <c r="C51" i="18"/>
  <c r="D51" i="18" s="1"/>
  <c r="C52" i="18"/>
  <c r="C53" i="18"/>
  <c r="C54" i="18"/>
  <c r="C55" i="18"/>
  <c r="C56" i="18"/>
  <c r="C57" i="18"/>
  <c r="C58" i="18"/>
  <c r="C59" i="18"/>
  <c r="D59" i="18" s="1"/>
  <c r="C60" i="18"/>
  <c r="D37" i="18"/>
  <c r="D38" i="18"/>
  <c r="D39" i="18"/>
  <c r="D40" i="18"/>
  <c r="D41" i="18"/>
  <c r="D42" i="18"/>
  <c r="D44" i="18"/>
  <c r="D45" i="18"/>
  <c r="D47" i="18"/>
  <c r="D49" i="18"/>
  <c r="D50" i="18"/>
  <c r="D52" i="18"/>
  <c r="D53" i="18"/>
  <c r="D54" i="18"/>
  <c r="D55" i="18"/>
  <c r="D56" i="18"/>
  <c r="D57" i="18"/>
  <c r="D58" i="18"/>
  <c r="D60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C37" i="17"/>
  <c r="D37" i="17" s="1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D51" i="17" s="1"/>
  <c r="C52" i="17"/>
  <c r="C53" i="17"/>
  <c r="C54" i="17"/>
  <c r="C55" i="17"/>
  <c r="C56" i="17"/>
  <c r="C57" i="17"/>
  <c r="C58" i="17"/>
  <c r="C59" i="17"/>
  <c r="D59" i="17" s="1"/>
  <c r="C60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2" i="17"/>
  <c r="D53" i="17"/>
  <c r="D54" i="17"/>
  <c r="D55" i="17"/>
  <c r="D56" i="17"/>
  <c r="D57" i="17"/>
  <c r="D58" i="17"/>
  <c r="D60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C37" i="16"/>
  <c r="C38" i="16"/>
  <c r="C39" i="16"/>
  <c r="D39" i="16" s="1"/>
  <c r="C40" i="16"/>
  <c r="D40" i="16" s="1"/>
  <c r="C41" i="16"/>
  <c r="C43" i="16"/>
  <c r="C44" i="16"/>
  <c r="D44" i="16" s="1"/>
  <c r="C45" i="16"/>
  <c r="C46" i="16"/>
  <c r="D46" i="16" s="1"/>
  <c r="C47" i="16"/>
  <c r="C48" i="16"/>
  <c r="C49" i="16"/>
  <c r="C50" i="16"/>
  <c r="C51" i="16"/>
  <c r="C52" i="16"/>
  <c r="D52" i="16" s="1"/>
  <c r="C53" i="16"/>
  <c r="C54" i="16"/>
  <c r="C55" i="16"/>
  <c r="C56" i="16"/>
  <c r="C57" i="16"/>
  <c r="C58" i="16"/>
  <c r="C59" i="16"/>
  <c r="C60" i="16"/>
  <c r="D60" i="16" s="1"/>
  <c r="D37" i="16"/>
  <c r="D38" i="16"/>
  <c r="D41" i="16"/>
  <c r="D42" i="16"/>
  <c r="D43" i="16"/>
  <c r="D45" i="16"/>
  <c r="D47" i="16"/>
  <c r="D48" i="16"/>
  <c r="D49" i="16"/>
  <c r="D50" i="16"/>
  <c r="D51" i="16"/>
  <c r="D53" i="16"/>
  <c r="D54" i="16"/>
  <c r="D55" i="16"/>
  <c r="D56" i="16"/>
  <c r="D57" i="16"/>
  <c r="D58" i="16"/>
  <c r="D59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C37" i="15"/>
  <c r="C38" i="15"/>
  <c r="C39" i="15"/>
  <c r="C40" i="15"/>
  <c r="D40" i="15" s="1"/>
  <c r="C41" i="15"/>
  <c r="D41" i="15" s="1"/>
  <c r="C42" i="15"/>
  <c r="D42" i="15" s="1"/>
  <c r="C43" i="15"/>
  <c r="D43" i="15" s="1"/>
  <c r="C44" i="15"/>
  <c r="D44" i="15" s="1"/>
  <c r="C45" i="15"/>
  <c r="D45" i="15" s="1"/>
  <c r="C46" i="15"/>
  <c r="D46" i="15" s="1"/>
  <c r="C47" i="15"/>
  <c r="D47" i="15" s="1"/>
  <c r="C48" i="15"/>
  <c r="D48" i="15" s="1"/>
  <c r="C49" i="15"/>
  <c r="C50" i="15"/>
  <c r="C51" i="15"/>
  <c r="D51" i="15" s="1"/>
  <c r="C52" i="15"/>
  <c r="C53" i="15"/>
  <c r="C54" i="15"/>
  <c r="C55" i="15"/>
  <c r="C56" i="15"/>
  <c r="C57" i="15"/>
  <c r="C58" i="15"/>
  <c r="C59" i="15"/>
  <c r="D59" i="15" s="1"/>
  <c r="C60" i="15"/>
  <c r="D37" i="15"/>
  <c r="D38" i="15"/>
  <c r="D39" i="15"/>
  <c r="D49" i="15"/>
  <c r="D50" i="15"/>
  <c r="D52" i="15"/>
  <c r="D53" i="15"/>
  <c r="D54" i="15"/>
  <c r="D55" i="15"/>
  <c r="D56" i="15"/>
  <c r="D57" i="15"/>
  <c r="D58" i="15"/>
  <c r="D60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C37" i="14"/>
  <c r="C38" i="14"/>
  <c r="C39" i="14"/>
  <c r="C40" i="14"/>
  <c r="C41" i="14"/>
  <c r="D42" i="14"/>
  <c r="C43" i="14"/>
  <c r="D43" i="14" s="1"/>
  <c r="C44" i="14"/>
  <c r="C45" i="14"/>
  <c r="D45" i="14" s="1"/>
  <c r="C46" i="14"/>
  <c r="D46" i="14" s="1"/>
  <c r="C47" i="14"/>
  <c r="C48" i="14"/>
  <c r="D48" i="14" s="1"/>
  <c r="C49" i="14"/>
  <c r="C50" i="14"/>
  <c r="C51" i="14"/>
  <c r="C52" i="14"/>
  <c r="D52" i="14" s="1"/>
  <c r="C53" i="14"/>
  <c r="C54" i="14"/>
  <c r="C55" i="14"/>
  <c r="C56" i="14"/>
  <c r="C57" i="14"/>
  <c r="C58" i="14"/>
  <c r="C59" i="14"/>
  <c r="C60" i="14"/>
  <c r="D60" i="14" s="1"/>
  <c r="D37" i="14"/>
  <c r="D38" i="14"/>
  <c r="D39" i="14"/>
  <c r="D40" i="14"/>
  <c r="D41" i="14"/>
  <c r="D44" i="14"/>
  <c r="D47" i="14"/>
  <c r="D49" i="14"/>
  <c r="D50" i="14"/>
  <c r="D51" i="14"/>
  <c r="D53" i="14"/>
  <c r="D54" i="14"/>
  <c r="D55" i="14"/>
  <c r="D56" i="14"/>
  <c r="D57" i="14"/>
  <c r="D58" i="14"/>
  <c r="D59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C37" i="13"/>
  <c r="C38" i="13"/>
  <c r="C39" i="13"/>
  <c r="D39" i="13" s="1"/>
  <c r="C40" i="13"/>
  <c r="D40" i="13" s="1"/>
  <c r="C41" i="13"/>
  <c r="C42" i="13"/>
  <c r="C43" i="13"/>
  <c r="C44" i="13"/>
  <c r="D44" i="13" s="1"/>
  <c r="C45" i="13"/>
  <c r="D45" i="13" s="1"/>
  <c r="C46" i="13"/>
  <c r="D46" i="13" s="1"/>
  <c r="C47" i="13"/>
  <c r="D47" i="13" s="1"/>
  <c r="C48" i="13"/>
  <c r="C49" i="13"/>
  <c r="C50" i="13"/>
  <c r="C51" i="13"/>
  <c r="D51" i="13" s="1"/>
  <c r="C52" i="13"/>
  <c r="D52" i="13" s="1"/>
  <c r="C53" i="13"/>
  <c r="C54" i="13"/>
  <c r="C55" i="13"/>
  <c r="C56" i="13"/>
  <c r="C57" i="13"/>
  <c r="C58" i="13"/>
  <c r="C59" i="13"/>
  <c r="D59" i="13" s="1"/>
  <c r="C60" i="13"/>
  <c r="D37" i="13"/>
  <c r="D38" i="13"/>
  <c r="D41" i="13"/>
  <c r="D42" i="13"/>
  <c r="D43" i="13"/>
  <c r="D48" i="13"/>
  <c r="D49" i="13"/>
  <c r="D50" i="13"/>
  <c r="D53" i="13"/>
  <c r="D54" i="13"/>
  <c r="D55" i="13"/>
  <c r="D56" i="13"/>
  <c r="D57" i="13"/>
  <c r="D58" i="13"/>
  <c r="D60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C37" i="12"/>
  <c r="C38" i="12"/>
  <c r="C39" i="12"/>
  <c r="D39" i="12" s="1"/>
  <c r="C40" i="12"/>
  <c r="D40" i="12" s="1"/>
  <c r="C41" i="12"/>
  <c r="D41" i="12" s="1"/>
  <c r="C42" i="12"/>
  <c r="D42" i="12" s="1"/>
  <c r="C43" i="12"/>
  <c r="C44" i="12"/>
  <c r="C45" i="12"/>
  <c r="D45" i="12" s="1"/>
  <c r="C46" i="12"/>
  <c r="C47" i="12"/>
  <c r="D47" i="12" s="1"/>
  <c r="C48" i="12"/>
  <c r="C49" i="12"/>
  <c r="D49" i="12" s="1"/>
  <c r="C50" i="12"/>
  <c r="C51" i="12"/>
  <c r="D51" i="12" s="1"/>
  <c r="C52" i="12"/>
  <c r="C53" i="12"/>
  <c r="C54" i="12"/>
  <c r="C55" i="12"/>
  <c r="C56" i="12"/>
  <c r="C57" i="12"/>
  <c r="C58" i="12"/>
  <c r="C59" i="12"/>
  <c r="D59" i="12" s="1"/>
  <c r="C60" i="12"/>
  <c r="D37" i="12"/>
  <c r="D38" i="12"/>
  <c r="D43" i="12"/>
  <c r="D44" i="12"/>
  <c r="D46" i="12"/>
  <c r="D48" i="12"/>
  <c r="D50" i="12"/>
  <c r="D52" i="12"/>
  <c r="D53" i="12"/>
  <c r="D54" i="12"/>
  <c r="D55" i="12"/>
  <c r="D56" i="12"/>
  <c r="D57" i="12"/>
  <c r="D58" i="12"/>
  <c r="D60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C37" i="11"/>
  <c r="C38" i="11"/>
  <c r="C39" i="11"/>
  <c r="C40" i="11"/>
  <c r="C41" i="11"/>
  <c r="D41" i="11" s="1"/>
  <c r="C42" i="11"/>
  <c r="D42" i="11" s="1"/>
  <c r="C43" i="11"/>
  <c r="D43" i="11" s="1"/>
  <c r="C44" i="11"/>
  <c r="C45" i="11"/>
  <c r="D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D37" i="11"/>
  <c r="D38" i="11"/>
  <c r="D39" i="11"/>
  <c r="D40" i="11"/>
  <c r="D44" i="11"/>
  <c r="D45" i="11"/>
  <c r="D46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C37" i="10"/>
  <c r="C38" i="10"/>
  <c r="C39" i="10"/>
  <c r="D39" i="10" s="1"/>
  <c r="C40" i="10"/>
  <c r="D40" i="10" s="1"/>
  <c r="C41" i="10"/>
  <c r="C42" i="10"/>
  <c r="D42" i="10" s="1"/>
  <c r="C43" i="10"/>
  <c r="D43" i="10" s="1"/>
  <c r="C44" i="10"/>
  <c r="D44" i="10" s="1"/>
  <c r="C45" i="10"/>
  <c r="C46" i="10"/>
  <c r="D46" i="10" s="1"/>
  <c r="C47" i="10"/>
  <c r="C48" i="10"/>
  <c r="D48" i="10" s="1"/>
  <c r="C49" i="10"/>
  <c r="C50" i="10"/>
  <c r="C51" i="10"/>
  <c r="C52" i="10"/>
  <c r="D52" i="10" s="1"/>
  <c r="C53" i="10"/>
  <c r="C54" i="10"/>
  <c r="C55" i="10"/>
  <c r="C56" i="10"/>
  <c r="C57" i="10"/>
  <c r="C58" i="10"/>
  <c r="C59" i="10"/>
  <c r="C60" i="10"/>
  <c r="D60" i="10" s="1"/>
  <c r="D37" i="10"/>
  <c r="D38" i="10"/>
  <c r="D41" i="10"/>
  <c r="D45" i="10"/>
  <c r="D47" i="10"/>
  <c r="D49" i="10"/>
  <c r="D50" i="10"/>
  <c r="D51" i="10"/>
  <c r="D53" i="10"/>
  <c r="D54" i="10"/>
  <c r="D55" i="10"/>
  <c r="D56" i="10"/>
  <c r="D57" i="10"/>
  <c r="D58" i="10"/>
  <c r="D59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C33" i="9"/>
  <c r="D33" i="9" s="1"/>
  <c r="C34" i="9"/>
  <c r="D34" i="9" s="1"/>
  <c r="C35" i="9"/>
  <c r="D35" i="9" s="1"/>
  <c r="C36" i="9"/>
  <c r="D36" i="9" s="1"/>
  <c r="C37" i="9"/>
  <c r="C38" i="9"/>
  <c r="C39" i="9"/>
  <c r="D39" i="9" s="1"/>
  <c r="C40" i="9"/>
  <c r="C41" i="9"/>
  <c r="D41" i="9" s="1"/>
  <c r="C42" i="9"/>
  <c r="D42" i="9" s="1"/>
  <c r="C43" i="9"/>
  <c r="D43" i="9" s="1"/>
  <c r="C44" i="9"/>
  <c r="D44" i="9" s="1"/>
  <c r="C45" i="9"/>
  <c r="D45" i="9" s="1"/>
  <c r="C46" i="9"/>
  <c r="D46" i="9" s="1"/>
  <c r="C47" i="9"/>
  <c r="C48" i="9"/>
  <c r="D48" i="9" s="1"/>
  <c r="C49" i="9"/>
  <c r="D49" i="9" s="1"/>
  <c r="C50" i="9"/>
  <c r="D50" i="9" s="1"/>
  <c r="C51" i="9"/>
  <c r="D51" i="9" s="1"/>
  <c r="C52" i="9"/>
  <c r="D52" i="9" s="1"/>
  <c r="C53" i="9"/>
  <c r="C54" i="9"/>
  <c r="C55" i="9"/>
  <c r="C56" i="9"/>
  <c r="C57" i="9"/>
  <c r="D57" i="9" s="1"/>
  <c r="C58" i="9"/>
  <c r="D58" i="9" s="1"/>
  <c r="C59" i="9"/>
  <c r="D59" i="9" s="1"/>
  <c r="C60" i="9"/>
  <c r="D60" i="9" s="1"/>
  <c r="D37" i="9"/>
  <c r="D38" i="9"/>
  <c r="D40" i="9"/>
  <c r="D47" i="9"/>
  <c r="D53" i="9"/>
  <c r="D54" i="9"/>
  <c r="D55" i="9"/>
  <c r="D56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C38" i="8"/>
  <c r="D38" i="8" s="1"/>
  <c r="C39" i="8"/>
  <c r="D39" i="8" s="1"/>
  <c r="C40" i="8"/>
  <c r="C41" i="8"/>
  <c r="C42" i="8"/>
  <c r="D42" i="8" s="1"/>
  <c r="C43" i="8"/>
  <c r="C44" i="8"/>
  <c r="C45" i="8"/>
  <c r="D45" i="8" s="1"/>
  <c r="C46" i="8"/>
  <c r="D46" i="8" s="1"/>
  <c r="C47" i="8"/>
  <c r="D47" i="8" s="1"/>
  <c r="C48" i="8"/>
  <c r="C49" i="8"/>
  <c r="D49" i="8" s="1"/>
  <c r="C50" i="8"/>
  <c r="C51" i="8"/>
  <c r="C52" i="8"/>
  <c r="C53" i="8"/>
  <c r="D53" i="8" s="1"/>
  <c r="C54" i="8"/>
  <c r="C55" i="8"/>
  <c r="D55" i="8" s="1"/>
  <c r="C56" i="8"/>
  <c r="C57" i="8"/>
  <c r="C58" i="8"/>
  <c r="C59" i="8"/>
  <c r="C60" i="8"/>
  <c r="D40" i="8"/>
  <c r="D41" i="8"/>
  <c r="D43" i="8"/>
  <c r="D44" i="8"/>
  <c r="D48" i="8"/>
  <c r="D50" i="8"/>
  <c r="D51" i="8"/>
  <c r="D52" i="8"/>
  <c r="D54" i="8"/>
  <c r="D56" i="8"/>
  <c r="D57" i="8"/>
  <c r="D58" i="8"/>
  <c r="D59" i="8"/>
  <c r="D60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A37" i="8"/>
  <c r="C37" i="8"/>
  <c r="D37" i="8" s="1"/>
  <c r="F37" i="8"/>
  <c r="I37" i="8"/>
  <c r="K49" i="7"/>
  <c r="K50" i="7"/>
  <c r="K51" i="7"/>
  <c r="K52" i="7"/>
  <c r="K53" i="7"/>
  <c r="K54" i="7"/>
  <c r="K55" i="7"/>
  <c r="K56" i="7"/>
  <c r="K57" i="7"/>
  <c r="K58" i="7"/>
  <c r="K59" i="7"/>
  <c r="K60" i="7"/>
  <c r="O16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C37" i="7"/>
  <c r="D37" i="7" s="1"/>
  <c r="F37" i="7"/>
  <c r="I37" i="7"/>
  <c r="C38" i="7"/>
  <c r="D38" i="7" s="1"/>
  <c r="F38" i="7"/>
  <c r="I38" i="7"/>
  <c r="C39" i="7"/>
  <c r="D39" i="7" s="1"/>
  <c r="F39" i="7"/>
  <c r="I39" i="7"/>
  <c r="C40" i="7"/>
  <c r="D40" i="7" s="1"/>
  <c r="F40" i="7"/>
  <c r="I40" i="7"/>
  <c r="C41" i="7"/>
  <c r="D41" i="7" s="1"/>
  <c r="F41" i="7"/>
  <c r="I41" i="7"/>
  <c r="C42" i="7"/>
  <c r="D42" i="7" s="1"/>
  <c r="F42" i="7"/>
  <c r="I42" i="7"/>
  <c r="C43" i="7"/>
  <c r="D43" i="7" s="1"/>
  <c r="F43" i="7"/>
  <c r="I43" i="7"/>
  <c r="C44" i="7"/>
  <c r="D44" i="7"/>
  <c r="F44" i="7"/>
  <c r="I44" i="7"/>
  <c r="C45" i="7"/>
  <c r="D45" i="7" s="1"/>
  <c r="F45" i="7"/>
  <c r="I45" i="7"/>
  <c r="C46" i="7"/>
  <c r="D46" i="7" s="1"/>
  <c r="F46" i="7"/>
  <c r="I46" i="7"/>
  <c r="C47" i="7"/>
  <c r="D47" i="7"/>
  <c r="F47" i="7"/>
  <c r="I47" i="7"/>
  <c r="C48" i="7"/>
  <c r="D48" i="7" s="1"/>
  <c r="F48" i="7"/>
  <c r="I48" i="7"/>
  <c r="C49" i="7"/>
  <c r="D49" i="7" s="1"/>
  <c r="F49" i="7"/>
  <c r="I49" i="7"/>
  <c r="C50" i="7"/>
  <c r="D50" i="7" s="1"/>
  <c r="F50" i="7"/>
  <c r="I50" i="7"/>
  <c r="C51" i="7"/>
  <c r="D51" i="7"/>
  <c r="F51" i="7"/>
  <c r="I51" i="7"/>
  <c r="C52" i="7"/>
  <c r="D52" i="7"/>
  <c r="F52" i="7"/>
  <c r="I52" i="7"/>
  <c r="C53" i="7"/>
  <c r="D53" i="7"/>
  <c r="F53" i="7"/>
  <c r="I53" i="7"/>
  <c r="C54" i="7"/>
  <c r="D54" i="7" s="1"/>
  <c r="F54" i="7"/>
  <c r="I54" i="7"/>
  <c r="C55" i="7"/>
  <c r="D55" i="7"/>
  <c r="F55" i="7"/>
  <c r="I55" i="7"/>
  <c r="C56" i="7"/>
  <c r="D56" i="7"/>
  <c r="F56" i="7"/>
  <c r="I56" i="7"/>
  <c r="C57" i="7"/>
  <c r="D57" i="7"/>
  <c r="F57" i="7"/>
  <c r="I57" i="7"/>
  <c r="C58" i="7"/>
  <c r="D58" i="7"/>
  <c r="F58" i="7"/>
  <c r="I58" i="7"/>
  <c r="C59" i="7"/>
  <c r="D59" i="7" s="1"/>
  <c r="F59" i="7"/>
  <c r="I59" i="7"/>
  <c r="C60" i="7"/>
  <c r="D60" i="7" s="1"/>
  <c r="F60" i="7"/>
  <c r="I60" i="7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C37" i="2"/>
  <c r="D37" i="2" s="1"/>
  <c r="F37" i="2"/>
  <c r="I37" i="2"/>
  <c r="C38" i="2"/>
  <c r="D38" i="2" s="1"/>
  <c r="F38" i="2"/>
  <c r="I38" i="2"/>
  <c r="C39" i="2"/>
  <c r="D39" i="2" s="1"/>
  <c r="F39" i="2"/>
  <c r="I39" i="2"/>
  <c r="C40" i="2"/>
  <c r="D40" i="2"/>
  <c r="F40" i="2"/>
  <c r="I40" i="2"/>
  <c r="C41" i="2"/>
  <c r="D41" i="2" s="1"/>
  <c r="F41" i="2"/>
  <c r="I41" i="2"/>
  <c r="C42" i="2"/>
  <c r="D42" i="2" s="1"/>
  <c r="F42" i="2"/>
  <c r="I42" i="2"/>
  <c r="C43" i="2"/>
  <c r="D43" i="2" s="1"/>
  <c r="F43" i="2"/>
  <c r="I43" i="2"/>
  <c r="C44" i="2"/>
  <c r="D44" i="2" s="1"/>
  <c r="F44" i="2"/>
  <c r="I44" i="2"/>
  <c r="C45" i="2"/>
  <c r="D45" i="2"/>
  <c r="F45" i="2"/>
  <c r="I45" i="2"/>
  <c r="C46" i="2"/>
  <c r="D46" i="2" s="1"/>
  <c r="F46" i="2"/>
  <c r="I46" i="2"/>
  <c r="C47" i="2"/>
  <c r="D47" i="2"/>
  <c r="F47" i="2"/>
  <c r="I47" i="2"/>
  <c r="C48" i="2"/>
  <c r="D48" i="2" s="1"/>
  <c r="F48" i="2"/>
  <c r="I48" i="2"/>
  <c r="C49" i="2"/>
  <c r="D49" i="2" s="1"/>
  <c r="F49" i="2"/>
  <c r="I49" i="2"/>
  <c r="C50" i="2"/>
  <c r="D50" i="2" s="1"/>
  <c r="F50" i="2"/>
  <c r="I50" i="2"/>
  <c r="C51" i="2"/>
  <c r="D51" i="2" s="1"/>
  <c r="F51" i="2"/>
  <c r="I51" i="2"/>
  <c r="C52" i="2"/>
  <c r="D52" i="2"/>
  <c r="F52" i="2"/>
  <c r="I52" i="2"/>
  <c r="C53" i="2"/>
  <c r="D53" i="2" s="1"/>
  <c r="F53" i="2"/>
  <c r="I53" i="2"/>
  <c r="C54" i="2"/>
  <c r="D54" i="2" s="1"/>
  <c r="F54" i="2"/>
  <c r="I54" i="2"/>
  <c r="C55" i="2"/>
  <c r="D55" i="2" s="1"/>
  <c r="F55" i="2"/>
  <c r="I55" i="2"/>
  <c r="C56" i="2"/>
  <c r="D56" i="2"/>
  <c r="F56" i="2"/>
  <c r="I56" i="2"/>
  <c r="C57" i="2"/>
  <c r="D57" i="2" s="1"/>
  <c r="F57" i="2"/>
  <c r="I57" i="2"/>
  <c r="C58" i="2"/>
  <c r="D58" i="2"/>
  <c r="F58" i="2"/>
  <c r="I58" i="2"/>
  <c r="C59" i="2"/>
  <c r="D59" i="2" s="1"/>
  <c r="F59" i="2"/>
  <c r="I59" i="2"/>
  <c r="C60" i="2"/>
  <c r="D60" i="2" s="1"/>
  <c r="F60" i="2"/>
  <c r="I60" i="2"/>
  <c r="C58" i="1"/>
  <c r="D58" i="1" s="1"/>
  <c r="H58" i="1" s="1"/>
  <c r="F58" i="1"/>
  <c r="G58" i="1"/>
  <c r="R58" i="1"/>
  <c r="H58" i="8" s="1"/>
  <c r="C59" i="1"/>
  <c r="D59" i="1"/>
  <c r="F59" i="1"/>
  <c r="G59" i="1" s="1"/>
  <c r="R59" i="1"/>
  <c r="H59" i="8" s="1"/>
  <c r="C60" i="1"/>
  <c r="D60" i="1"/>
  <c r="H60" i="1" s="1"/>
  <c r="F60" i="1"/>
  <c r="G60" i="1"/>
  <c r="R60" i="1"/>
  <c r="H60" i="7" s="1"/>
  <c r="F36" i="1"/>
  <c r="N37" i="1"/>
  <c r="N38" i="1"/>
  <c r="N39" i="1"/>
  <c r="N40" i="1"/>
  <c r="R40" i="1" s="1"/>
  <c r="H40" i="7" s="1"/>
  <c r="N41" i="1"/>
  <c r="R44" i="1"/>
  <c r="H44" i="7" s="1"/>
  <c r="R48" i="1"/>
  <c r="H48" i="8" s="1"/>
  <c r="R56" i="1"/>
  <c r="H56" i="7" s="1"/>
  <c r="O37" i="1"/>
  <c r="O38" i="1"/>
  <c r="O39" i="1"/>
  <c r="O40" i="1"/>
  <c r="O41" i="1"/>
  <c r="R42" i="1"/>
  <c r="H42" i="7" s="1"/>
  <c r="R43" i="1"/>
  <c r="H43" i="7" s="1"/>
  <c r="R50" i="1"/>
  <c r="H50" i="7" s="1"/>
  <c r="P37" i="1"/>
  <c r="P38" i="1"/>
  <c r="P39" i="1"/>
  <c r="P40" i="1"/>
  <c r="P41" i="1"/>
  <c r="R46" i="1"/>
  <c r="H46" i="7" s="1"/>
  <c r="R54" i="1"/>
  <c r="H54" i="7" s="1"/>
  <c r="C56" i="1"/>
  <c r="D56" i="1"/>
  <c r="H56" i="1" s="1"/>
  <c r="F56" i="1"/>
  <c r="G56" i="1"/>
  <c r="C57" i="1"/>
  <c r="D57" i="1"/>
  <c r="F57" i="1"/>
  <c r="G57" i="1"/>
  <c r="H57" i="1"/>
  <c r="R57" i="1"/>
  <c r="H57" i="8" s="1"/>
  <c r="C41" i="1"/>
  <c r="D41" i="1" s="1"/>
  <c r="F41" i="1"/>
  <c r="G41" i="1" s="1"/>
  <c r="M41" i="1"/>
  <c r="R41" i="1"/>
  <c r="H41" i="7" s="1"/>
  <c r="C42" i="1"/>
  <c r="D42" i="1" s="1"/>
  <c r="F42" i="1"/>
  <c r="G42" i="1" s="1"/>
  <c r="C43" i="1"/>
  <c r="D43" i="1" s="1"/>
  <c r="H43" i="1" s="1"/>
  <c r="F43" i="1"/>
  <c r="G43" i="1" s="1"/>
  <c r="C44" i="1"/>
  <c r="D44" i="1"/>
  <c r="F44" i="1"/>
  <c r="G44" i="1" s="1"/>
  <c r="C45" i="1"/>
  <c r="D45" i="1" s="1"/>
  <c r="F45" i="1"/>
  <c r="G45" i="1" s="1"/>
  <c r="C46" i="1"/>
  <c r="D46" i="1"/>
  <c r="F46" i="1"/>
  <c r="G46" i="1"/>
  <c r="C47" i="1"/>
  <c r="D47" i="1" s="1"/>
  <c r="F47" i="1"/>
  <c r="G47" i="1" s="1"/>
  <c r="R47" i="1"/>
  <c r="H47" i="7" s="1"/>
  <c r="C48" i="1"/>
  <c r="D48" i="1"/>
  <c r="F48" i="1"/>
  <c r="G48" i="1" s="1"/>
  <c r="C49" i="1"/>
  <c r="D49" i="1" s="1"/>
  <c r="F49" i="1"/>
  <c r="G49" i="1" s="1"/>
  <c r="R49" i="1"/>
  <c r="H49" i="7" s="1"/>
  <c r="C50" i="1"/>
  <c r="D50" i="1" s="1"/>
  <c r="H50" i="1" s="1"/>
  <c r="F50" i="1"/>
  <c r="G50" i="1"/>
  <c r="C51" i="1"/>
  <c r="D51" i="1" s="1"/>
  <c r="H51" i="1" s="1"/>
  <c r="F51" i="1"/>
  <c r="G51" i="1"/>
  <c r="C52" i="1"/>
  <c r="D52" i="1"/>
  <c r="H52" i="1" s="1"/>
  <c r="F52" i="1"/>
  <c r="G52" i="1"/>
  <c r="R52" i="1"/>
  <c r="H52" i="7" s="1"/>
  <c r="C53" i="1"/>
  <c r="D53" i="1"/>
  <c r="F53" i="1"/>
  <c r="G53" i="1" s="1"/>
  <c r="C54" i="1"/>
  <c r="D54" i="1"/>
  <c r="F54" i="1"/>
  <c r="G54" i="1"/>
  <c r="H54" i="1"/>
  <c r="C55" i="1"/>
  <c r="D55" i="1" s="1"/>
  <c r="F55" i="1"/>
  <c r="G55" i="1" s="1"/>
  <c r="R55" i="1"/>
  <c r="H55" i="7" s="1"/>
  <c r="C40" i="1"/>
  <c r="D40" i="1" s="1"/>
  <c r="F40" i="1"/>
  <c r="G40" i="1" s="1"/>
  <c r="M40" i="1"/>
  <c r="C36" i="1"/>
  <c r="C39" i="1"/>
  <c r="D39" i="1" s="1"/>
  <c r="F39" i="1"/>
  <c r="G39" i="1" s="1"/>
  <c r="M39" i="1"/>
  <c r="C38" i="1"/>
  <c r="D38" i="1" s="1"/>
  <c r="F38" i="1"/>
  <c r="G38" i="1" s="1"/>
  <c r="M38" i="1"/>
  <c r="C37" i="1"/>
  <c r="D37" i="1" s="1"/>
  <c r="F37" i="1"/>
  <c r="G37" i="1" s="1"/>
  <c r="M37" i="1"/>
  <c r="P36" i="1"/>
  <c r="O36" i="1"/>
  <c r="N36" i="1"/>
  <c r="M36" i="1"/>
  <c r="G36" i="1"/>
  <c r="D36" i="1"/>
  <c r="P31" i="1"/>
  <c r="P32" i="1"/>
  <c r="P33" i="1"/>
  <c r="P34" i="1"/>
  <c r="P35" i="1"/>
  <c r="P30" i="1"/>
  <c r="O31" i="1"/>
  <c r="O32" i="1"/>
  <c r="O33" i="1"/>
  <c r="O34" i="1"/>
  <c r="O35" i="1"/>
  <c r="O30" i="1"/>
  <c r="N31" i="1"/>
  <c r="N32" i="1"/>
  <c r="N33" i="1"/>
  <c r="N34" i="1"/>
  <c r="N35" i="1"/>
  <c r="N30" i="1"/>
  <c r="B3" i="19" l="1"/>
  <c r="I3" i="19"/>
  <c r="D10" i="52" s="1"/>
  <c r="H49" i="1"/>
  <c r="H46" i="1"/>
  <c r="H47" i="1"/>
  <c r="H45" i="1"/>
  <c r="H40" i="1"/>
  <c r="H59" i="19"/>
  <c r="H43" i="19"/>
  <c r="H60" i="19"/>
  <c r="H52" i="19"/>
  <c r="H44" i="19"/>
  <c r="H58" i="19"/>
  <c r="H50" i="19"/>
  <c r="H42" i="19"/>
  <c r="H57" i="19"/>
  <c r="H49" i="19"/>
  <c r="H41" i="19"/>
  <c r="H56" i="19"/>
  <c r="H48" i="19"/>
  <c r="H40" i="19"/>
  <c r="H55" i="19"/>
  <c r="H47" i="19"/>
  <c r="H54" i="19"/>
  <c r="H46" i="19"/>
  <c r="H59" i="18"/>
  <c r="H43" i="17"/>
  <c r="H43" i="18"/>
  <c r="H60" i="18"/>
  <c r="H52" i="18"/>
  <c r="H44" i="18"/>
  <c r="H58" i="18"/>
  <c r="H50" i="18"/>
  <c r="H42" i="18"/>
  <c r="H57" i="18"/>
  <c r="H49" i="18"/>
  <c r="H41" i="18"/>
  <c r="H56" i="18"/>
  <c r="H48" i="18"/>
  <c r="H40" i="18"/>
  <c r="H55" i="18"/>
  <c r="H47" i="18"/>
  <c r="H54" i="18"/>
  <c r="H46" i="18"/>
  <c r="H59" i="17"/>
  <c r="H60" i="17"/>
  <c r="H52" i="17"/>
  <c r="H44" i="17"/>
  <c r="H58" i="17"/>
  <c r="H50" i="17"/>
  <c r="H42" i="17"/>
  <c r="H57" i="17"/>
  <c r="H49" i="17"/>
  <c r="H41" i="17"/>
  <c r="H56" i="17"/>
  <c r="H48" i="17"/>
  <c r="H40" i="17"/>
  <c r="H55" i="17"/>
  <c r="H47" i="17"/>
  <c r="H54" i="17"/>
  <c r="H46" i="17"/>
  <c r="H52" i="16"/>
  <c r="H44" i="16"/>
  <c r="H59" i="16"/>
  <c r="H43" i="16"/>
  <c r="H60" i="16"/>
  <c r="H58" i="16"/>
  <c r="H50" i="16"/>
  <c r="H42" i="16"/>
  <c r="H57" i="16"/>
  <c r="H49" i="16"/>
  <c r="H41" i="16"/>
  <c r="H56" i="16"/>
  <c r="H48" i="16"/>
  <c r="H40" i="16"/>
  <c r="H55" i="16"/>
  <c r="H47" i="16"/>
  <c r="H54" i="16"/>
  <c r="H46" i="16"/>
  <c r="H59" i="15"/>
  <c r="H43" i="15"/>
  <c r="H60" i="15"/>
  <c r="H52" i="15"/>
  <c r="H44" i="15"/>
  <c r="H58" i="15"/>
  <c r="H50" i="15"/>
  <c r="H42" i="15"/>
  <c r="H57" i="15"/>
  <c r="H49" i="15"/>
  <c r="H41" i="15"/>
  <c r="H56" i="15"/>
  <c r="H48" i="15"/>
  <c r="H40" i="15"/>
  <c r="H55" i="15"/>
  <c r="H47" i="15"/>
  <c r="H54" i="15"/>
  <c r="H46" i="15"/>
  <c r="H52" i="14"/>
  <c r="H44" i="14"/>
  <c r="H60" i="14"/>
  <c r="H59" i="14"/>
  <c r="H43" i="14"/>
  <c r="H58" i="14"/>
  <c r="H50" i="14"/>
  <c r="H42" i="14"/>
  <c r="H57" i="14"/>
  <c r="H49" i="14"/>
  <c r="H41" i="14"/>
  <c r="H56" i="14"/>
  <c r="H48" i="14"/>
  <c r="H40" i="14"/>
  <c r="H55" i="14"/>
  <c r="H47" i="14"/>
  <c r="H54" i="14"/>
  <c r="H46" i="14"/>
  <c r="H60" i="13"/>
  <c r="H59" i="13"/>
  <c r="H52" i="13"/>
  <c r="H44" i="13"/>
  <c r="H59" i="12"/>
  <c r="H43" i="13"/>
  <c r="H58" i="13"/>
  <c r="H50" i="13"/>
  <c r="H42" i="13"/>
  <c r="H57" i="13"/>
  <c r="H49" i="13"/>
  <c r="H41" i="13"/>
  <c r="H56" i="13"/>
  <c r="H48" i="13"/>
  <c r="H40" i="13"/>
  <c r="H55" i="13"/>
  <c r="H47" i="13"/>
  <c r="H54" i="13"/>
  <c r="H46" i="13"/>
  <c r="H43" i="12"/>
  <c r="H60" i="12"/>
  <c r="H52" i="12"/>
  <c r="H44" i="12"/>
  <c r="H58" i="12"/>
  <c r="H50" i="12"/>
  <c r="H42" i="12"/>
  <c r="H57" i="12"/>
  <c r="H49" i="12"/>
  <c r="H41" i="12"/>
  <c r="H56" i="12"/>
  <c r="H48" i="12"/>
  <c r="H40" i="12"/>
  <c r="H55" i="12"/>
  <c r="H47" i="12"/>
  <c r="H54" i="12"/>
  <c r="H46" i="12"/>
  <c r="H42" i="11"/>
  <c r="H59" i="11"/>
  <c r="H44" i="10"/>
  <c r="H58" i="11"/>
  <c r="H50" i="11"/>
  <c r="H43" i="11"/>
  <c r="H60" i="11"/>
  <c r="H52" i="11"/>
  <c r="H44" i="11"/>
  <c r="H57" i="11"/>
  <c r="H49" i="11"/>
  <c r="H41" i="11"/>
  <c r="H56" i="11"/>
  <c r="H48" i="11"/>
  <c r="H40" i="11"/>
  <c r="H55" i="11"/>
  <c r="H47" i="11"/>
  <c r="H54" i="11"/>
  <c r="H46" i="11"/>
  <c r="H52" i="10"/>
  <c r="H60" i="10"/>
  <c r="H59" i="10"/>
  <c r="H43" i="10"/>
  <c r="H58" i="10"/>
  <c r="H50" i="10"/>
  <c r="H42" i="10"/>
  <c r="H57" i="10"/>
  <c r="H49" i="10"/>
  <c r="H41" i="10"/>
  <c r="H56" i="10"/>
  <c r="H48" i="10"/>
  <c r="H40" i="10"/>
  <c r="H55" i="10"/>
  <c r="H47" i="10"/>
  <c r="H54" i="10"/>
  <c r="H46" i="10"/>
  <c r="H56" i="9"/>
  <c r="H48" i="9"/>
  <c r="H40" i="9"/>
  <c r="H55" i="9"/>
  <c r="H47" i="9"/>
  <c r="H54" i="9"/>
  <c r="H46" i="9"/>
  <c r="H60" i="9"/>
  <c r="H52" i="9"/>
  <c r="H44" i="9"/>
  <c r="H59" i="9"/>
  <c r="H43" i="9"/>
  <c r="H58" i="9"/>
  <c r="H50" i="9"/>
  <c r="H42" i="9"/>
  <c r="H57" i="9"/>
  <c r="H49" i="9"/>
  <c r="H41" i="9"/>
  <c r="H43" i="8"/>
  <c r="H42" i="8"/>
  <c r="H49" i="8"/>
  <c r="H41" i="8"/>
  <c r="H56" i="8"/>
  <c r="H40" i="8"/>
  <c r="H55" i="8"/>
  <c r="H47" i="8"/>
  <c r="H50" i="8"/>
  <c r="H54" i="8"/>
  <c r="H46" i="8"/>
  <c r="H60" i="8"/>
  <c r="H52" i="8"/>
  <c r="H44" i="8"/>
  <c r="H48" i="7"/>
  <c r="H59" i="7"/>
  <c r="H57" i="7"/>
  <c r="H58" i="7"/>
  <c r="I45" i="1"/>
  <c r="J45" i="1" s="1"/>
  <c r="K45" i="1" s="1"/>
  <c r="E45" i="19" s="1"/>
  <c r="G45" i="19" s="1"/>
  <c r="I47" i="1"/>
  <c r="J47" i="1" s="1"/>
  <c r="K47" i="1" s="1"/>
  <c r="E47" i="19" s="1"/>
  <c r="G47" i="19" s="1"/>
  <c r="K47" i="19" s="1"/>
  <c r="I37" i="1"/>
  <c r="I49" i="1"/>
  <c r="J49" i="1" s="1"/>
  <c r="K49" i="1" s="1"/>
  <c r="E49" i="19" s="1"/>
  <c r="G49" i="19" s="1"/>
  <c r="I56" i="1"/>
  <c r="J56" i="1" s="1"/>
  <c r="K56" i="1" s="1"/>
  <c r="E56" i="19" s="1"/>
  <c r="G56" i="19" s="1"/>
  <c r="I39" i="1"/>
  <c r="I40" i="1"/>
  <c r="J40" i="1" s="1"/>
  <c r="K40" i="1" s="1"/>
  <c r="E40" i="19" s="1"/>
  <c r="G40" i="19" s="1"/>
  <c r="K40" i="19" s="1"/>
  <c r="I52" i="1"/>
  <c r="J52" i="1" s="1"/>
  <c r="K52" i="1" s="1"/>
  <c r="E52" i="19" s="1"/>
  <c r="G52" i="19" s="1"/>
  <c r="H59" i="2"/>
  <c r="H49" i="2"/>
  <c r="H57" i="2"/>
  <c r="H54" i="2"/>
  <c r="H46" i="2"/>
  <c r="H43" i="2"/>
  <c r="H56" i="2"/>
  <c r="H48" i="2"/>
  <c r="H40" i="2"/>
  <c r="I58" i="1"/>
  <c r="J58" i="1" s="1"/>
  <c r="K58" i="1" s="1"/>
  <c r="E58" i="19" s="1"/>
  <c r="G58" i="19" s="1"/>
  <c r="I42" i="1"/>
  <c r="J42" i="1" s="1"/>
  <c r="K42" i="1" s="1"/>
  <c r="E42" i="19" s="1"/>
  <c r="G42" i="19" s="1"/>
  <c r="K42" i="19" s="1"/>
  <c r="H50" i="2"/>
  <c r="H52" i="2"/>
  <c r="H47" i="2"/>
  <c r="H55" i="2"/>
  <c r="H41" i="2"/>
  <c r="H44" i="2"/>
  <c r="I59" i="1"/>
  <c r="I50" i="1"/>
  <c r="J50" i="1" s="1"/>
  <c r="K50" i="1" s="1"/>
  <c r="E50" i="19" s="1"/>
  <c r="G50" i="19" s="1"/>
  <c r="H60" i="2"/>
  <c r="H42" i="2"/>
  <c r="I38" i="1"/>
  <c r="H58" i="2"/>
  <c r="I60" i="1"/>
  <c r="J60" i="1" s="1"/>
  <c r="K60" i="1" s="1"/>
  <c r="E60" i="19" s="1"/>
  <c r="G60" i="19" s="1"/>
  <c r="I51" i="1"/>
  <c r="J51" i="1" s="1"/>
  <c r="K51" i="1" s="1"/>
  <c r="E51" i="19" s="1"/>
  <c r="G51" i="19" s="1"/>
  <c r="I53" i="1"/>
  <c r="I44" i="1"/>
  <c r="I46" i="1"/>
  <c r="J46" i="1" s="1"/>
  <c r="K46" i="1" s="1"/>
  <c r="E46" i="19" s="1"/>
  <c r="G46" i="19" s="1"/>
  <c r="I55" i="1"/>
  <c r="I48" i="1"/>
  <c r="I41" i="1"/>
  <c r="I43" i="1"/>
  <c r="J43" i="1" s="1"/>
  <c r="K43" i="1" s="1"/>
  <c r="E43" i="19" s="1"/>
  <c r="G43" i="19" s="1"/>
  <c r="K43" i="19" s="1"/>
  <c r="I54" i="1"/>
  <c r="J54" i="1" s="1"/>
  <c r="K54" i="1" s="1"/>
  <c r="E54" i="19" s="1"/>
  <c r="G54" i="19" s="1"/>
  <c r="I57" i="1"/>
  <c r="J57" i="1" s="1"/>
  <c r="K57" i="1" s="1"/>
  <c r="E57" i="19" s="1"/>
  <c r="G57" i="19" s="1"/>
  <c r="H59" i="1"/>
  <c r="R53" i="1"/>
  <c r="H53" i="19" s="1"/>
  <c r="R45" i="1"/>
  <c r="H45" i="19" s="1"/>
  <c r="R51" i="1"/>
  <c r="H51" i="19" s="1"/>
  <c r="H42" i="1"/>
  <c r="H41" i="1"/>
  <c r="H53" i="1"/>
  <c r="H55" i="1"/>
  <c r="H44" i="1"/>
  <c r="H48" i="1"/>
  <c r="R39" i="1"/>
  <c r="H39" i="19" s="1"/>
  <c r="H36" i="1"/>
  <c r="H39" i="1"/>
  <c r="R38" i="1"/>
  <c r="H38" i="19" s="1"/>
  <c r="H38" i="1"/>
  <c r="R37" i="1"/>
  <c r="H37" i="19" s="1"/>
  <c r="H37" i="1"/>
  <c r="R36" i="1"/>
  <c r="H36" i="9" s="1"/>
  <c r="K45" i="19" l="1"/>
  <c r="K46" i="19"/>
  <c r="E45" i="18"/>
  <c r="G45" i="18" s="1"/>
  <c r="H38" i="18"/>
  <c r="E40" i="18"/>
  <c r="G40" i="18" s="1"/>
  <c r="K40" i="18" s="1"/>
  <c r="H51" i="18"/>
  <c r="E43" i="18"/>
  <c r="G43" i="18" s="1"/>
  <c r="K43" i="18" s="1"/>
  <c r="H39" i="18"/>
  <c r="H45" i="18"/>
  <c r="E56" i="18"/>
  <c r="G56" i="18" s="1"/>
  <c r="E54" i="18"/>
  <c r="G54" i="18" s="1"/>
  <c r="E46" i="18"/>
  <c r="G46" i="18" s="1"/>
  <c r="K46" i="18" s="1"/>
  <c r="E51" i="18"/>
  <c r="G51" i="18" s="1"/>
  <c r="E52" i="18"/>
  <c r="G52" i="18" s="1"/>
  <c r="H53" i="18"/>
  <c r="E50" i="18"/>
  <c r="G50" i="18" s="1"/>
  <c r="E42" i="18"/>
  <c r="G42" i="18" s="1"/>
  <c r="K42" i="18" s="1"/>
  <c r="E60" i="18"/>
  <c r="G60" i="18" s="1"/>
  <c r="E49" i="18"/>
  <c r="G49" i="18" s="1"/>
  <c r="H37" i="18"/>
  <c r="E57" i="18"/>
  <c r="G57" i="18" s="1"/>
  <c r="E58" i="18"/>
  <c r="G58" i="18" s="1"/>
  <c r="E47" i="18"/>
  <c r="G47" i="18" s="1"/>
  <c r="K47" i="18" s="1"/>
  <c r="H37" i="17"/>
  <c r="E57" i="17"/>
  <c r="G57" i="17" s="1"/>
  <c r="E58" i="17"/>
  <c r="G58" i="17" s="1"/>
  <c r="E47" i="17"/>
  <c r="G47" i="17" s="1"/>
  <c r="K47" i="17" s="1"/>
  <c r="E50" i="17"/>
  <c r="G50" i="17" s="1"/>
  <c r="E54" i="17"/>
  <c r="G54" i="17" s="1"/>
  <c r="E45" i="17"/>
  <c r="G45" i="17" s="1"/>
  <c r="H38" i="17"/>
  <c r="E60" i="17"/>
  <c r="G60" i="17" s="1"/>
  <c r="E52" i="17"/>
  <c r="G52" i="17" s="1"/>
  <c r="E51" i="17"/>
  <c r="G51" i="17" s="1"/>
  <c r="E43" i="17"/>
  <c r="G43" i="17" s="1"/>
  <c r="K43" i="17" s="1"/>
  <c r="E40" i="17"/>
  <c r="G40" i="17" s="1"/>
  <c r="K40" i="17" s="1"/>
  <c r="H39" i="17"/>
  <c r="H45" i="17"/>
  <c r="E56" i="17"/>
  <c r="G56" i="17" s="1"/>
  <c r="E42" i="17"/>
  <c r="G42" i="17" s="1"/>
  <c r="K42" i="17" s="1"/>
  <c r="H51" i="17"/>
  <c r="H53" i="17"/>
  <c r="E46" i="17"/>
  <c r="G46" i="17" s="1"/>
  <c r="K46" i="17" s="1"/>
  <c r="E49" i="17"/>
  <c r="G49" i="17" s="1"/>
  <c r="H39" i="16"/>
  <c r="E49" i="16"/>
  <c r="G49" i="16" s="1"/>
  <c r="E40" i="16"/>
  <c r="G40" i="16" s="1"/>
  <c r="K40" i="16" s="1"/>
  <c r="H51" i="16"/>
  <c r="E56" i="16"/>
  <c r="G56" i="16" s="1"/>
  <c r="H53" i="16"/>
  <c r="H45" i="16"/>
  <c r="E50" i="16"/>
  <c r="G50" i="16" s="1"/>
  <c r="E57" i="16"/>
  <c r="G57" i="16" s="1"/>
  <c r="E58" i="16"/>
  <c r="G58" i="16" s="1"/>
  <c r="E47" i="16"/>
  <c r="G47" i="16" s="1"/>
  <c r="K47" i="16" s="1"/>
  <c r="E42" i="16"/>
  <c r="G42" i="16" s="1"/>
  <c r="K42" i="16" s="1"/>
  <c r="E51" i="16"/>
  <c r="G51" i="16" s="1"/>
  <c r="E45" i="16"/>
  <c r="G45" i="16" s="1"/>
  <c r="K45" i="16" s="1"/>
  <c r="E46" i="16"/>
  <c r="G46" i="16" s="1"/>
  <c r="K46" i="16" s="1"/>
  <c r="H37" i="16"/>
  <c r="E54" i="16"/>
  <c r="G54" i="16" s="1"/>
  <c r="H38" i="16"/>
  <c r="E43" i="16"/>
  <c r="G43" i="16" s="1"/>
  <c r="K43" i="16" s="1"/>
  <c r="E60" i="16"/>
  <c r="G60" i="16" s="1"/>
  <c r="E52" i="16"/>
  <c r="G52" i="16" s="1"/>
  <c r="E40" i="15"/>
  <c r="G40" i="15" s="1"/>
  <c r="K40" i="15" s="1"/>
  <c r="H51" i="15"/>
  <c r="H45" i="15"/>
  <c r="H53" i="15"/>
  <c r="E46" i="15"/>
  <c r="G46" i="15" s="1"/>
  <c r="K46" i="15" s="1"/>
  <c r="E49" i="15"/>
  <c r="G49" i="15" s="1"/>
  <c r="E54" i="15"/>
  <c r="G54" i="15" s="1"/>
  <c r="E50" i="15"/>
  <c r="G50" i="15" s="1"/>
  <c r="E42" i="15"/>
  <c r="G42" i="15" s="1"/>
  <c r="K42" i="15" s="1"/>
  <c r="H39" i="15"/>
  <c r="E56" i="15"/>
  <c r="G56" i="15" s="1"/>
  <c r="H37" i="15"/>
  <c r="E57" i="15"/>
  <c r="G57" i="15" s="1"/>
  <c r="E58" i="15"/>
  <c r="G58" i="15" s="1"/>
  <c r="E47" i="15"/>
  <c r="G47" i="15" s="1"/>
  <c r="K47" i="15" s="1"/>
  <c r="E51" i="15"/>
  <c r="G51" i="15" s="1"/>
  <c r="E45" i="15"/>
  <c r="G45" i="15" s="1"/>
  <c r="H38" i="15"/>
  <c r="E43" i="15"/>
  <c r="G43" i="15" s="1"/>
  <c r="K43" i="15" s="1"/>
  <c r="E60" i="15"/>
  <c r="G60" i="15" s="1"/>
  <c r="E52" i="15"/>
  <c r="G52" i="15" s="1"/>
  <c r="E50" i="14"/>
  <c r="G50" i="14" s="1"/>
  <c r="H37" i="14"/>
  <c r="E54" i="14"/>
  <c r="G54" i="14" s="1"/>
  <c r="E51" i="14"/>
  <c r="G51" i="14" s="1"/>
  <c r="E45" i="14"/>
  <c r="G45" i="14" s="1"/>
  <c r="E60" i="14"/>
  <c r="G60" i="14" s="1"/>
  <c r="E40" i="14"/>
  <c r="G40" i="14" s="1"/>
  <c r="K40" i="14" s="1"/>
  <c r="H38" i="14"/>
  <c r="E43" i="14"/>
  <c r="G43" i="14" s="1"/>
  <c r="K43" i="14" s="1"/>
  <c r="E52" i="14"/>
  <c r="G52" i="14" s="1"/>
  <c r="H51" i="14"/>
  <c r="H39" i="14"/>
  <c r="E56" i="14"/>
  <c r="G56" i="14" s="1"/>
  <c r="H53" i="14"/>
  <c r="E46" i="14"/>
  <c r="G46" i="14" s="1"/>
  <c r="K46" i="14" s="1"/>
  <c r="E49" i="14"/>
  <c r="G49" i="14" s="1"/>
  <c r="H45" i="14"/>
  <c r="E42" i="14"/>
  <c r="G42" i="14" s="1"/>
  <c r="K42" i="14" s="1"/>
  <c r="E57" i="14"/>
  <c r="G57" i="14" s="1"/>
  <c r="E58" i="14"/>
  <c r="G58" i="14" s="1"/>
  <c r="E47" i="14"/>
  <c r="G47" i="14" s="1"/>
  <c r="K47" i="14" s="1"/>
  <c r="H53" i="13"/>
  <c r="E57" i="13"/>
  <c r="G57" i="13" s="1"/>
  <c r="E54" i="13"/>
  <c r="G54" i="13" s="1"/>
  <c r="E51" i="13"/>
  <c r="G51" i="13" s="1"/>
  <c r="E45" i="13"/>
  <c r="G45" i="13" s="1"/>
  <c r="E46" i="13"/>
  <c r="G46" i="13" s="1"/>
  <c r="K46" i="13" s="1"/>
  <c r="E42" i="13"/>
  <c r="G42" i="13" s="1"/>
  <c r="K42" i="13" s="1"/>
  <c r="H37" i="13"/>
  <c r="E47" i="13"/>
  <c r="G47" i="13" s="1"/>
  <c r="K47" i="13" s="1"/>
  <c r="H38" i="13"/>
  <c r="E60" i="13"/>
  <c r="G60" i="13" s="1"/>
  <c r="E52" i="13"/>
  <c r="G52" i="13" s="1"/>
  <c r="E58" i="13"/>
  <c r="G58" i="13" s="1"/>
  <c r="E43" i="13"/>
  <c r="G43" i="13" s="1"/>
  <c r="K43" i="13" s="1"/>
  <c r="E40" i="13"/>
  <c r="G40" i="13" s="1"/>
  <c r="K40" i="13" s="1"/>
  <c r="E49" i="13"/>
  <c r="G49" i="13" s="1"/>
  <c r="E50" i="13"/>
  <c r="G50" i="13" s="1"/>
  <c r="H51" i="13"/>
  <c r="H39" i="13"/>
  <c r="H45" i="13"/>
  <c r="E56" i="13"/>
  <c r="G56" i="13" s="1"/>
  <c r="E42" i="12"/>
  <c r="G42" i="12" s="1"/>
  <c r="K42" i="12" s="1"/>
  <c r="E58" i="12"/>
  <c r="G58" i="12" s="1"/>
  <c r="E47" i="12"/>
  <c r="G47" i="12" s="1"/>
  <c r="K47" i="12" s="1"/>
  <c r="E51" i="12"/>
  <c r="G51" i="12" s="1"/>
  <c r="E45" i="12"/>
  <c r="G45" i="12" s="1"/>
  <c r="H53" i="12"/>
  <c r="E50" i="12"/>
  <c r="G50" i="12" s="1"/>
  <c r="E43" i="12"/>
  <c r="G43" i="12" s="1"/>
  <c r="K43" i="12" s="1"/>
  <c r="E60" i="12"/>
  <c r="G60" i="12" s="1"/>
  <c r="E52" i="12"/>
  <c r="G52" i="12" s="1"/>
  <c r="H37" i="12"/>
  <c r="H38" i="12"/>
  <c r="E40" i="12"/>
  <c r="G40" i="12" s="1"/>
  <c r="K40" i="12" s="1"/>
  <c r="E46" i="12"/>
  <c r="G46" i="12" s="1"/>
  <c r="K46" i="12" s="1"/>
  <c r="E54" i="12"/>
  <c r="G54" i="12" s="1"/>
  <c r="H51" i="12"/>
  <c r="E49" i="12"/>
  <c r="G49" i="12" s="1"/>
  <c r="E57" i="12"/>
  <c r="G57" i="12" s="1"/>
  <c r="H39" i="12"/>
  <c r="H45" i="12"/>
  <c r="E56" i="12"/>
  <c r="G56" i="12" s="1"/>
  <c r="H37" i="11"/>
  <c r="E51" i="11"/>
  <c r="G51" i="11" s="1"/>
  <c r="H38" i="11"/>
  <c r="E40" i="11"/>
  <c r="G40" i="11" s="1"/>
  <c r="K40" i="11" s="1"/>
  <c r="E57" i="11"/>
  <c r="G57" i="11" s="1"/>
  <c r="H51" i="11"/>
  <c r="H39" i="11"/>
  <c r="H45" i="11"/>
  <c r="E56" i="11"/>
  <c r="G56" i="11" s="1"/>
  <c r="E58" i="11"/>
  <c r="G58" i="11" s="1"/>
  <c r="H53" i="11"/>
  <c r="E46" i="11"/>
  <c r="G46" i="11" s="1"/>
  <c r="K46" i="11" s="1"/>
  <c r="E49" i="11"/>
  <c r="G49" i="11" s="1"/>
  <c r="E50" i="11"/>
  <c r="G50" i="11" s="1"/>
  <c r="E42" i="11"/>
  <c r="G42" i="11" s="1"/>
  <c r="K42" i="11" s="1"/>
  <c r="E47" i="11"/>
  <c r="G47" i="11" s="1"/>
  <c r="K47" i="11" s="1"/>
  <c r="E54" i="11"/>
  <c r="G54" i="11" s="1"/>
  <c r="E45" i="11"/>
  <c r="G45" i="11" s="1"/>
  <c r="E43" i="11"/>
  <c r="G43" i="11" s="1"/>
  <c r="K43" i="11" s="1"/>
  <c r="E60" i="11"/>
  <c r="G60" i="11" s="1"/>
  <c r="E52" i="11"/>
  <c r="G52" i="11" s="1"/>
  <c r="E58" i="10"/>
  <c r="G58" i="10" s="1"/>
  <c r="E47" i="10"/>
  <c r="G47" i="10" s="1"/>
  <c r="K47" i="10" s="1"/>
  <c r="E54" i="10"/>
  <c r="G54" i="10" s="1"/>
  <c r="E51" i="10"/>
  <c r="G51" i="10" s="1"/>
  <c r="E45" i="10"/>
  <c r="G45" i="10" s="1"/>
  <c r="E60" i="10"/>
  <c r="G60" i="10" s="1"/>
  <c r="E52" i="10"/>
  <c r="G52" i="10" s="1"/>
  <c r="E40" i="10"/>
  <c r="G40" i="10" s="1"/>
  <c r="K40" i="10" s="1"/>
  <c r="H37" i="10"/>
  <c r="E43" i="10"/>
  <c r="G43" i="10" s="1"/>
  <c r="K43" i="10" s="1"/>
  <c r="H39" i="10"/>
  <c r="H45" i="10"/>
  <c r="E56" i="10"/>
  <c r="G56" i="10" s="1"/>
  <c r="H53" i="10"/>
  <c r="E46" i="10"/>
  <c r="G46" i="10" s="1"/>
  <c r="K46" i="10" s="1"/>
  <c r="E49" i="10"/>
  <c r="G49" i="10" s="1"/>
  <c r="E57" i="10"/>
  <c r="G57" i="10" s="1"/>
  <c r="H38" i="10"/>
  <c r="H51" i="10"/>
  <c r="E50" i="10"/>
  <c r="G50" i="10" s="1"/>
  <c r="E42" i="10"/>
  <c r="G42" i="10" s="1"/>
  <c r="K42" i="10" s="1"/>
  <c r="H51" i="9"/>
  <c r="E50" i="9"/>
  <c r="G50" i="9" s="1"/>
  <c r="E57" i="9"/>
  <c r="G57" i="9" s="1"/>
  <c r="E58" i="9"/>
  <c r="G58" i="9" s="1"/>
  <c r="E54" i="9"/>
  <c r="G54" i="9" s="1"/>
  <c r="E45" i="9"/>
  <c r="G45" i="9" s="1"/>
  <c r="H38" i="9"/>
  <c r="E60" i="9"/>
  <c r="G60" i="9" s="1"/>
  <c r="E52" i="9"/>
  <c r="G52" i="9" s="1"/>
  <c r="E42" i="9"/>
  <c r="G42" i="9" s="1"/>
  <c r="K42" i="9" s="1"/>
  <c r="H37" i="9"/>
  <c r="E47" i="9"/>
  <c r="G47" i="9" s="1"/>
  <c r="K47" i="9" s="1"/>
  <c r="E51" i="9"/>
  <c r="G51" i="9" s="1"/>
  <c r="E43" i="9"/>
  <c r="G43" i="9" s="1"/>
  <c r="K43" i="9" s="1"/>
  <c r="E40" i="9"/>
  <c r="G40" i="9" s="1"/>
  <c r="K40" i="9" s="1"/>
  <c r="H39" i="9"/>
  <c r="H45" i="9"/>
  <c r="E56" i="9"/>
  <c r="G56" i="9" s="1"/>
  <c r="H53" i="9"/>
  <c r="E46" i="9"/>
  <c r="G46" i="9" s="1"/>
  <c r="K46" i="9" s="1"/>
  <c r="E49" i="9"/>
  <c r="G49" i="9" s="1"/>
  <c r="H53" i="8"/>
  <c r="H37" i="8"/>
  <c r="E40" i="8"/>
  <c r="G40" i="8" s="1"/>
  <c r="K40" i="8" s="1"/>
  <c r="E49" i="8"/>
  <c r="G49" i="8" s="1"/>
  <c r="E56" i="8"/>
  <c r="G56" i="8" s="1"/>
  <c r="E50" i="8"/>
  <c r="G50" i="8" s="1"/>
  <c r="E42" i="8"/>
  <c r="G42" i="8" s="1"/>
  <c r="K42" i="8" s="1"/>
  <c r="E57" i="8"/>
  <c r="G57" i="8" s="1"/>
  <c r="E58" i="8"/>
  <c r="G58" i="8" s="1"/>
  <c r="E47" i="8"/>
  <c r="G47" i="8" s="1"/>
  <c r="K47" i="8" s="1"/>
  <c r="H39" i="8"/>
  <c r="E54" i="8"/>
  <c r="G54" i="8" s="1"/>
  <c r="E51" i="8"/>
  <c r="G51" i="8" s="1"/>
  <c r="E45" i="8"/>
  <c r="G45" i="8" s="1"/>
  <c r="H51" i="8"/>
  <c r="H45" i="8"/>
  <c r="E46" i="8"/>
  <c r="G46" i="8" s="1"/>
  <c r="K46" i="8" s="1"/>
  <c r="H38" i="8"/>
  <c r="E43" i="8"/>
  <c r="G43" i="8" s="1"/>
  <c r="K43" i="8" s="1"/>
  <c r="E60" i="8"/>
  <c r="G60" i="8" s="1"/>
  <c r="E52" i="8"/>
  <c r="G52" i="8" s="1"/>
  <c r="J48" i="1"/>
  <c r="K48" i="1" s="1"/>
  <c r="E48" i="19" s="1"/>
  <c r="G48" i="19" s="1"/>
  <c r="K48" i="19" s="1"/>
  <c r="E49" i="7"/>
  <c r="G49" i="7" s="1"/>
  <c r="E45" i="7"/>
  <c r="G45" i="7" s="1"/>
  <c r="E46" i="7"/>
  <c r="G46" i="7" s="1"/>
  <c r="K46" i="7" s="1"/>
  <c r="E54" i="7"/>
  <c r="G54" i="7" s="1"/>
  <c r="E60" i="7"/>
  <c r="G60" i="7" s="1"/>
  <c r="H39" i="7"/>
  <c r="H51" i="7"/>
  <c r="E40" i="7"/>
  <c r="G40" i="7" s="1"/>
  <c r="K40" i="7" s="1"/>
  <c r="E51" i="7"/>
  <c r="G51" i="7" s="1"/>
  <c r="E52" i="7"/>
  <c r="G52" i="7" s="1"/>
  <c r="H45" i="7"/>
  <c r="H37" i="7"/>
  <c r="E47" i="7"/>
  <c r="G47" i="7" s="1"/>
  <c r="K47" i="7" s="1"/>
  <c r="E43" i="7"/>
  <c r="G43" i="7" s="1"/>
  <c r="K43" i="7" s="1"/>
  <c r="H53" i="7"/>
  <c r="E56" i="7"/>
  <c r="G56" i="7" s="1"/>
  <c r="E50" i="7"/>
  <c r="G50" i="7" s="1"/>
  <c r="E42" i="7"/>
  <c r="G42" i="7" s="1"/>
  <c r="K42" i="7" s="1"/>
  <c r="H38" i="7"/>
  <c r="E57" i="7"/>
  <c r="G57" i="7" s="1"/>
  <c r="E58" i="7"/>
  <c r="G58" i="7" s="1"/>
  <c r="J37" i="1"/>
  <c r="K37" i="1" s="1"/>
  <c r="E37" i="19" s="1"/>
  <c r="G37" i="19" s="1"/>
  <c r="K37" i="19" s="1"/>
  <c r="J39" i="1"/>
  <c r="K39" i="1" s="1"/>
  <c r="E39" i="19" s="1"/>
  <c r="G39" i="19" s="1"/>
  <c r="K39" i="19" s="1"/>
  <c r="J41" i="1"/>
  <c r="K41" i="1" s="1"/>
  <c r="E41" i="19" s="1"/>
  <c r="G41" i="19" s="1"/>
  <c r="K41" i="19" s="1"/>
  <c r="K3" i="19" s="1"/>
  <c r="E40" i="2"/>
  <c r="G40" i="2" s="1"/>
  <c r="K40" i="2" s="1"/>
  <c r="J38" i="1"/>
  <c r="K38" i="1" s="1"/>
  <c r="E38" i="19" s="1"/>
  <c r="G38" i="19" s="1"/>
  <c r="K38" i="19" s="1"/>
  <c r="J53" i="1"/>
  <c r="K53" i="1" s="1"/>
  <c r="E53" i="19" s="1"/>
  <c r="G53" i="19" s="1"/>
  <c r="E43" i="2"/>
  <c r="G43" i="2" s="1"/>
  <c r="K43" i="2" s="1"/>
  <c r="E60" i="2"/>
  <c r="G60" i="2" s="1"/>
  <c r="E58" i="2"/>
  <c r="G58" i="2" s="1"/>
  <c r="E49" i="2"/>
  <c r="G49" i="2" s="1"/>
  <c r="E45" i="2"/>
  <c r="G45" i="2" s="1"/>
  <c r="E54" i="2"/>
  <c r="G54" i="2" s="1"/>
  <c r="E56" i="2"/>
  <c r="G56" i="2" s="1"/>
  <c r="E50" i="2"/>
  <c r="G50" i="2" s="1"/>
  <c r="H39" i="2"/>
  <c r="E51" i="2"/>
  <c r="G51" i="2" s="1"/>
  <c r="E42" i="2"/>
  <c r="G42" i="2" s="1"/>
  <c r="K42" i="2" s="1"/>
  <c r="H51" i="2"/>
  <c r="E47" i="2"/>
  <c r="G47" i="2" s="1"/>
  <c r="K47" i="2" s="1"/>
  <c r="H38" i="2"/>
  <c r="H45" i="2"/>
  <c r="H37" i="2"/>
  <c r="H53" i="2"/>
  <c r="E46" i="2"/>
  <c r="G46" i="2" s="1"/>
  <c r="K46" i="2" s="1"/>
  <c r="E52" i="2"/>
  <c r="G52" i="2" s="1"/>
  <c r="J55" i="1"/>
  <c r="K55" i="1" s="1"/>
  <c r="E55" i="19" s="1"/>
  <c r="G55" i="19" s="1"/>
  <c r="J59" i="1"/>
  <c r="K59" i="1" s="1"/>
  <c r="E59" i="19" s="1"/>
  <c r="G59" i="19" s="1"/>
  <c r="E57" i="2"/>
  <c r="G57" i="2" s="1"/>
  <c r="J44" i="1"/>
  <c r="K44" i="1" s="1"/>
  <c r="E44" i="19" s="1"/>
  <c r="G44" i="19" s="1"/>
  <c r="K44" i="19" s="1"/>
  <c r="S26" i="1"/>
  <c r="I26" i="18" s="1"/>
  <c r="D78" i="20"/>
  <c r="J26" i="13" s="1"/>
  <c r="D66" i="20"/>
  <c r="K45" i="15" l="1"/>
  <c r="K45" i="13"/>
  <c r="K45" i="18"/>
  <c r="K45" i="17"/>
  <c r="K45" i="10"/>
  <c r="K45" i="14"/>
  <c r="K45" i="12"/>
  <c r="K45" i="8"/>
  <c r="K45" i="11"/>
  <c r="K45" i="9"/>
  <c r="K45" i="7"/>
  <c r="K45" i="2"/>
  <c r="E59" i="18"/>
  <c r="G59" i="18" s="1"/>
  <c r="E44" i="18"/>
  <c r="G44" i="18" s="1"/>
  <c r="K44" i="18" s="1"/>
  <c r="E38" i="18"/>
  <c r="G38" i="18" s="1"/>
  <c r="K38" i="18" s="1"/>
  <c r="E53" i="18"/>
  <c r="G53" i="18" s="1"/>
  <c r="E37" i="18"/>
  <c r="G37" i="18" s="1"/>
  <c r="K37" i="18" s="1"/>
  <c r="E55" i="18"/>
  <c r="G55" i="18" s="1"/>
  <c r="E39" i="18"/>
  <c r="G39" i="18" s="1"/>
  <c r="K39" i="18" s="1"/>
  <c r="E41" i="18"/>
  <c r="G41" i="18" s="1"/>
  <c r="K41" i="18" s="1"/>
  <c r="E48" i="18"/>
  <c r="G48" i="18" s="1"/>
  <c r="K48" i="18" s="1"/>
  <c r="E59" i="17"/>
  <c r="G59" i="17" s="1"/>
  <c r="E41" i="17"/>
  <c r="G41" i="17" s="1"/>
  <c r="K41" i="17" s="1"/>
  <c r="E48" i="17"/>
  <c r="G48" i="17" s="1"/>
  <c r="K48" i="17" s="1"/>
  <c r="E37" i="17"/>
  <c r="G37" i="17" s="1"/>
  <c r="K37" i="17" s="1"/>
  <c r="E39" i="17"/>
  <c r="G39" i="17" s="1"/>
  <c r="K39" i="17" s="1"/>
  <c r="E53" i="17"/>
  <c r="G53" i="17" s="1"/>
  <c r="E44" i="17"/>
  <c r="G44" i="17" s="1"/>
  <c r="K44" i="17" s="1"/>
  <c r="E38" i="17"/>
  <c r="G38" i="17" s="1"/>
  <c r="K38" i="17" s="1"/>
  <c r="E55" i="17"/>
  <c r="G55" i="17" s="1"/>
  <c r="E55" i="16"/>
  <c r="G55" i="16" s="1"/>
  <c r="E39" i="16"/>
  <c r="G39" i="16" s="1"/>
  <c r="K39" i="16" s="1"/>
  <c r="E53" i="16"/>
  <c r="G53" i="16" s="1"/>
  <c r="E44" i="16"/>
  <c r="G44" i="16" s="1"/>
  <c r="K44" i="16" s="1"/>
  <c r="E38" i="16"/>
  <c r="G38" i="16" s="1"/>
  <c r="K38" i="16" s="1"/>
  <c r="E37" i="16"/>
  <c r="G37" i="16" s="1"/>
  <c r="K37" i="16" s="1"/>
  <c r="E59" i="16"/>
  <c r="G59" i="16" s="1"/>
  <c r="E41" i="16"/>
  <c r="G41" i="16" s="1"/>
  <c r="K41" i="16" s="1"/>
  <c r="E48" i="16"/>
  <c r="G48" i="16" s="1"/>
  <c r="K48" i="16" s="1"/>
  <c r="E44" i="15"/>
  <c r="G44" i="15" s="1"/>
  <c r="K44" i="15" s="1"/>
  <c r="E38" i="15"/>
  <c r="G38" i="15" s="1"/>
  <c r="K38" i="15" s="1"/>
  <c r="E59" i="15"/>
  <c r="G59" i="15" s="1"/>
  <c r="E41" i="15"/>
  <c r="G41" i="15" s="1"/>
  <c r="K41" i="15" s="1"/>
  <c r="E48" i="15"/>
  <c r="G48" i="15" s="1"/>
  <c r="K48" i="15" s="1"/>
  <c r="E53" i="15"/>
  <c r="G53" i="15" s="1"/>
  <c r="E55" i="15"/>
  <c r="G55" i="15" s="1"/>
  <c r="E39" i="15"/>
  <c r="G39" i="15" s="1"/>
  <c r="K39" i="15" s="1"/>
  <c r="E37" i="15"/>
  <c r="G37" i="15" s="1"/>
  <c r="K37" i="15" s="1"/>
  <c r="E48" i="14"/>
  <c r="G48" i="14" s="1"/>
  <c r="K48" i="14" s="1"/>
  <c r="E55" i="14"/>
  <c r="G55" i="14" s="1"/>
  <c r="E39" i="14"/>
  <c r="G39" i="14" s="1"/>
  <c r="K39" i="14" s="1"/>
  <c r="E41" i="14"/>
  <c r="G41" i="14" s="1"/>
  <c r="K41" i="14" s="1"/>
  <c r="E37" i="14"/>
  <c r="G37" i="14" s="1"/>
  <c r="K37" i="14" s="1"/>
  <c r="E59" i="14"/>
  <c r="G59" i="14" s="1"/>
  <c r="E38" i="14"/>
  <c r="G38" i="14" s="1"/>
  <c r="K38" i="14" s="1"/>
  <c r="E53" i="14"/>
  <c r="G53" i="14" s="1"/>
  <c r="E44" i="14"/>
  <c r="G44" i="14" s="1"/>
  <c r="K44" i="14" s="1"/>
  <c r="E44" i="13"/>
  <c r="G44" i="13" s="1"/>
  <c r="K44" i="13" s="1"/>
  <c r="E38" i="13"/>
  <c r="G38" i="13" s="1"/>
  <c r="K38" i="13" s="1"/>
  <c r="E53" i="13"/>
  <c r="G53" i="13" s="1"/>
  <c r="E59" i="13"/>
  <c r="G59" i="13" s="1"/>
  <c r="E41" i="13"/>
  <c r="G41" i="13" s="1"/>
  <c r="K41" i="13" s="1"/>
  <c r="E48" i="13"/>
  <c r="G48" i="13" s="1"/>
  <c r="K48" i="13" s="1"/>
  <c r="E55" i="13"/>
  <c r="G55" i="13" s="1"/>
  <c r="E39" i="13"/>
  <c r="G39" i="13" s="1"/>
  <c r="K39" i="13" s="1"/>
  <c r="E37" i="13"/>
  <c r="G37" i="13" s="1"/>
  <c r="K37" i="13" s="1"/>
  <c r="E55" i="12"/>
  <c r="G55" i="12" s="1"/>
  <c r="E39" i="12"/>
  <c r="G39" i="12" s="1"/>
  <c r="K39" i="12" s="1"/>
  <c r="E59" i="12"/>
  <c r="G59" i="12" s="1"/>
  <c r="E48" i="12"/>
  <c r="G48" i="12" s="1"/>
  <c r="K48" i="12" s="1"/>
  <c r="E37" i="12"/>
  <c r="G37" i="12" s="1"/>
  <c r="K37" i="12" s="1"/>
  <c r="E41" i="12"/>
  <c r="G41" i="12" s="1"/>
  <c r="K41" i="12" s="1"/>
  <c r="E53" i="12"/>
  <c r="G53" i="12" s="1"/>
  <c r="E44" i="12"/>
  <c r="G44" i="12" s="1"/>
  <c r="K44" i="12" s="1"/>
  <c r="E38" i="12"/>
  <c r="G38" i="12" s="1"/>
  <c r="K38" i="12" s="1"/>
  <c r="E48" i="11"/>
  <c r="G48" i="11" s="1"/>
  <c r="K48" i="11" s="1"/>
  <c r="E37" i="11"/>
  <c r="G37" i="11" s="1"/>
  <c r="K37" i="11" s="1"/>
  <c r="E59" i="11"/>
  <c r="G59" i="11" s="1"/>
  <c r="E53" i="11"/>
  <c r="G53" i="11" s="1"/>
  <c r="E44" i="11"/>
  <c r="G44" i="11" s="1"/>
  <c r="K44" i="11" s="1"/>
  <c r="E38" i="11"/>
  <c r="G38" i="11" s="1"/>
  <c r="K38" i="11" s="1"/>
  <c r="E41" i="11"/>
  <c r="G41" i="11" s="1"/>
  <c r="K41" i="11" s="1"/>
  <c r="E55" i="11"/>
  <c r="G55" i="11" s="1"/>
  <c r="E39" i="11"/>
  <c r="G39" i="11" s="1"/>
  <c r="K39" i="11" s="1"/>
  <c r="E53" i="10"/>
  <c r="G53" i="10" s="1"/>
  <c r="E38" i="10"/>
  <c r="G38" i="10" s="1"/>
  <c r="K38" i="10" s="1"/>
  <c r="E41" i="10"/>
  <c r="G41" i="10" s="1"/>
  <c r="K41" i="10" s="1"/>
  <c r="E55" i="10"/>
  <c r="G55" i="10" s="1"/>
  <c r="E39" i="10"/>
  <c r="G39" i="10" s="1"/>
  <c r="K39" i="10" s="1"/>
  <c r="E59" i="10"/>
  <c r="G59" i="10" s="1"/>
  <c r="E48" i="10"/>
  <c r="G48" i="10" s="1"/>
  <c r="K48" i="10" s="1"/>
  <c r="E37" i="10"/>
  <c r="G37" i="10" s="1"/>
  <c r="K37" i="10" s="1"/>
  <c r="E44" i="10"/>
  <c r="G44" i="10" s="1"/>
  <c r="K44" i="10" s="1"/>
  <c r="E39" i="9"/>
  <c r="G39" i="9" s="1"/>
  <c r="K39" i="9" s="1"/>
  <c r="E37" i="9"/>
  <c r="G37" i="9" s="1"/>
  <c r="K37" i="9" s="1"/>
  <c r="E55" i="9"/>
  <c r="G55" i="9" s="1"/>
  <c r="E41" i="9"/>
  <c r="G41" i="9" s="1"/>
  <c r="K41" i="9" s="1"/>
  <c r="E48" i="9"/>
  <c r="G48" i="9" s="1"/>
  <c r="K48" i="9" s="1"/>
  <c r="E44" i="9"/>
  <c r="G44" i="9" s="1"/>
  <c r="K44" i="9" s="1"/>
  <c r="E53" i="9"/>
  <c r="G53" i="9" s="1"/>
  <c r="E38" i="9"/>
  <c r="G38" i="9" s="1"/>
  <c r="K38" i="9" s="1"/>
  <c r="E48" i="2"/>
  <c r="G48" i="2" s="1"/>
  <c r="K48" i="2" s="1"/>
  <c r="E59" i="9"/>
  <c r="G59" i="9" s="1"/>
  <c r="E48" i="7"/>
  <c r="G48" i="7" s="1"/>
  <c r="K48" i="7" s="1"/>
  <c r="E55" i="8"/>
  <c r="G55" i="8" s="1"/>
  <c r="E48" i="8"/>
  <c r="G48" i="8" s="1"/>
  <c r="K48" i="8" s="1"/>
  <c r="E41" i="8"/>
  <c r="G41" i="8" s="1"/>
  <c r="K41" i="8" s="1"/>
  <c r="E37" i="8"/>
  <c r="G37" i="8" s="1"/>
  <c r="K37" i="8" s="1"/>
  <c r="E59" i="8"/>
  <c r="G59" i="8" s="1"/>
  <c r="E44" i="8"/>
  <c r="G44" i="8" s="1"/>
  <c r="K44" i="8" s="1"/>
  <c r="E53" i="8"/>
  <c r="G53" i="8" s="1"/>
  <c r="E38" i="2"/>
  <c r="G38" i="2" s="1"/>
  <c r="K38" i="2" s="1"/>
  <c r="E38" i="8"/>
  <c r="G38" i="8" s="1"/>
  <c r="K38" i="8" s="1"/>
  <c r="E39" i="2"/>
  <c r="G39" i="2" s="1"/>
  <c r="K39" i="2" s="1"/>
  <c r="E39" i="8"/>
  <c r="G39" i="8" s="1"/>
  <c r="K39" i="8" s="1"/>
  <c r="E37" i="7"/>
  <c r="G37" i="7" s="1"/>
  <c r="K37" i="7" s="1"/>
  <c r="E44" i="7"/>
  <c r="G44" i="7" s="1"/>
  <c r="K44" i="7" s="1"/>
  <c r="E59" i="7"/>
  <c r="G59" i="7" s="1"/>
  <c r="E53" i="7"/>
  <c r="G53" i="7" s="1"/>
  <c r="E41" i="7"/>
  <c r="G41" i="7" s="1"/>
  <c r="K41" i="7" s="1"/>
  <c r="E39" i="7"/>
  <c r="G39" i="7" s="1"/>
  <c r="K39" i="7" s="1"/>
  <c r="E55" i="7"/>
  <c r="G55" i="7" s="1"/>
  <c r="E38" i="7"/>
  <c r="G38" i="7" s="1"/>
  <c r="K38" i="7" s="1"/>
  <c r="E37" i="2"/>
  <c r="G37" i="2" s="1"/>
  <c r="K37" i="2" s="1"/>
  <c r="E53" i="2"/>
  <c r="G53" i="2" s="1"/>
  <c r="E41" i="2"/>
  <c r="G41" i="2" s="1"/>
  <c r="K41" i="2" s="1"/>
  <c r="E55" i="2"/>
  <c r="G55" i="2" s="1"/>
  <c r="E44" i="2"/>
  <c r="G44" i="2" s="1"/>
  <c r="K44" i="2" s="1"/>
  <c r="E59" i="2"/>
  <c r="G59" i="2" s="1"/>
  <c r="J26" i="7"/>
  <c r="J26" i="9"/>
  <c r="J26" i="10"/>
  <c r="J26" i="15"/>
  <c r="J26" i="18"/>
  <c r="D74" i="20"/>
  <c r="J25" i="7" s="1"/>
  <c r="C26" i="19"/>
  <c r="S25" i="1"/>
  <c r="J25" i="13" l="1"/>
  <c r="J25" i="9"/>
  <c r="J25" i="10"/>
  <c r="J25" i="15"/>
  <c r="J25" i="18"/>
  <c r="D70" i="20"/>
  <c r="J24" i="18" s="1"/>
  <c r="J24" i="10" l="1"/>
  <c r="J24" i="7"/>
  <c r="J24" i="9"/>
  <c r="J24" i="13"/>
  <c r="J24" i="15"/>
  <c r="S24" i="1"/>
  <c r="I22" i="16" l="1"/>
  <c r="J23" i="18"/>
  <c r="J23" i="13" l="1"/>
  <c r="J23" i="7"/>
  <c r="J23" i="15"/>
  <c r="J23" i="10"/>
  <c r="J23" i="9"/>
  <c r="I23" i="13"/>
  <c r="I5" i="16" l="1"/>
  <c r="I6" i="16"/>
  <c r="I7" i="16"/>
  <c r="I8" i="16"/>
  <c r="I9" i="16"/>
  <c r="I10" i="16"/>
  <c r="I11" i="16"/>
  <c r="I12" i="16"/>
  <c r="I13" i="16"/>
  <c r="I14" i="16"/>
  <c r="I15" i="16"/>
  <c r="I16" i="16"/>
  <c r="I17" i="16"/>
  <c r="I19" i="16"/>
  <c r="I20" i="16"/>
  <c r="I21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M23" i="1" l="1"/>
  <c r="F23" i="13" s="1"/>
  <c r="M24" i="1"/>
  <c r="M25" i="1"/>
  <c r="F25" i="7" s="1"/>
  <c r="M26" i="1"/>
  <c r="M27" i="1"/>
  <c r="M28" i="1"/>
  <c r="M29" i="1"/>
  <c r="M30" i="1"/>
  <c r="M31" i="1"/>
  <c r="M32" i="1"/>
  <c r="M33" i="1"/>
  <c r="M34" i="1"/>
  <c r="M35" i="1"/>
  <c r="M22" i="1"/>
  <c r="F22" i="13" s="1"/>
  <c r="L22" i="16" l="1"/>
  <c r="D62" i="20"/>
  <c r="D58" i="20"/>
  <c r="J21" i="18" s="1"/>
  <c r="J21" i="9" l="1"/>
  <c r="J21" i="13"/>
  <c r="J21" i="16"/>
  <c r="J21" i="15"/>
  <c r="J21" i="7"/>
  <c r="J22" i="16"/>
  <c r="J22" i="9"/>
  <c r="J22" i="18"/>
  <c r="J22" i="7"/>
  <c r="J22" i="15"/>
  <c r="J22" i="10"/>
  <c r="J22" i="13"/>
  <c r="C22" i="19"/>
  <c r="D22" i="19" s="1"/>
  <c r="F22" i="19"/>
  <c r="I22" i="19"/>
  <c r="C23" i="19"/>
  <c r="D23" i="19" s="1"/>
  <c r="F23" i="19"/>
  <c r="I23" i="19"/>
  <c r="C24" i="19"/>
  <c r="D24" i="19" s="1"/>
  <c r="F24" i="19"/>
  <c r="I24" i="19"/>
  <c r="C25" i="19"/>
  <c r="D25" i="19" s="1"/>
  <c r="F25" i="19"/>
  <c r="I25" i="19"/>
  <c r="D26" i="19"/>
  <c r="F26" i="19"/>
  <c r="I26" i="19"/>
  <c r="C27" i="19"/>
  <c r="D27" i="19" s="1"/>
  <c r="F27" i="19"/>
  <c r="I27" i="19"/>
  <c r="C28" i="19"/>
  <c r="D28" i="19" s="1"/>
  <c r="F28" i="19"/>
  <c r="I28" i="19"/>
  <c r="C29" i="19"/>
  <c r="D29" i="19" s="1"/>
  <c r="F29" i="19"/>
  <c r="I29" i="19"/>
  <c r="C30" i="19"/>
  <c r="D30" i="19" s="1"/>
  <c r="F30" i="19"/>
  <c r="I30" i="19"/>
  <c r="C31" i="19"/>
  <c r="D31" i="19" s="1"/>
  <c r="F31" i="19"/>
  <c r="I31" i="19"/>
  <c r="C32" i="19"/>
  <c r="D32" i="19" s="1"/>
  <c r="F32" i="19"/>
  <c r="I32" i="19"/>
  <c r="C33" i="19"/>
  <c r="D33" i="19" s="1"/>
  <c r="F33" i="19"/>
  <c r="I33" i="19"/>
  <c r="C34" i="19"/>
  <c r="D34" i="19" s="1"/>
  <c r="F34" i="19"/>
  <c r="I34" i="19"/>
  <c r="C35" i="19"/>
  <c r="D35" i="19" s="1"/>
  <c r="F35" i="19"/>
  <c r="I35" i="19"/>
  <c r="C36" i="19"/>
  <c r="D36" i="19" s="1"/>
  <c r="F36" i="19"/>
  <c r="I36" i="19"/>
  <c r="C22" i="18"/>
  <c r="D22" i="18" s="1"/>
  <c r="F22" i="18"/>
  <c r="I22" i="18"/>
  <c r="C23" i="18"/>
  <c r="D23" i="18" s="1"/>
  <c r="F23" i="18"/>
  <c r="I23" i="18"/>
  <c r="C24" i="18"/>
  <c r="D24" i="18" s="1"/>
  <c r="F24" i="18"/>
  <c r="I24" i="18"/>
  <c r="C25" i="18"/>
  <c r="D25" i="18" s="1"/>
  <c r="F25" i="18"/>
  <c r="I25" i="18"/>
  <c r="C26" i="18"/>
  <c r="D26" i="18" s="1"/>
  <c r="F26" i="18"/>
  <c r="C27" i="18"/>
  <c r="D27" i="18" s="1"/>
  <c r="F27" i="18"/>
  <c r="I27" i="18"/>
  <c r="C28" i="18"/>
  <c r="D28" i="18" s="1"/>
  <c r="F28" i="18"/>
  <c r="I28" i="18"/>
  <c r="C29" i="18"/>
  <c r="D29" i="18" s="1"/>
  <c r="F29" i="18"/>
  <c r="I29" i="18"/>
  <c r="C30" i="18"/>
  <c r="D30" i="18" s="1"/>
  <c r="F30" i="18"/>
  <c r="I30" i="18"/>
  <c r="C31" i="18"/>
  <c r="D31" i="18" s="1"/>
  <c r="F31" i="18"/>
  <c r="I31" i="18"/>
  <c r="C32" i="18"/>
  <c r="D32" i="18" s="1"/>
  <c r="F32" i="18"/>
  <c r="I32" i="18"/>
  <c r="C33" i="18"/>
  <c r="D33" i="18" s="1"/>
  <c r="F33" i="18"/>
  <c r="I33" i="18"/>
  <c r="C34" i="18"/>
  <c r="D34" i="18" s="1"/>
  <c r="F34" i="18"/>
  <c r="I34" i="18"/>
  <c r="C35" i="18"/>
  <c r="D35" i="18" s="1"/>
  <c r="F35" i="18"/>
  <c r="I35" i="18"/>
  <c r="C36" i="18"/>
  <c r="D36" i="18" s="1"/>
  <c r="F36" i="18"/>
  <c r="I36" i="18"/>
  <c r="C22" i="17"/>
  <c r="D22" i="17" s="1"/>
  <c r="F22" i="17"/>
  <c r="I22" i="17"/>
  <c r="C23" i="17"/>
  <c r="D23" i="17" s="1"/>
  <c r="F23" i="17"/>
  <c r="I23" i="17"/>
  <c r="C24" i="17"/>
  <c r="D24" i="17" s="1"/>
  <c r="F24" i="17"/>
  <c r="I24" i="17"/>
  <c r="C25" i="17"/>
  <c r="D25" i="17" s="1"/>
  <c r="F25" i="17"/>
  <c r="I25" i="17"/>
  <c r="C26" i="17"/>
  <c r="D26" i="17" s="1"/>
  <c r="F26" i="17"/>
  <c r="I26" i="17"/>
  <c r="C27" i="17"/>
  <c r="D27" i="17" s="1"/>
  <c r="F27" i="17"/>
  <c r="I27" i="17"/>
  <c r="C28" i="17"/>
  <c r="D28" i="17" s="1"/>
  <c r="F28" i="17"/>
  <c r="I28" i="17"/>
  <c r="C29" i="17"/>
  <c r="D29" i="17" s="1"/>
  <c r="F29" i="17"/>
  <c r="I29" i="17"/>
  <c r="C30" i="17"/>
  <c r="D30" i="17" s="1"/>
  <c r="F30" i="17"/>
  <c r="I30" i="17"/>
  <c r="C31" i="17"/>
  <c r="D31" i="17" s="1"/>
  <c r="F31" i="17"/>
  <c r="I31" i="17"/>
  <c r="C32" i="17"/>
  <c r="D32" i="17" s="1"/>
  <c r="F32" i="17"/>
  <c r="I32" i="17"/>
  <c r="C33" i="17"/>
  <c r="D33" i="17" s="1"/>
  <c r="F33" i="17"/>
  <c r="I33" i="17"/>
  <c r="C34" i="17"/>
  <c r="D34" i="17" s="1"/>
  <c r="F34" i="17"/>
  <c r="I34" i="17"/>
  <c r="C35" i="17"/>
  <c r="D35" i="17" s="1"/>
  <c r="F35" i="17"/>
  <c r="I35" i="17"/>
  <c r="C36" i="17"/>
  <c r="D36" i="17" s="1"/>
  <c r="F36" i="17"/>
  <c r="I36" i="17"/>
  <c r="C22" i="16"/>
  <c r="D22" i="16" s="1"/>
  <c r="F22" i="16"/>
  <c r="C23" i="16"/>
  <c r="D23" i="16" s="1"/>
  <c r="F23" i="16"/>
  <c r="C24" i="16"/>
  <c r="D24" i="16" s="1"/>
  <c r="F24" i="16"/>
  <c r="C25" i="16"/>
  <c r="D25" i="16" s="1"/>
  <c r="F25" i="16"/>
  <c r="C26" i="16"/>
  <c r="D26" i="16" s="1"/>
  <c r="F26" i="16"/>
  <c r="C27" i="16"/>
  <c r="D27" i="16" s="1"/>
  <c r="F27" i="16"/>
  <c r="C28" i="16"/>
  <c r="D28" i="16" s="1"/>
  <c r="F28" i="16"/>
  <c r="C29" i="16"/>
  <c r="D29" i="16" s="1"/>
  <c r="F29" i="16"/>
  <c r="C30" i="16"/>
  <c r="D30" i="16" s="1"/>
  <c r="F30" i="16"/>
  <c r="C31" i="16"/>
  <c r="D31" i="16" s="1"/>
  <c r="F31" i="16"/>
  <c r="C32" i="16"/>
  <c r="D32" i="16" s="1"/>
  <c r="F32" i="16"/>
  <c r="C33" i="16"/>
  <c r="D33" i="16" s="1"/>
  <c r="F33" i="16"/>
  <c r="C34" i="16"/>
  <c r="D34" i="16" s="1"/>
  <c r="F34" i="16"/>
  <c r="C35" i="16"/>
  <c r="D35" i="16" s="1"/>
  <c r="F35" i="16"/>
  <c r="C36" i="16"/>
  <c r="D36" i="16" s="1"/>
  <c r="F36" i="16"/>
  <c r="C21" i="16"/>
  <c r="D21" i="16" s="1"/>
  <c r="C22" i="15"/>
  <c r="D22" i="15" s="1"/>
  <c r="F22" i="15"/>
  <c r="I22" i="15"/>
  <c r="C23" i="15"/>
  <c r="D23" i="15" s="1"/>
  <c r="F23" i="15"/>
  <c r="I23" i="15"/>
  <c r="C24" i="15"/>
  <c r="D24" i="15" s="1"/>
  <c r="F24" i="15"/>
  <c r="I24" i="15"/>
  <c r="C25" i="15"/>
  <c r="D25" i="15" s="1"/>
  <c r="F25" i="15"/>
  <c r="I25" i="15"/>
  <c r="C26" i="15"/>
  <c r="D26" i="15" s="1"/>
  <c r="F26" i="15"/>
  <c r="I26" i="15"/>
  <c r="C27" i="15"/>
  <c r="D27" i="15" s="1"/>
  <c r="F27" i="15"/>
  <c r="I27" i="15"/>
  <c r="C28" i="15"/>
  <c r="D28" i="15" s="1"/>
  <c r="F28" i="15"/>
  <c r="I28" i="15"/>
  <c r="C29" i="15"/>
  <c r="D29" i="15" s="1"/>
  <c r="F29" i="15"/>
  <c r="I29" i="15"/>
  <c r="C30" i="15"/>
  <c r="D30" i="15" s="1"/>
  <c r="F30" i="15"/>
  <c r="I30" i="15"/>
  <c r="C31" i="15"/>
  <c r="D31" i="15" s="1"/>
  <c r="F31" i="15"/>
  <c r="I31" i="15"/>
  <c r="C32" i="15"/>
  <c r="D32" i="15" s="1"/>
  <c r="F32" i="15"/>
  <c r="I32" i="15"/>
  <c r="C33" i="15"/>
  <c r="D33" i="15" s="1"/>
  <c r="F33" i="15"/>
  <c r="I33" i="15"/>
  <c r="C34" i="15"/>
  <c r="D34" i="15"/>
  <c r="F34" i="15"/>
  <c r="I34" i="15"/>
  <c r="C35" i="15"/>
  <c r="D35" i="15" s="1"/>
  <c r="F35" i="15"/>
  <c r="I35" i="15"/>
  <c r="C36" i="15"/>
  <c r="D36" i="15" s="1"/>
  <c r="F36" i="15"/>
  <c r="I36" i="15"/>
  <c r="C22" i="14"/>
  <c r="D22" i="14" s="1"/>
  <c r="F22" i="14"/>
  <c r="I22" i="14"/>
  <c r="C23" i="14"/>
  <c r="D23" i="14" s="1"/>
  <c r="F23" i="14"/>
  <c r="I23" i="14"/>
  <c r="C24" i="14"/>
  <c r="D24" i="14" s="1"/>
  <c r="F24" i="14"/>
  <c r="I24" i="14"/>
  <c r="C25" i="14"/>
  <c r="D25" i="14" s="1"/>
  <c r="F25" i="14"/>
  <c r="I25" i="14"/>
  <c r="C26" i="14"/>
  <c r="D26" i="14" s="1"/>
  <c r="F26" i="14"/>
  <c r="I26" i="14"/>
  <c r="C27" i="14"/>
  <c r="D27" i="14" s="1"/>
  <c r="F27" i="14"/>
  <c r="I27" i="14"/>
  <c r="C28" i="14"/>
  <c r="D28" i="14" s="1"/>
  <c r="F28" i="14"/>
  <c r="I28" i="14"/>
  <c r="C29" i="14"/>
  <c r="D29" i="14" s="1"/>
  <c r="F29" i="14"/>
  <c r="I29" i="14"/>
  <c r="C30" i="14"/>
  <c r="D30" i="14" s="1"/>
  <c r="F30" i="14"/>
  <c r="I30" i="14"/>
  <c r="C31" i="14"/>
  <c r="D31" i="14" s="1"/>
  <c r="F31" i="14"/>
  <c r="I31" i="14"/>
  <c r="C32" i="14"/>
  <c r="D32" i="14" s="1"/>
  <c r="F32" i="14"/>
  <c r="I32" i="14"/>
  <c r="C33" i="14"/>
  <c r="D33" i="14" s="1"/>
  <c r="F33" i="14"/>
  <c r="I33" i="14"/>
  <c r="C34" i="14"/>
  <c r="D34" i="14" s="1"/>
  <c r="F34" i="14"/>
  <c r="I34" i="14"/>
  <c r="C35" i="14"/>
  <c r="D35" i="14" s="1"/>
  <c r="F35" i="14"/>
  <c r="I35" i="14"/>
  <c r="C36" i="14"/>
  <c r="D36" i="14" s="1"/>
  <c r="F36" i="14"/>
  <c r="I36" i="14"/>
  <c r="C22" i="13"/>
  <c r="D22" i="13" s="1"/>
  <c r="I22" i="13"/>
  <c r="C23" i="13"/>
  <c r="D23" i="13" s="1"/>
  <c r="C24" i="13"/>
  <c r="D24" i="13" s="1"/>
  <c r="F24" i="13"/>
  <c r="I24" i="13"/>
  <c r="C25" i="13"/>
  <c r="D25" i="13" s="1"/>
  <c r="F25" i="13"/>
  <c r="I25" i="13"/>
  <c r="C26" i="13"/>
  <c r="D26" i="13" s="1"/>
  <c r="F26" i="13"/>
  <c r="I26" i="13"/>
  <c r="C27" i="13"/>
  <c r="D27" i="13" s="1"/>
  <c r="F27" i="13"/>
  <c r="I27" i="13"/>
  <c r="C28" i="13"/>
  <c r="D28" i="13" s="1"/>
  <c r="F28" i="13"/>
  <c r="I28" i="13"/>
  <c r="C29" i="13"/>
  <c r="D29" i="13" s="1"/>
  <c r="F29" i="13"/>
  <c r="I29" i="13"/>
  <c r="C30" i="13"/>
  <c r="D30" i="13" s="1"/>
  <c r="F30" i="13"/>
  <c r="I30" i="13"/>
  <c r="C31" i="13"/>
  <c r="D31" i="13" s="1"/>
  <c r="F31" i="13"/>
  <c r="I31" i="13"/>
  <c r="C32" i="13"/>
  <c r="D32" i="13" s="1"/>
  <c r="F32" i="13"/>
  <c r="I32" i="13"/>
  <c r="C33" i="13"/>
  <c r="D33" i="13" s="1"/>
  <c r="F33" i="13"/>
  <c r="I33" i="13"/>
  <c r="C34" i="13"/>
  <c r="D34" i="13" s="1"/>
  <c r="F34" i="13"/>
  <c r="I34" i="13"/>
  <c r="C35" i="13"/>
  <c r="D35" i="13" s="1"/>
  <c r="F35" i="13"/>
  <c r="I35" i="13"/>
  <c r="C36" i="13"/>
  <c r="D36" i="13" s="1"/>
  <c r="F36" i="13"/>
  <c r="I36" i="13"/>
  <c r="C22" i="12"/>
  <c r="D22" i="12" s="1"/>
  <c r="F22" i="12"/>
  <c r="I22" i="12"/>
  <c r="C23" i="12"/>
  <c r="D23" i="12" s="1"/>
  <c r="F23" i="12"/>
  <c r="I23" i="12"/>
  <c r="C24" i="12"/>
  <c r="D24" i="12" s="1"/>
  <c r="F24" i="12"/>
  <c r="I24" i="12"/>
  <c r="C25" i="12"/>
  <c r="D25" i="12" s="1"/>
  <c r="F25" i="12"/>
  <c r="I25" i="12"/>
  <c r="C26" i="12"/>
  <c r="D26" i="12" s="1"/>
  <c r="F26" i="12"/>
  <c r="I26" i="12"/>
  <c r="C27" i="12"/>
  <c r="D27" i="12" s="1"/>
  <c r="F27" i="12"/>
  <c r="I27" i="12"/>
  <c r="C28" i="12"/>
  <c r="D28" i="12" s="1"/>
  <c r="F28" i="12"/>
  <c r="I28" i="12"/>
  <c r="C29" i="12"/>
  <c r="D29" i="12" s="1"/>
  <c r="F29" i="12"/>
  <c r="I29" i="12"/>
  <c r="C30" i="12"/>
  <c r="D30" i="12" s="1"/>
  <c r="F30" i="12"/>
  <c r="I30" i="12"/>
  <c r="C31" i="12"/>
  <c r="D31" i="12" s="1"/>
  <c r="F31" i="12"/>
  <c r="I31" i="12"/>
  <c r="C32" i="12"/>
  <c r="D32" i="12" s="1"/>
  <c r="F32" i="12"/>
  <c r="I32" i="12"/>
  <c r="C33" i="12"/>
  <c r="D33" i="12" s="1"/>
  <c r="F33" i="12"/>
  <c r="I33" i="12"/>
  <c r="C34" i="12"/>
  <c r="D34" i="12" s="1"/>
  <c r="F34" i="12"/>
  <c r="I34" i="12"/>
  <c r="C35" i="12"/>
  <c r="D35" i="12" s="1"/>
  <c r="F35" i="12"/>
  <c r="I35" i="12"/>
  <c r="C36" i="12"/>
  <c r="D36" i="12" s="1"/>
  <c r="F36" i="12"/>
  <c r="I36" i="12"/>
  <c r="C22" i="11"/>
  <c r="D22" i="11" s="1"/>
  <c r="F22" i="11"/>
  <c r="I22" i="11"/>
  <c r="C23" i="11"/>
  <c r="D23" i="11" s="1"/>
  <c r="F23" i="11"/>
  <c r="I23" i="11"/>
  <c r="C24" i="11"/>
  <c r="D24" i="11" s="1"/>
  <c r="F24" i="11"/>
  <c r="I24" i="11"/>
  <c r="C25" i="11"/>
  <c r="D25" i="11" s="1"/>
  <c r="F25" i="11"/>
  <c r="I25" i="11"/>
  <c r="C26" i="11"/>
  <c r="D26" i="11" s="1"/>
  <c r="F26" i="11"/>
  <c r="I26" i="11"/>
  <c r="C27" i="11"/>
  <c r="D27" i="11" s="1"/>
  <c r="F27" i="11"/>
  <c r="I27" i="11"/>
  <c r="C28" i="11"/>
  <c r="D28" i="11" s="1"/>
  <c r="F28" i="11"/>
  <c r="I28" i="11"/>
  <c r="C29" i="11"/>
  <c r="D29" i="11" s="1"/>
  <c r="F29" i="11"/>
  <c r="I29" i="11"/>
  <c r="C30" i="11"/>
  <c r="D30" i="11" s="1"/>
  <c r="F30" i="11"/>
  <c r="I30" i="11"/>
  <c r="C31" i="11"/>
  <c r="D31" i="11" s="1"/>
  <c r="F31" i="11"/>
  <c r="I31" i="11"/>
  <c r="C32" i="11"/>
  <c r="D32" i="11" s="1"/>
  <c r="F32" i="11"/>
  <c r="I32" i="11"/>
  <c r="C33" i="11"/>
  <c r="D33" i="11" s="1"/>
  <c r="F33" i="11"/>
  <c r="I33" i="11"/>
  <c r="C34" i="11"/>
  <c r="D34" i="11" s="1"/>
  <c r="F34" i="11"/>
  <c r="I34" i="11"/>
  <c r="C35" i="11"/>
  <c r="D35" i="11" s="1"/>
  <c r="F35" i="11"/>
  <c r="I35" i="11"/>
  <c r="C36" i="11"/>
  <c r="D36" i="11" s="1"/>
  <c r="F36" i="11"/>
  <c r="I36" i="11"/>
  <c r="C22" i="10"/>
  <c r="D22" i="10" s="1"/>
  <c r="F22" i="10"/>
  <c r="I22" i="10"/>
  <c r="C23" i="10"/>
  <c r="D23" i="10" s="1"/>
  <c r="F23" i="10"/>
  <c r="I23" i="10"/>
  <c r="C24" i="10"/>
  <c r="D24" i="10" s="1"/>
  <c r="F24" i="10"/>
  <c r="I24" i="10"/>
  <c r="C25" i="10"/>
  <c r="D25" i="10" s="1"/>
  <c r="F25" i="10"/>
  <c r="I25" i="10"/>
  <c r="C26" i="10"/>
  <c r="D26" i="10" s="1"/>
  <c r="F26" i="10"/>
  <c r="I26" i="10"/>
  <c r="C27" i="10"/>
  <c r="D27" i="10" s="1"/>
  <c r="F27" i="10"/>
  <c r="I27" i="10"/>
  <c r="C28" i="10"/>
  <c r="D28" i="10" s="1"/>
  <c r="F28" i="10"/>
  <c r="I28" i="10"/>
  <c r="C29" i="10"/>
  <c r="D29" i="10" s="1"/>
  <c r="F29" i="10"/>
  <c r="I29" i="10"/>
  <c r="C30" i="10"/>
  <c r="D30" i="10" s="1"/>
  <c r="F30" i="10"/>
  <c r="I30" i="10"/>
  <c r="C31" i="10"/>
  <c r="D31" i="10" s="1"/>
  <c r="F31" i="10"/>
  <c r="I31" i="10"/>
  <c r="C32" i="10"/>
  <c r="D32" i="10" s="1"/>
  <c r="F32" i="10"/>
  <c r="I32" i="10"/>
  <c r="C33" i="10"/>
  <c r="D33" i="10" s="1"/>
  <c r="F33" i="10"/>
  <c r="I33" i="10"/>
  <c r="C34" i="10"/>
  <c r="D34" i="10" s="1"/>
  <c r="F34" i="10"/>
  <c r="I34" i="10"/>
  <c r="C35" i="10"/>
  <c r="D35" i="10" s="1"/>
  <c r="F35" i="10"/>
  <c r="I35" i="10"/>
  <c r="C36" i="10"/>
  <c r="D36" i="10" s="1"/>
  <c r="F36" i="10"/>
  <c r="I36" i="10"/>
  <c r="C22" i="8"/>
  <c r="D22" i="8" s="1"/>
  <c r="F22" i="8"/>
  <c r="I22" i="8"/>
  <c r="C23" i="8"/>
  <c r="D23" i="8" s="1"/>
  <c r="F23" i="8"/>
  <c r="I23" i="8"/>
  <c r="C24" i="8"/>
  <c r="D24" i="8" s="1"/>
  <c r="F24" i="8"/>
  <c r="I24" i="8"/>
  <c r="C25" i="8"/>
  <c r="D25" i="8" s="1"/>
  <c r="F25" i="8"/>
  <c r="I25" i="8"/>
  <c r="C26" i="8"/>
  <c r="D26" i="8" s="1"/>
  <c r="F26" i="8"/>
  <c r="I26" i="8"/>
  <c r="C27" i="8"/>
  <c r="D27" i="8" s="1"/>
  <c r="F27" i="8"/>
  <c r="I27" i="8"/>
  <c r="C28" i="8"/>
  <c r="D28" i="8" s="1"/>
  <c r="F28" i="8"/>
  <c r="I28" i="8"/>
  <c r="C29" i="8"/>
  <c r="D29" i="8" s="1"/>
  <c r="F29" i="8"/>
  <c r="I29" i="8"/>
  <c r="C30" i="8"/>
  <c r="D30" i="8" s="1"/>
  <c r="F30" i="8"/>
  <c r="I30" i="8"/>
  <c r="C31" i="8"/>
  <c r="D31" i="8" s="1"/>
  <c r="F31" i="8"/>
  <c r="I31" i="8"/>
  <c r="C32" i="8"/>
  <c r="D32" i="8" s="1"/>
  <c r="F32" i="8"/>
  <c r="I32" i="8"/>
  <c r="C33" i="8"/>
  <c r="D33" i="8" s="1"/>
  <c r="F33" i="8"/>
  <c r="I33" i="8"/>
  <c r="C34" i="8"/>
  <c r="D34" i="8" s="1"/>
  <c r="F34" i="8"/>
  <c r="I34" i="8"/>
  <c r="C35" i="8"/>
  <c r="D35" i="8" s="1"/>
  <c r="F35" i="8"/>
  <c r="I35" i="8"/>
  <c r="C36" i="8"/>
  <c r="D36" i="8" s="1"/>
  <c r="F36" i="8"/>
  <c r="I36" i="8"/>
  <c r="C22" i="7"/>
  <c r="D22" i="7" s="1"/>
  <c r="F22" i="7"/>
  <c r="I22" i="7"/>
  <c r="C23" i="7"/>
  <c r="D23" i="7" s="1"/>
  <c r="F23" i="7"/>
  <c r="I23" i="7"/>
  <c r="C24" i="7"/>
  <c r="D24" i="7" s="1"/>
  <c r="F24" i="7"/>
  <c r="I24" i="7"/>
  <c r="C25" i="7"/>
  <c r="D25" i="7" s="1"/>
  <c r="I25" i="7"/>
  <c r="C26" i="7"/>
  <c r="D26" i="7" s="1"/>
  <c r="F26" i="7"/>
  <c r="I26" i="7"/>
  <c r="C27" i="7"/>
  <c r="D27" i="7" s="1"/>
  <c r="F27" i="7"/>
  <c r="I27" i="7"/>
  <c r="C28" i="7"/>
  <c r="D28" i="7" s="1"/>
  <c r="F28" i="7"/>
  <c r="I28" i="7"/>
  <c r="C29" i="7"/>
  <c r="D29" i="7" s="1"/>
  <c r="F29" i="7"/>
  <c r="I29" i="7"/>
  <c r="C30" i="7"/>
  <c r="D30" i="7" s="1"/>
  <c r="F30" i="7"/>
  <c r="I30" i="7"/>
  <c r="C31" i="7"/>
  <c r="D31" i="7" s="1"/>
  <c r="F31" i="7"/>
  <c r="I31" i="7"/>
  <c r="C32" i="7"/>
  <c r="D32" i="7" s="1"/>
  <c r="F32" i="7"/>
  <c r="I32" i="7"/>
  <c r="C33" i="7"/>
  <c r="D33" i="7" s="1"/>
  <c r="F33" i="7"/>
  <c r="I33" i="7"/>
  <c r="C34" i="7"/>
  <c r="D34" i="7" s="1"/>
  <c r="F34" i="7"/>
  <c r="I34" i="7"/>
  <c r="C35" i="7"/>
  <c r="D35" i="7" s="1"/>
  <c r="F35" i="7"/>
  <c r="I35" i="7"/>
  <c r="C36" i="7"/>
  <c r="D36" i="7" s="1"/>
  <c r="F36" i="7"/>
  <c r="I36" i="7"/>
  <c r="C22" i="2"/>
  <c r="D22" i="2" s="1"/>
  <c r="F22" i="2"/>
  <c r="I22" i="2"/>
  <c r="C23" i="2"/>
  <c r="D23" i="2" s="1"/>
  <c r="F23" i="2"/>
  <c r="I23" i="2"/>
  <c r="C24" i="2"/>
  <c r="D24" i="2" s="1"/>
  <c r="F24" i="2"/>
  <c r="I24" i="2"/>
  <c r="C25" i="2"/>
  <c r="D25" i="2" s="1"/>
  <c r="F25" i="2"/>
  <c r="I25" i="2"/>
  <c r="C26" i="2"/>
  <c r="D26" i="2" s="1"/>
  <c r="F26" i="2"/>
  <c r="I26" i="2"/>
  <c r="C27" i="2"/>
  <c r="D27" i="2" s="1"/>
  <c r="F27" i="2"/>
  <c r="I27" i="2"/>
  <c r="C28" i="2"/>
  <c r="D28" i="2" s="1"/>
  <c r="F28" i="2"/>
  <c r="I28" i="2"/>
  <c r="C29" i="2"/>
  <c r="D29" i="2" s="1"/>
  <c r="F29" i="2"/>
  <c r="I29" i="2"/>
  <c r="C30" i="2"/>
  <c r="D30" i="2" s="1"/>
  <c r="F30" i="2"/>
  <c r="I30" i="2"/>
  <c r="C31" i="2"/>
  <c r="D31" i="2" s="1"/>
  <c r="F31" i="2"/>
  <c r="I31" i="2"/>
  <c r="C32" i="2"/>
  <c r="D32" i="2" s="1"/>
  <c r="F32" i="2"/>
  <c r="I32" i="2"/>
  <c r="C33" i="2"/>
  <c r="D33" i="2" s="1"/>
  <c r="F33" i="2"/>
  <c r="I33" i="2"/>
  <c r="C34" i="2"/>
  <c r="D34" i="2" s="1"/>
  <c r="F34" i="2"/>
  <c r="I34" i="2"/>
  <c r="C35" i="2"/>
  <c r="D35" i="2" s="1"/>
  <c r="F35" i="2"/>
  <c r="I35" i="2"/>
  <c r="C36" i="2"/>
  <c r="D36" i="2" s="1"/>
  <c r="F36" i="2"/>
  <c r="I36" i="2"/>
  <c r="O22" i="1"/>
  <c r="O23" i="1"/>
  <c r="O24" i="1"/>
  <c r="O25" i="1"/>
  <c r="O26" i="1"/>
  <c r="O27" i="1"/>
  <c r="O28" i="1"/>
  <c r="O29" i="1"/>
  <c r="N22" i="1"/>
  <c r="N23" i="1"/>
  <c r="N24" i="1"/>
  <c r="N25" i="1"/>
  <c r="N26" i="1"/>
  <c r="N27" i="1"/>
  <c r="N28" i="1"/>
  <c r="N29" i="1"/>
  <c r="C22" i="1"/>
  <c r="D22" i="1" s="1"/>
  <c r="F22" i="1"/>
  <c r="G22" i="1" s="1"/>
  <c r="P22" i="1"/>
  <c r="R22" i="1" s="1"/>
  <c r="H22" i="9" s="1"/>
  <c r="C23" i="1"/>
  <c r="D23" i="1" s="1"/>
  <c r="F23" i="1"/>
  <c r="G23" i="1" s="1"/>
  <c r="P23" i="1"/>
  <c r="C24" i="1"/>
  <c r="D24" i="1" s="1"/>
  <c r="F24" i="1"/>
  <c r="G24" i="1" s="1"/>
  <c r="P24" i="1"/>
  <c r="C25" i="1"/>
  <c r="D25" i="1" s="1"/>
  <c r="F25" i="1"/>
  <c r="G25" i="1" s="1"/>
  <c r="P25" i="1"/>
  <c r="C26" i="1"/>
  <c r="D26" i="1" s="1"/>
  <c r="F26" i="1"/>
  <c r="G26" i="1" s="1"/>
  <c r="P26" i="1"/>
  <c r="C27" i="1"/>
  <c r="D27" i="1" s="1"/>
  <c r="F27" i="1"/>
  <c r="G27" i="1"/>
  <c r="P27" i="1"/>
  <c r="C28" i="1"/>
  <c r="D28" i="1" s="1"/>
  <c r="F28" i="1"/>
  <c r="G28" i="1" s="1"/>
  <c r="P28" i="1"/>
  <c r="C29" i="1"/>
  <c r="D29" i="1" s="1"/>
  <c r="F29" i="1"/>
  <c r="G29" i="1" s="1"/>
  <c r="P29" i="1"/>
  <c r="C30" i="1"/>
  <c r="D30" i="1" s="1"/>
  <c r="F30" i="1"/>
  <c r="G30" i="1" s="1"/>
  <c r="R30" i="1"/>
  <c r="H30" i="9" s="1"/>
  <c r="C31" i="1"/>
  <c r="D31" i="1" s="1"/>
  <c r="F31" i="1"/>
  <c r="G31" i="1" s="1"/>
  <c r="C32" i="1"/>
  <c r="D32" i="1" s="1"/>
  <c r="F32" i="1"/>
  <c r="G32" i="1" s="1"/>
  <c r="R32" i="1"/>
  <c r="H32" i="9" s="1"/>
  <c r="C33" i="1"/>
  <c r="D33" i="1" s="1"/>
  <c r="F33" i="1"/>
  <c r="G33" i="1" s="1"/>
  <c r="C34" i="1"/>
  <c r="D34" i="1" s="1"/>
  <c r="F34" i="1"/>
  <c r="G34" i="1" s="1"/>
  <c r="C35" i="1"/>
  <c r="D35" i="1" s="1"/>
  <c r="F35" i="1"/>
  <c r="G35" i="1" s="1"/>
  <c r="C22" i="9"/>
  <c r="D22" i="9" s="1"/>
  <c r="F22" i="9"/>
  <c r="I22" i="9"/>
  <c r="C23" i="9"/>
  <c r="D23" i="9" s="1"/>
  <c r="F23" i="9"/>
  <c r="I23" i="9"/>
  <c r="C24" i="9"/>
  <c r="D24" i="9" s="1"/>
  <c r="F24" i="9"/>
  <c r="I24" i="9"/>
  <c r="C25" i="9"/>
  <c r="D25" i="9" s="1"/>
  <c r="F25" i="9"/>
  <c r="I25" i="9"/>
  <c r="C26" i="9"/>
  <c r="D26" i="9" s="1"/>
  <c r="F26" i="9"/>
  <c r="I26" i="9"/>
  <c r="C27" i="9"/>
  <c r="D27" i="9" s="1"/>
  <c r="F27" i="9"/>
  <c r="I27" i="9"/>
  <c r="C28" i="9"/>
  <c r="D28" i="9" s="1"/>
  <c r="F28" i="9"/>
  <c r="I28" i="9"/>
  <c r="C29" i="9"/>
  <c r="D29" i="9" s="1"/>
  <c r="F29" i="9"/>
  <c r="I29" i="9"/>
  <c r="C30" i="9"/>
  <c r="D30" i="9" s="1"/>
  <c r="F30" i="9"/>
  <c r="I30" i="9"/>
  <c r="F31" i="9"/>
  <c r="I31" i="9"/>
  <c r="C32" i="9"/>
  <c r="D32" i="9" s="1"/>
  <c r="F32" i="9"/>
  <c r="I32" i="9"/>
  <c r="I36" i="1" l="1"/>
  <c r="J36" i="1" s="1"/>
  <c r="K36" i="1" s="1"/>
  <c r="E36" i="9" s="1"/>
  <c r="G36" i="9" s="1"/>
  <c r="K36" i="9" s="1"/>
  <c r="R23" i="1"/>
  <c r="H23" i="9" s="1"/>
  <c r="R29" i="1"/>
  <c r="H29" i="9" s="1"/>
  <c r="R35" i="1"/>
  <c r="H35" i="9" s="1"/>
  <c r="R27" i="1"/>
  <c r="H27" i="7" s="1"/>
  <c r="R26" i="1"/>
  <c r="H26" i="16" s="1"/>
  <c r="R34" i="1"/>
  <c r="H34" i="9" s="1"/>
  <c r="H31" i="1"/>
  <c r="R33" i="1"/>
  <c r="H33" i="9" s="1"/>
  <c r="H34" i="1"/>
  <c r="H29" i="1"/>
  <c r="H25" i="1"/>
  <c r="H35" i="1"/>
  <c r="H32" i="1"/>
  <c r="R28" i="1"/>
  <c r="H28" i="9" s="1"/>
  <c r="H33" i="1"/>
  <c r="H30" i="1"/>
  <c r="H27" i="1"/>
  <c r="R25" i="1"/>
  <c r="H25" i="9" s="1"/>
  <c r="R24" i="1"/>
  <c r="H24" i="7" s="1"/>
  <c r="R31" i="1"/>
  <c r="H31" i="7" s="1"/>
  <c r="H28" i="1"/>
  <c r="H26" i="18"/>
  <c r="H26" i="1"/>
  <c r="H24" i="1"/>
  <c r="H23" i="1"/>
  <c r="H22" i="1"/>
  <c r="H30" i="19"/>
  <c r="H22" i="19"/>
  <c r="H32" i="19"/>
  <c r="H30" i="18"/>
  <c r="H22" i="18"/>
  <c r="H32" i="18"/>
  <c r="H30" i="17"/>
  <c r="H22" i="17"/>
  <c r="H32" i="17"/>
  <c r="H30" i="16"/>
  <c r="H22" i="16"/>
  <c r="H32" i="16"/>
  <c r="H30" i="15"/>
  <c r="H22" i="15"/>
  <c r="H32" i="15"/>
  <c r="H30" i="14"/>
  <c r="H22" i="14"/>
  <c r="H32" i="14"/>
  <c r="H30" i="13"/>
  <c r="H22" i="13"/>
  <c r="H32" i="13"/>
  <c r="H30" i="12"/>
  <c r="H22" i="12"/>
  <c r="H32" i="12"/>
  <c r="H30" i="11"/>
  <c r="H22" i="11"/>
  <c r="H32" i="11"/>
  <c r="H30" i="10"/>
  <c r="H22" i="10"/>
  <c r="H32" i="10"/>
  <c r="H30" i="8"/>
  <c r="H22" i="8"/>
  <c r="H32" i="8"/>
  <c r="H32" i="7"/>
  <c r="H30" i="7"/>
  <c r="H22" i="7"/>
  <c r="I35" i="1"/>
  <c r="I34" i="1"/>
  <c r="I33" i="1"/>
  <c r="I32" i="1"/>
  <c r="I31" i="1"/>
  <c r="I30" i="1"/>
  <c r="I29" i="1"/>
  <c r="I28" i="1"/>
  <c r="I27" i="1"/>
  <c r="J27" i="1" s="1"/>
  <c r="K27" i="1" s="1"/>
  <c r="I26" i="1"/>
  <c r="I25" i="1"/>
  <c r="I24" i="1"/>
  <c r="I23" i="1"/>
  <c r="I22" i="1"/>
  <c r="H32" i="2"/>
  <c r="H30" i="2"/>
  <c r="H22" i="2"/>
  <c r="M20" i="1"/>
  <c r="K34" i="9" l="1"/>
  <c r="K30" i="11"/>
  <c r="H23" i="12"/>
  <c r="H23" i="16"/>
  <c r="H23" i="2"/>
  <c r="H23" i="13"/>
  <c r="H27" i="19"/>
  <c r="H29" i="18"/>
  <c r="H29" i="14"/>
  <c r="H29" i="2"/>
  <c r="H23" i="11"/>
  <c r="H29" i="13"/>
  <c r="H29" i="15"/>
  <c r="H29" i="17"/>
  <c r="H29" i="7"/>
  <c r="H29" i="16"/>
  <c r="H23" i="10"/>
  <c r="H29" i="8"/>
  <c r="H29" i="11"/>
  <c r="H23" i="15"/>
  <c r="K23" i="15" s="1"/>
  <c r="H23" i="18"/>
  <c r="H23" i="19"/>
  <c r="H23" i="7"/>
  <c r="H23" i="14"/>
  <c r="H23" i="8"/>
  <c r="H29" i="12"/>
  <c r="H27" i="2"/>
  <c r="H27" i="11"/>
  <c r="H27" i="8"/>
  <c r="K27" i="8" s="1"/>
  <c r="H26" i="13"/>
  <c r="H24" i="9"/>
  <c r="H27" i="9"/>
  <c r="J32" i="1"/>
  <c r="K32" i="1" s="1"/>
  <c r="E32" i="17" s="1"/>
  <c r="G32" i="17" s="1"/>
  <c r="K32" i="17" s="1"/>
  <c r="H27" i="16"/>
  <c r="K27" i="16" s="1"/>
  <c r="H26" i="14"/>
  <c r="H29" i="10"/>
  <c r="H24" i="15"/>
  <c r="H27" i="15"/>
  <c r="H29" i="19"/>
  <c r="H27" i="10"/>
  <c r="H27" i="18"/>
  <c r="H23" i="17"/>
  <c r="H26" i="7"/>
  <c r="H26" i="12"/>
  <c r="H24" i="13"/>
  <c r="H26" i="19"/>
  <c r="H35" i="17"/>
  <c r="H35" i="2"/>
  <c r="H35" i="7"/>
  <c r="H35" i="14"/>
  <c r="H35" i="12"/>
  <c r="H35" i="13"/>
  <c r="H35" i="10"/>
  <c r="H35" i="8"/>
  <c r="H36" i="12"/>
  <c r="H35" i="11"/>
  <c r="H35" i="15"/>
  <c r="H36" i="2"/>
  <c r="H36" i="18"/>
  <c r="J34" i="1"/>
  <c r="K34" i="1" s="1"/>
  <c r="E34" i="9" s="1"/>
  <c r="G34" i="9" s="1"/>
  <c r="J33" i="1"/>
  <c r="K33" i="1" s="1"/>
  <c r="E33" i="9" s="1"/>
  <c r="G33" i="9" s="1"/>
  <c r="K33" i="9" s="1"/>
  <c r="H34" i="8"/>
  <c r="H35" i="16"/>
  <c r="H35" i="19"/>
  <c r="H35" i="18"/>
  <c r="H34" i="7"/>
  <c r="H36" i="7"/>
  <c r="H36" i="10"/>
  <c r="K36" i="10" s="1"/>
  <c r="H36" i="13"/>
  <c r="H36" i="14"/>
  <c r="H34" i="15"/>
  <c r="H36" i="15"/>
  <c r="H36" i="16"/>
  <c r="H36" i="17"/>
  <c r="K36" i="17" s="1"/>
  <c r="H34" i="11"/>
  <c r="H33" i="19"/>
  <c r="H34" i="10"/>
  <c r="H34" i="12"/>
  <c r="H36" i="8"/>
  <c r="H36" i="11"/>
  <c r="H33" i="18"/>
  <c r="H34" i="13"/>
  <c r="H34" i="2"/>
  <c r="H34" i="14"/>
  <c r="H31" i="9"/>
  <c r="J30" i="1"/>
  <c r="K30" i="1" s="1"/>
  <c r="E30" i="11" s="1"/>
  <c r="G30" i="11" s="1"/>
  <c r="H26" i="10"/>
  <c r="H27" i="12"/>
  <c r="H27" i="13"/>
  <c r="H27" i="14"/>
  <c r="H27" i="17"/>
  <c r="H33" i="7"/>
  <c r="H26" i="17"/>
  <c r="H26" i="9"/>
  <c r="J35" i="1"/>
  <c r="K35" i="1" s="1"/>
  <c r="E35" i="9" s="1"/>
  <c r="G35" i="9" s="1"/>
  <c r="K35" i="9" s="1"/>
  <c r="H24" i="10"/>
  <c r="H26" i="11"/>
  <c r="H33" i="13"/>
  <c r="H26" i="15"/>
  <c r="H24" i="17"/>
  <c r="H33" i="2"/>
  <c r="H24" i="2"/>
  <c r="E36" i="17"/>
  <c r="G36" i="17" s="1"/>
  <c r="H24" i="11"/>
  <c r="H33" i="12"/>
  <c r="H25" i="14"/>
  <c r="H33" i="16"/>
  <c r="H24" i="18"/>
  <c r="H24" i="8"/>
  <c r="K24" i="8" s="1"/>
  <c r="H33" i="8"/>
  <c r="H33" i="14"/>
  <c r="H26" i="2"/>
  <c r="J31" i="1"/>
  <c r="K31" i="1" s="1"/>
  <c r="E31" i="15" s="1"/>
  <c r="G31" i="15" s="1"/>
  <c r="H26" i="8"/>
  <c r="H24" i="12"/>
  <c r="H24" i="16"/>
  <c r="H36" i="19"/>
  <c r="H34" i="19"/>
  <c r="H33" i="10"/>
  <c r="H33" i="11"/>
  <c r="H34" i="17"/>
  <c r="H34" i="18"/>
  <c r="H33" i="15"/>
  <c r="H34" i="16"/>
  <c r="H33" i="17"/>
  <c r="J28" i="1"/>
  <c r="K28" i="1" s="1"/>
  <c r="E28" i="11" s="1"/>
  <c r="G28" i="11" s="1"/>
  <c r="H28" i="7"/>
  <c r="H28" i="12"/>
  <c r="H28" i="19"/>
  <c r="H28" i="2"/>
  <c r="H28" i="10"/>
  <c r="H28" i="17"/>
  <c r="H28" i="11"/>
  <c r="K28" i="11" s="1"/>
  <c r="H28" i="14"/>
  <c r="H28" i="16"/>
  <c r="H28" i="8"/>
  <c r="H28" i="13"/>
  <c r="H28" i="18"/>
  <c r="H28" i="15"/>
  <c r="H25" i="2"/>
  <c r="J29" i="1"/>
  <c r="K29" i="1" s="1"/>
  <c r="E29" i="14" s="1"/>
  <c r="G29" i="14" s="1"/>
  <c r="H25" i="10"/>
  <c r="H25" i="17"/>
  <c r="K25" i="17" s="1"/>
  <c r="H25" i="12"/>
  <c r="J23" i="1"/>
  <c r="K23" i="1" s="1"/>
  <c r="E23" i="15" s="1"/>
  <c r="G23" i="15" s="1"/>
  <c r="H25" i="8"/>
  <c r="H25" i="11"/>
  <c r="H25" i="13"/>
  <c r="H25" i="19"/>
  <c r="J25" i="1"/>
  <c r="K25" i="1" s="1"/>
  <c r="E25" i="17" s="1"/>
  <c r="G25" i="17" s="1"/>
  <c r="H25" i="7"/>
  <c r="H25" i="15"/>
  <c r="H25" i="18"/>
  <c r="H31" i="2"/>
  <c r="H31" i="8"/>
  <c r="H31" i="14"/>
  <c r="H31" i="18"/>
  <c r="H31" i="10"/>
  <c r="H31" i="19"/>
  <c r="H31" i="11"/>
  <c r="H31" i="12"/>
  <c r="H31" i="17"/>
  <c r="H31" i="13"/>
  <c r="H31" i="16"/>
  <c r="H24" i="19"/>
  <c r="H24" i="14"/>
  <c r="H25" i="16"/>
  <c r="H31" i="15"/>
  <c r="J26" i="1"/>
  <c r="K26" i="1" s="1"/>
  <c r="E26" i="7" s="1"/>
  <c r="G26" i="7" s="1"/>
  <c r="J24" i="1"/>
  <c r="K24" i="1" s="1"/>
  <c r="E24" i="8" s="1"/>
  <c r="G24" i="8" s="1"/>
  <c r="J22" i="1"/>
  <c r="K22" i="1" s="1"/>
  <c r="E22" i="17" s="1"/>
  <c r="G22" i="17" s="1"/>
  <c r="K22" i="17" s="1"/>
  <c r="E34" i="18"/>
  <c r="G34" i="18" s="1"/>
  <c r="E27" i="18"/>
  <c r="G27" i="18" s="1"/>
  <c r="E27" i="19"/>
  <c r="G27" i="19" s="1"/>
  <c r="E27" i="16"/>
  <c r="G27" i="16" s="1"/>
  <c r="E27" i="17"/>
  <c r="G27" i="17" s="1"/>
  <c r="E27" i="14"/>
  <c r="G27" i="14" s="1"/>
  <c r="E27" i="15"/>
  <c r="G27" i="15" s="1"/>
  <c r="E27" i="12"/>
  <c r="G27" i="12" s="1"/>
  <c r="E27" i="13"/>
  <c r="G27" i="13" s="1"/>
  <c r="E27" i="10"/>
  <c r="G27" i="10" s="1"/>
  <c r="E27" i="11"/>
  <c r="G27" i="11" s="1"/>
  <c r="E36" i="10"/>
  <c r="G36" i="10" s="1"/>
  <c r="E27" i="7"/>
  <c r="G27" i="7" s="1"/>
  <c r="K27" i="7" s="1"/>
  <c r="E27" i="8"/>
  <c r="G27" i="8" s="1"/>
  <c r="E27" i="9"/>
  <c r="G27" i="9" s="1"/>
  <c r="E27" i="2"/>
  <c r="G27" i="2" s="1"/>
  <c r="M19" i="1"/>
  <c r="K27" i="9" l="1"/>
  <c r="K25" i="8"/>
  <c r="K36" i="8"/>
  <c r="K35" i="16"/>
  <c r="K27" i="11"/>
  <c r="K31" i="12"/>
  <c r="K27" i="17"/>
  <c r="K27" i="2"/>
  <c r="K26" i="8"/>
  <c r="K28" i="18"/>
  <c r="K34" i="18"/>
  <c r="K27" i="14"/>
  <c r="K27" i="13"/>
  <c r="K27" i="18"/>
  <c r="K29" i="14"/>
  <c r="K31" i="15"/>
  <c r="K33" i="11"/>
  <c r="K24" i="11"/>
  <c r="K27" i="12"/>
  <c r="K36" i="15"/>
  <c r="K27" i="10"/>
  <c r="K34" i="15"/>
  <c r="K36" i="12"/>
  <c r="K27" i="19"/>
  <c r="K28" i="12"/>
  <c r="K25" i="10"/>
  <c r="K28" i="13"/>
  <c r="K27" i="15"/>
  <c r="K23" i="13"/>
  <c r="K26" i="7"/>
  <c r="E35" i="18"/>
  <c r="G35" i="18" s="1"/>
  <c r="K35" i="18" s="1"/>
  <c r="E33" i="18"/>
  <c r="G33" i="18" s="1"/>
  <c r="K33" i="18" s="1"/>
  <c r="E34" i="19"/>
  <c r="G34" i="19" s="1"/>
  <c r="K34" i="19" s="1"/>
  <c r="E25" i="19"/>
  <c r="G25" i="19" s="1"/>
  <c r="K25" i="19" s="1"/>
  <c r="E32" i="16"/>
  <c r="G32" i="16" s="1"/>
  <c r="K32" i="16" s="1"/>
  <c r="E32" i="8"/>
  <c r="G32" i="8" s="1"/>
  <c r="K32" i="8" s="1"/>
  <c r="E32" i="14"/>
  <c r="G32" i="14" s="1"/>
  <c r="K32" i="14" s="1"/>
  <c r="E32" i="19"/>
  <c r="G32" i="19" s="1"/>
  <c r="K32" i="19" s="1"/>
  <c r="E32" i="7"/>
  <c r="G32" i="7" s="1"/>
  <c r="K32" i="7" s="1"/>
  <c r="E23" i="10"/>
  <c r="G23" i="10" s="1"/>
  <c r="K23" i="10" s="1"/>
  <c r="E32" i="18"/>
  <c r="G32" i="18" s="1"/>
  <c r="K32" i="18" s="1"/>
  <c r="E23" i="9"/>
  <c r="G23" i="9" s="1"/>
  <c r="K23" i="9" s="1"/>
  <c r="E32" i="12"/>
  <c r="G32" i="12" s="1"/>
  <c r="K32" i="12" s="1"/>
  <c r="E32" i="2"/>
  <c r="G32" i="2" s="1"/>
  <c r="K32" i="2" s="1"/>
  <c r="E32" i="11"/>
  <c r="G32" i="11" s="1"/>
  <c r="K32" i="11" s="1"/>
  <c r="E23" i="16"/>
  <c r="G23" i="16" s="1"/>
  <c r="K23" i="16" s="1"/>
  <c r="E23" i="2"/>
  <c r="G23" i="2" s="1"/>
  <c r="K23" i="2" s="1"/>
  <c r="E32" i="13"/>
  <c r="G32" i="13" s="1"/>
  <c r="K32" i="13" s="1"/>
  <c r="E23" i="14"/>
  <c r="G23" i="14" s="1"/>
  <c r="K23" i="14" s="1"/>
  <c r="E23" i="7"/>
  <c r="G23" i="7" s="1"/>
  <c r="K23" i="7" s="1"/>
  <c r="E32" i="9"/>
  <c r="G32" i="9" s="1"/>
  <c r="K32" i="9" s="1"/>
  <c r="E32" i="10"/>
  <c r="G32" i="10" s="1"/>
  <c r="K32" i="10" s="1"/>
  <c r="E32" i="15"/>
  <c r="G32" i="15" s="1"/>
  <c r="K32" i="15" s="1"/>
  <c r="E25" i="9"/>
  <c r="G25" i="9" s="1"/>
  <c r="K25" i="9" s="1"/>
  <c r="E33" i="16"/>
  <c r="G33" i="16" s="1"/>
  <c r="K33" i="16" s="1"/>
  <c r="E33" i="11"/>
  <c r="G33" i="11" s="1"/>
  <c r="E33" i="10"/>
  <c r="G33" i="10" s="1"/>
  <c r="K33" i="10" s="1"/>
  <c r="E25" i="16"/>
  <c r="G25" i="16" s="1"/>
  <c r="K25" i="16" s="1"/>
  <c r="E25" i="13"/>
  <c r="G25" i="13" s="1"/>
  <c r="K25" i="13" s="1"/>
  <c r="E28" i="10"/>
  <c r="G28" i="10" s="1"/>
  <c r="K28" i="10" s="1"/>
  <c r="E33" i="7"/>
  <c r="G33" i="7" s="1"/>
  <c r="K33" i="7" s="1"/>
  <c r="E25" i="14"/>
  <c r="G25" i="14" s="1"/>
  <c r="K25" i="14" s="1"/>
  <c r="E25" i="8"/>
  <c r="G25" i="8" s="1"/>
  <c r="E25" i="2"/>
  <c r="G25" i="2" s="1"/>
  <c r="K25" i="2" s="1"/>
  <c r="E25" i="7"/>
  <c r="G25" i="7" s="1"/>
  <c r="K25" i="7" s="1"/>
  <c r="E25" i="11"/>
  <c r="G25" i="11" s="1"/>
  <c r="K25" i="11" s="1"/>
  <c r="E23" i="12"/>
  <c r="G23" i="12" s="1"/>
  <c r="K23" i="12" s="1"/>
  <c r="E23" i="18"/>
  <c r="G23" i="18" s="1"/>
  <c r="K23" i="18" s="1"/>
  <c r="E36" i="2"/>
  <c r="G36" i="2" s="1"/>
  <c r="K36" i="2" s="1"/>
  <c r="E36" i="7"/>
  <c r="G36" i="7" s="1"/>
  <c r="K36" i="7" s="1"/>
  <c r="E36" i="8"/>
  <c r="G36" i="8" s="1"/>
  <c r="E36" i="11"/>
  <c r="G36" i="11" s="1"/>
  <c r="K36" i="11" s="1"/>
  <c r="E36" i="19"/>
  <c r="G36" i="19" s="1"/>
  <c r="K36" i="19" s="1"/>
  <c r="E36" i="15"/>
  <c r="G36" i="15" s="1"/>
  <c r="E36" i="14"/>
  <c r="G36" i="14" s="1"/>
  <c r="K36" i="14" s="1"/>
  <c r="E36" i="13"/>
  <c r="G36" i="13" s="1"/>
  <c r="K36" i="13" s="1"/>
  <c r="E36" i="16"/>
  <c r="G36" i="16" s="1"/>
  <c r="K36" i="16" s="1"/>
  <c r="E36" i="12"/>
  <c r="G36" i="12" s="1"/>
  <c r="E36" i="18"/>
  <c r="G36" i="18" s="1"/>
  <c r="K36" i="18" s="1"/>
  <c r="E35" i="12"/>
  <c r="G35" i="12" s="1"/>
  <c r="K35" i="12" s="1"/>
  <c r="E35" i="11"/>
  <c r="G35" i="11" s="1"/>
  <c r="K35" i="11" s="1"/>
  <c r="E35" i="19"/>
  <c r="G35" i="19" s="1"/>
  <c r="K35" i="19" s="1"/>
  <c r="E35" i="17"/>
  <c r="G35" i="17" s="1"/>
  <c r="K35" i="17" s="1"/>
  <c r="E35" i="7"/>
  <c r="G35" i="7" s="1"/>
  <c r="K35" i="7" s="1"/>
  <c r="E35" i="10"/>
  <c r="G35" i="10" s="1"/>
  <c r="K35" i="10" s="1"/>
  <c r="E35" i="8"/>
  <c r="G35" i="8" s="1"/>
  <c r="K35" i="8" s="1"/>
  <c r="E35" i="16"/>
  <c r="G35" i="16" s="1"/>
  <c r="E35" i="2"/>
  <c r="G35" i="2" s="1"/>
  <c r="K35" i="2" s="1"/>
  <c r="E35" i="13"/>
  <c r="G35" i="13" s="1"/>
  <c r="K35" i="13" s="1"/>
  <c r="E35" i="15"/>
  <c r="G35" i="15" s="1"/>
  <c r="K35" i="15" s="1"/>
  <c r="E34" i="15"/>
  <c r="G34" i="15" s="1"/>
  <c r="E34" i="10"/>
  <c r="G34" i="10" s="1"/>
  <c r="K34" i="10" s="1"/>
  <c r="E34" i="7"/>
  <c r="G34" i="7" s="1"/>
  <c r="K34" i="7" s="1"/>
  <c r="E34" i="16"/>
  <c r="G34" i="16" s="1"/>
  <c r="K34" i="16" s="1"/>
  <c r="E34" i="2"/>
  <c r="G34" i="2" s="1"/>
  <c r="K34" i="2" s="1"/>
  <c r="E34" i="12"/>
  <c r="G34" i="12" s="1"/>
  <c r="K34" i="12" s="1"/>
  <c r="E34" i="8"/>
  <c r="G34" i="8" s="1"/>
  <c r="K34" i="8" s="1"/>
  <c r="E34" i="11"/>
  <c r="G34" i="11" s="1"/>
  <c r="K34" i="11" s="1"/>
  <c r="E35" i="14"/>
  <c r="G35" i="14" s="1"/>
  <c r="K35" i="14" s="1"/>
  <c r="E33" i="15"/>
  <c r="G33" i="15" s="1"/>
  <c r="K33" i="15" s="1"/>
  <c r="E34" i="14"/>
  <c r="G34" i="14" s="1"/>
  <c r="K34" i="14" s="1"/>
  <c r="E34" i="13"/>
  <c r="G34" i="13" s="1"/>
  <c r="K34" i="13" s="1"/>
  <c r="E34" i="17"/>
  <c r="G34" i="17" s="1"/>
  <c r="K34" i="17" s="1"/>
  <c r="E33" i="2"/>
  <c r="G33" i="2" s="1"/>
  <c r="K33" i="2" s="1"/>
  <c r="E33" i="14"/>
  <c r="G33" i="14" s="1"/>
  <c r="K33" i="14" s="1"/>
  <c r="E33" i="12"/>
  <c r="G33" i="12" s="1"/>
  <c r="K33" i="12" s="1"/>
  <c r="E33" i="13"/>
  <c r="G33" i="13" s="1"/>
  <c r="K33" i="13" s="1"/>
  <c r="E33" i="19"/>
  <c r="G33" i="19" s="1"/>
  <c r="K33" i="19" s="1"/>
  <c r="E33" i="8"/>
  <c r="G33" i="8" s="1"/>
  <c r="K33" i="8" s="1"/>
  <c r="E33" i="17"/>
  <c r="G33" i="17" s="1"/>
  <c r="K33" i="17" s="1"/>
  <c r="E31" i="7"/>
  <c r="G31" i="7" s="1"/>
  <c r="K31" i="7" s="1"/>
  <c r="E31" i="14"/>
  <c r="G31" i="14" s="1"/>
  <c r="K31" i="14" s="1"/>
  <c r="E31" i="17"/>
  <c r="G31" i="17" s="1"/>
  <c r="K31" i="17" s="1"/>
  <c r="E31" i="16"/>
  <c r="G31" i="16" s="1"/>
  <c r="K31" i="16" s="1"/>
  <c r="E31" i="8"/>
  <c r="G31" i="8" s="1"/>
  <c r="K31" i="8" s="1"/>
  <c r="E31" i="13"/>
  <c r="G31" i="13" s="1"/>
  <c r="K31" i="13" s="1"/>
  <c r="E31" i="11"/>
  <c r="G31" i="11" s="1"/>
  <c r="K31" i="11" s="1"/>
  <c r="E31" i="19"/>
  <c r="G31" i="19" s="1"/>
  <c r="K31" i="19" s="1"/>
  <c r="E31" i="9"/>
  <c r="G31" i="9" s="1"/>
  <c r="E31" i="12"/>
  <c r="G31" i="12" s="1"/>
  <c r="E31" i="2"/>
  <c r="G31" i="2" s="1"/>
  <c r="K31" i="2" s="1"/>
  <c r="E31" i="10"/>
  <c r="G31" i="10" s="1"/>
  <c r="K31" i="10" s="1"/>
  <c r="E31" i="18"/>
  <c r="G31" i="18" s="1"/>
  <c r="K31" i="18" s="1"/>
  <c r="E30" i="7"/>
  <c r="G30" i="7" s="1"/>
  <c r="K30" i="7" s="1"/>
  <c r="E30" i="15"/>
  <c r="G30" i="15" s="1"/>
  <c r="K30" i="15" s="1"/>
  <c r="E30" i="10"/>
  <c r="G30" i="10" s="1"/>
  <c r="K30" i="10" s="1"/>
  <c r="E30" i="2"/>
  <c r="G30" i="2" s="1"/>
  <c r="K30" i="2" s="1"/>
  <c r="E30" i="9"/>
  <c r="G30" i="9" s="1"/>
  <c r="K30" i="9" s="1"/>
  <c r="E30" i="16"/>
  <c r="G30" i="16" s="1"/>
  <c r="K30" i="16" s="1"/>
  <c r="E30" i="14"/>
  <c r="G30" i="14" s="1"/>
  <c r="K30" i="14" s="1"/>
  <c r="E30" i="17"/>
  <c r="G30" i="17" s="1"/>
  <c r="K30" i="17" s="1"/>
  <c r="E30" i="13"/>
  <c r="G30" i="13" s="1"/>
  <c r="K30" i="13" s="1"/>
  <c r="E30" i="12"/>
  <c r="G30" i="12" s="1"/>
  <c r="K30" i="12" s="1"/>
  <c r="E30" i="19"/>
  <c r="G30" i="19" s="1"/>
  <c r="K30" i="19" s="1"/>
  <c r="E30" i="18"/>
  <c r="G30" i="18" s="1"/>
  <c r="K30" i="18" s="1"/>
  <c r="E30" i="8"/>
  <c r="G30" i="8" s="1"/>
  <c r="K30" i="8" s="1"/>
  <c r="E28" i="7"/>
  <c r="G28" i="7" s="1"/>
  <c r="K28" i="7" s="1"/>
  <c r="E28" i="15"/>
  <c r="G28" i="15" s="1"/>
  <c r="K28" i="15" s="1"/>
  <c r="E28" i="17"/>
  <c r="G28" i="17" s="1"/>
  <c r="K28" i="17" s="1"/>
  <c r="E28" i="8"/>
  <c r="G28" i="8" s="1"/>
  <c r="K28" i="8" s="1"/>
  <c r="E28" i="14"/>
  <c r="G28" i="14" s="1"/>
  <c r="K28" i="14" s="1"/>
  <c r="E28" i="16"/>
  <c r="G28" i="16" s="1"/>
  <c r="K28" i="16" s="1"/>
  <c r="E29" i="13"/>
  <c r="G29" i="13" s="1"/>
  <c r="K29" i="13" s="1"/>
  <c r="E29" i="9"/>
  <c r="G29" i="9" s="1"/>
  <c r="K29" i="9" s="1"/>
  <c r="E29" i="11"/>
  <c r="G29" i="11" s="1"/>
  <c r="K29" i="11" s="1"/>
  <c r="E29" i="12"/>
  <c r="G29" i="12" s="1"/>
  <c r="K29" i="12" s="1"/>
  <c r="E29" i="16"/>
  <c r="G29" i="16" s="1"/>
  <c r="K29" i="16" s="1"/>
  <c r="E29" i="8"/>
  <c r="G29" i="8" s="1"/>
  <c r="K29" i="8" s="1"/>
  <c r="E29" i="10"/>
  <c r="G29" i="10" s="1"/>
  <c r="K29" i="10" s="1"/>
  <c r="E29" i="7"/>
  <c r="G29" i="7" s="1"/>
  <c r="K29" i="7" s="1"/>
  <c r="E29" i="2"/>
  <c r="G29" i="2" s="1"/>
  <c r="K29" i="2" s="1"/>
  <c r="E28" i="13"/>
  <c r="G28" i="13" s="1"/>
  <c r="E28" i="12"/>
  <c r="G28" i="12" s="1"/>
  <c r="E28" i="19"/>
  <c r="G28" i="19" s="1"/>
  <c r="K28" i="19" s="1"/>
  <c r="E28" i="18"/>
  <c r="G28" i="18" s="1"/>
  <c r="E28" i="2"/>
  <c r="G28" i="2" s="1"/>
  <c r="K28" i="2" s="1"/>
  <c r="E28" i="9"/>
  <c r="G28" i="9" s="1"/>
  <c r="K28" i="9" s="1"/>
  <c r="E29" i="17"/>
  <c r="G29" i="17" s="1"/>
  <c r="K29" i="17" s="1"/>
  <c r="E29" i="15"/>
  <c r="G29" i="15" s="1"/>
  <c r="K29" i="15" s="1"/>
  <c r="E29" i="19"/>
  <c r="G29" i="19" s="1"/>
  <c r="K29" i="19" s="1"/>
  <c r="E29" i="18"/>
  <c r="G29" i="18" s="1"/>
  <c r="K29" i="18" s="1"/>
  <c r="E23" i="8"/>
  <c r="G23" i="8" s="1"/>
  <c r="K23" i="8" s="1"/>
  <c r="E23" i="11"/>
  <c r="G23" i="11" s="1"/>
  <c r="K23" i="11" s="1"/>
  <c r="E23" i="19"/>
  <c r="G23" i="19" s="1"/>
  <c r="K23" i="19" s="1"/>
  <c r="E25" i="10"/>
  <c r="G25" i="10" s="1"/>
  <c r="E25" i="12"/>
  <c r="G25" i="12" s="1"/>
  <c r="K25" i="12" s="1"/>
  <c r="E25" i="18"/>
  <c r="G25" i="18" s="1"/>
  <c r="K25" i="18" s="1"/>
  <c r="E25" i="15"/>
  <c r="G25" i="15" s="1"/>
  <c r="K25" i="15" s="1"/>
  <c r="E23" i="17"/>
  <c r="G23" i="17" s="1"/>
  <c r="K23" i="17" s="1"/>
  <c r="E23" i="13"/>
  <c r="G23" i="13" s="1"/>
  <c r="E26" i="14"/>
  <c r="G26" i="14" s="1"/>
  <c r="K26" i="14" s="1"/>
  <c r="E26" i="16"/>
  <c r="G26" i="16" s="1"/>
  <c r="K26" i="16" s="1"/>
  <c r="E26" i="15"/>
  <c r="G26" i="15" s="1"/>
  <c r="K26" i="15" s="1"/>
  <c r="E26" i="17"/>
  <c r="G26" i="17" s="1"/>
  <c r="K26" i="17" s="1"/>
  <c r="E26" i="12"/>
  <c r="G26" i="12" s="1"/>
  <c r="K26" i="12" s="1"/>
  <c r="E26" i="11"/>
  <c r="G26" i="11" s="1"/>
  <c r="K26" i="11" s="1"/>
  <c r="E26" i="13"/>
  <c r="G26" i="13" s="1"/>
  <c r="K26" i="13" s="1"/>
  <c r="E26" i="19"/>
  <c r="G26" i="19" s="1"/>
  <c r="K26" i="19" s="1"/>
  <c r="E26" i="10"/>
  <c r="G26" i="10" s="1"/>
  <c r="K26" i="10" s="1"/>
  <c r="E26" i="18"/>
  <c r="E26" i="2"/>
  <c r="G26" i="2" s="1"/>
  <c r="K26" i="2" s="1"/>
  <c r="E26" i="8"/>
  <c r="G26" i="8" s="1"/>
  <c r="E26" i="9"/>
  <c r="G26" i="9" s="1"/>
  <c r="K26" i="9" s="1"/>
  <c r="E24" i="7"/>
  <c r="G24" i="7" s="1"/>
  <c r="K24" i="7" s="1"/>
  <c r="E24" i="9"/>
  <c r="G24" i="9" s="1"/>
  <c r="K24" i="9" s="1"/>
  <c r="E24" i="11"/>
  <c r="G24" i="11" s="1"/>
  <c r="E24" i="10"/>
  <c r="G24" i="10" s="1"/>
  <c r="K24" i="10" s="1"/>
  <c r="E24" i="19"/>
  <c r="G24" i="19" s="1"/>
  <c r="K24" i="19" s="1"/>
  <c r="E24" i="17"/>
  <c r="G24" i="17" s="1"/>
  <c r="K24" i="17" s="1"/>
  <c r="E24" i="16"/>
  <c r="G24" i="16" s="1"/>
  <c r="K24" i="16" s="1"/>
  <c r="E24" i="18"/>
  <c r="G24" i="18" s="1"/>
  <c r="K24" i="18" s="1"/>
  <c r="E24" i="15"/>
  <c r="G24" i="15" s="1"/>
  <c r="K24" i="15" s="1"/>
  <c r="E24" i="14"/>
  <c r="G24" i="14" s="1"/>
  <c r="K24" i="14" s="1"/>
  <c r="E24" i="13"/>
  <c r="G24" i="13" s="1"/>
  <c r="K24" i="13" s="1"/>
  <c r="E24" i="12"/>
  <c r="G24" i="12" s="1"/>
  <c r="K24" i="12" s="1"/>
  <c r="E24" i="2"/>
  <c r="G24" i="2" s="1"/>
  <c r="K24" i="2" s="1"/>
  <c r="E22" i="16"/>
  <c r="G22" i="16" s="1"/>
  <c r="K22" i="16" s="1"/>
  <c r="E22" i="7"/>
  <c r="G22" i="7" s="1"/>
  <c r="K22" i="7" s="1"/>
  <c r="E22" i="13"/>
  <c r="G22" i="13" s="1"/>
  <c r="K22" i="13" s="1"/>
  <c r="E22" i="19"/>
  <c r="G22" i="19" s="1"/>
  <c r="K22" i="19" s="1"/>
  <c r="E22" i="8"/>
  <c r="G22" i="8" s="1"/>
  <c r="K22" i="8" s="1"/>
  <c r="E22" i="15"/>
  <c r="G22" i="15" s="1"/>
  <c r="K22" i="15" s="1"/>
  <c r="E22" i="10"/>
  <c r="G22" i="10" s="1"/>
  <c r="K22" i="10" s="1"/>
  <c r="E22" i="14"/>
  <c r="G22" i="14" s="1"/>
  <c r="K22" i="14" s="1"/>
  <c r="E22" i="18"/>
  <c r="G22" i="18" s="1"/>
  <c r="K22" i="18" s="1"/>
  <c r="E22" i="9"/>
  <c r="G22" i="9" s="1"/>
  <c r="K22" i="9" s="1"/>
  <c r="E22" i="2"/>
  <c r="G22" i="2" s="1"/>
  <c r="K22" i="2" s="1"/>
  <c r="E22" i="11"/>
  <c r="G22" i="11" s="1"/>
  <c r="K22" i="11" s="1"/>
  <c r="E22" i="12"/>
  <c r="G22" i="12" s="1"/>
  <c r="K22" i="12" s="1"/>
  <c r="D46" i="20"/>
  <c r="J18" i="18" s="1"/>
  <c r="D50" i="20"/>
  <c r="D54" i="20"/>
  <c r="G26" i="18" l="1"/>
  <c r="K26" i="18" s="1"/>
  <c r="J20" i="18"/>
  <c r="J20" i="10"/>
  <c r="J20" i="16"/>
  <c r="J20" i="9"/>
  <c r="J20" i="15"/>
  <c r="J20" i="7"/>
  <c r="J20" i="13"/>
  <c r="J18" i="13"/>
  <c r="J18" i="7"/>
  <c r="J18" i="15"/>
  <c r="J18" i="9"/>
  <c r="J18" i="16"/>
  <c r="J19" i="15"/>
  <c r="J19" i="7"/>
  <c r="J19" i="10"/>
  <c r="J19" i="9"/>
  <c r="J19" i="13"/>
  <c r="J19" i="18"/>
  <c r="J19" i="16"/>
  <c r="J18" i="10"/>
  <c r="S18" i="1"/>
  <c r="I18" i="16" s="1"/>
  <c r="D42" i="20" l="1"/>
  <c r="D38" i="20" l="1"/>
  <c r="D34" i="20" l="1"/>
  <c r="J15" i="15" s="1"/>
  <c r="P11" i="1" l="1"/>
  <c r="O11" i="1"/>
  <c r="N11" i="1"/>
  <c r="M5" i="1"/>
  <c r="M6" i="1"/>
  <c r="M7" i="1"/>
  <c r="M8" i="1"/>
  <c r="M9" i="1"/>
  <c r="M10" i="1"/>
  <c r="M11" i="1"/>
  <c r="M12" i="1"/>
  <c r="M13" i="1"/>
  <c r="M14" i="1"/>
  <c r="M15" i="1"/>
  <c r="F15" i="2" s="1"/>
  <c r="M16" i="1"/>
  <c r="M17" i="1"/>
  <c r="M18" i="1"/>
  <c r="M21" i="1"/>
  <c r="F21" i="16" s="1"/>
  <c r="P15" i="1" l="1"/>
  <c r="P16" i="1"/>
  <c r="P17" i="1"/>
  <c r="P18" i="1"/>
  <c r="P19" i="1"/>
  <c r="P20" i="1"/>
  <c r="P21" i="1"/>
  <c r="P14" i="1"/>
  <c r="O15" i="1"/>
  <c r="O16" i="1"/>
  <c r="O17" i="1"/>
  <c r="O18" i="1"/>
  <c r="O19" i="1"/>
  <c r="O20" i="1"/>
  <c r="O21" i="1"/>
  <c r="O14" i="1"/>
  <c r="N15" i="1"/>
  <c r="N16" i="1"/>
  <c r="N17" i="1"/>
  <c r="N18" i="1"/>
  <c r="N19" i="1"/>
  <c r="N20" i="1"/>
  <c r="N21" i="1"/>
  <c r="N14" i="1"/>
  <c r="D5" i="16" l="1"/>
  <c r="P12" i="1"/>
  <c r="P13" i="1"/>
  <c r="O12" i="1"/>
  <c r="O13" i="1"/>
  <c r="O5" i="1"/>
  <c r="O6" i="1"/>
  <c r="O7" i="1"/>
  <c r="O8" i="1"/>
  <c r="O9" i="1"/>
  <c r="O10" i="1"/>
  <c r="N12" i="1"/>
  <c r="N13" i="1"/>
  <c r="N5" i="1"/>
  <c r="N6" i="1"/>
  <c r="N7" i="1"/>
  <c r="N8" i="1"/>
  <c r="N9" i="1"/>
  <c r="N10" i="1"/>
  <c r="J64" i="1"/>
  <c r="J63" i="1"/>
  <c r="J65" i="1"/>
  <c r="D18" i="20" l="1"/>
  <c r="J11" i="16" s="1"/>
  <c r="D22" i="20"/>
  <c r="J12" i="15" s="1"/>
  <c r="D26" i="20"/>
  <c r="J13" i="10" s="1"/>
  <c r="D30" i="20"/>
  <c r="J14" i="18" s="1"/>
  <c r="D14" i="20"/>
  <c r="J10" i="18" s="1"/>
  <c r="J13" i="13" l="1"/>
  <c r="J12" i="7"/>
  <c r="J11" i="9"/>
  <c r="J10" i="10"/>
  <c r="J14" i="10"/>
  <c r="J13" i="15"/>
  <c r="J12" i="16"/>
  <c r="J11" i="18"/>
  <c r="J10" i="13"/>
  <c r="J14" i="13"/>
  <c r="J13" i="7"/>
  <c r="J12" i="9"/>
  <c r="J11" i="10"/>
  <c r="J10" i="15"/>
  <c r="J14" i="15"/>
  <c r="J13" i="16"/>
  <c r="J12" i="18"/>
  <c r="J11" i="13"/>
  <c r="J10" i="7"/>
  <c r="J14" i="7"/>
  <c r="J13" i="9"/>
  <c r="J12" i="10"/>
  <c r="J11" i="15"/>
  <c r="J10" i="16"/>
  <c r="J14" i="16"/>
  <c r="J13" i="18"/>
  <c r="J12" i="13"/>
  <c r="J11" i="7"/>
  <c r="J10" i="9"/>
  <c r="J14" i="9"/>
  <c r="B280" i="37"/>
  <c r="B258" i="37"/>
  <c r="B237" i="37"/>
  <c r="B215" i="37"/>
  <c r="B194" i="37"/>
  <c r="B172" i="37"/>
  <c r="B151" i="37"/>
  <c r="B129" i="37"/>
  <c r="B108" i="37"/>
  <c r="B86" i="37"/>
  <c r="B65" i="37"/>
  <c r="B43" i="37"/>
  <c r="B288" i="37"/>
  <c r="B266" i="37"/>
  <c r="B245" i="37"/>
  <c r="B223" i="37"/>
  <c r="B202" i="37"/>
  <c r="B180" i="37"/>
  <c r="B159" i="37"/>
  <c r="B137" i="37"/>
  <c r="B116" i="37"/>
  <c r="B94" i="37"/>
  <c r="B73" i="37"/>
  <c r="B51" i="37"/>
  <c r="B22" i="37"/>
  <c r="B30" i="37"/>
  <c r="B9" i="37"/>
  <c r="B1" i="37"/>
  <c r="S3" i="1" l="1"/>
  <c r="P3" i="1"/>
  <c r="O3" i="1"/>
  <c r="L3" i="1"/>
  <c r="D10" i="20"/>
  <c r="J9" i="18" s="1"/>
  <c r="J9" i="10" l="1"/>
  <c r="J9" i="13"/>
  <c r="J9" i="15"/>
  <c r="J9" i="7"/>
  <c r="J9" i="16"/>
  <c r="J9" i="9"/>
  <c r="I5" i="19" l="1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D6" i="20"/>
  <c r="N3" i="1"/>
  <c r="R5" i="1" l="1"/>
  <c r="H5" i="7" s="1"/>
  <c r="R6" i="1"/>
  <c r="H6" i="7" s="1"/>
  <c r="R7" i="1"/>
  <c r="H7" i="2" s="1"/>
  <c r="R8" i="1"/>
  <c r="H8" i="8" s="1"/>
  <c r="R10" i="1"/>
  <c r="H10" i="7" s="1"/>
  <c r="R11" i="1"/>
  <c r="R12" i="1"/>
  <c r="H12" i="2" s="1"/>
  <c r="R13" i="1"/>
  <c r="H13" i="9" s="1"/>
  <c r="R14" i="1"/>
  <c r="H14" i="7" s="1"/>
  <c r="R15" i="1"/>
  <c r="H15" i="7" s="1"/>
  <c r="R16" i="1"/>
  <c r="H16" i="8" s="1"/>
  <c r="R17" i="1"/>
  <c r="H17" i="2" s="1"/>
  <c r="R18" i="1"/>
  <c r="H18" i="7" s="1"/>
  <c r="R19" i="1"/>
  <c r="H19" i="8" s="1"/>
  <c r="R20" i="1"/>
  <c r="H20" i="2" s="1"/>
  <c r="R21" i="1"/>
  <c r="F5" i="19"/>
  <c r="F6" i="13"/>
  <c r="F7" i="13"/>
  <c r="F9" i="14"/>
  <c r="F10" i="9"/>
  <c r="F12" i="12"/>
  <c r="F13" i="7"/>
  <c r="F14" i="16"/>
  <c r="F15" i="16"/>
  <c r="F17" i="18"/>
  <c r="F18" i="14"/>
  <c r="F19" i="7"/>
  <c r="F20" i="12"/>
  <c r="F21" i="7"/>
  <c r="D5" i="19"/>
  <c r="D5" i="18"/>
  <c r="D5" i="17"/>
  <c r="D5" i="15"/>
  <c r="D5" i="14"/>
  <c r="D5" i="13"/>
  <c r="D5" i="12"/>
  <c r="D5" i="11"/>
  <c r="D5" i="10"/>
  <c r="D5" i="9"/>
  <c r="D5" i="8"/>
  <c r="D5" i="7"/>
  <c r="D5" i="2"/>
  <c r="G5" i="1"/>
  <c r="D5" i="1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C21" i="19"/>
  <c r="D21" i="19" s="1"/>
  <c r="C20" i="19"/>
  <c r="D20" i="19" s="1"/>
  <c r="C19" i="19"/>
  <c r="D19" i="19" s="1"/>
  <c r="C18" i="19"/>
  <c r="D18" i="19" s="1"/>
  <c r="C17" i="19"/>
  <c r="D17" i="19" s="1"/>
  <c r="C16" i="19"/>
  <c r="D16" i="19" s="1"/>
  <c r="C15" i="19"/>
  <c r="D15" i="19" s="1"/>
  <c r="C14" i="19"/>
  <c r="D14" i="19" s="1"/>
  <c r="C13" i="19"/>
  <c r="D13" i="19" s="1"/>
  <c r="C12" i="19"/>
  <c r="D12" i="19" s="1"/>
  <c r="C11" i="19"/>
  <c r="D11" i="19" s="1"/>
  <c r="C10" i="19"/>
  <c r="D10" i="19" s="1"/>
  <c r="C9" i="19"/>
  <c r="D9" i="19" s="1"/>
  <c r="C8" i="19"/>
  <c r="D8" i="19" s="1"/>
  <c r="C7" i="19"/>
  <c r="D7" i="19" s="1"/>
  <c r="C6" i="19"/>
  <c r="D6" i="19" s="1"/>
  <c r="C21" i="18"/>
  <c r="D21" i="18" s="1"/>
  <c r="C20" i="18"/>
  <c r="D20" i="18" s="1"/>
  <c r="C19" i="18"/>
  <c r="D19" i="18" s="1"/>
  <c r="C18" i="18"/>
  <c r="D18" i="18" s="1"/>
  <c r="C17" i="18"/>
  <c r="D17" i="18" s="1"/>
  <c r="C16" i="18"/>
  <c r="D16" i="18" s="1"/>
  <c r="C15" i="18"/>
  <c r="D15" i="18" s="1"/>
  <c r="C14" i="18"/>
  <c r="D14" i="18" s="1"/>
  <c r="C13" i="18"/>
  <c r="D13" i="18" s="1"/>
  <c r="C12" i="18"/>
  <c r="D12" i="18" s="1"/>
  <c r="C11" i="18"/>
  <c r="D11" i="18" s="1"/>
  <c r="C10" i="18"/>
  <c r="D10" i="18" s="1"/>
  <c r="C9" i="18"/>
  <c r="D9" i="18" s="1"/>
  <c r="C8" i="18"/>
  <c r="D8" i="18" s="1"/>
  <c r="C7" i="18"/>
  <c r="D7" i="18" s="1"/>
  <c r="C6" i="18"/>
  <c r="D6" i="18" s="1"/>
  <c r="C21" i="17"/>
  <c r="D21" i="17" s="1"/>
  <c r="C20" i="17"/>
  <c r="D20" i="17" s="1"/>
  <c r="C19" i="17"/>
  <c r="D19" i="17" s="1"/>
  <c r="C18" i="17"/>
  <c r="D18" i="17" s="1"/>
  <c r="C17" i="17"/>
  <c r="D17" i="17" s="1"/>
  <c r="C16" i="17"/>
  <c r="D16" i="17" s="1"/>
  <c r="C15" i="17"/>
  <c r="D15" i="17" s="1"/>
  <c r="C14" i="17"/>
  <c r="D14" i="17" s="1"/>
  <c r="C13" i="17"/>
  <c r="D13" i="17" s="1"/>
  <c r="C12" i="17"/>
  <c r="D12" i="17" s="1"/>
  <c r="C11" i="17"/>
  <c r="D11" i="17" s="1"/>
  <c r="C10" i="17"/>
  <c r="D10" i="17" s="1"/>
  <c r="C9" i="17"/>
  <c r="D9" i="17" s="1"/>
  <c r="C8" i="17"/>
  <c r="D8" i="17" s="1"/>
  <c r="C7" i="17"/>
  <c r="D7" i="17" s="1"/>
  <c r="C6" i="17"/>
  <c r="D6" i="17" s="1"/>
  <c r="C20" i="16"/>
  <c r="D20" i="16" s="1"/>
  <c r="C19" i="16"/>
  <c r="D19" i="16" s="1"/>
  <c r="C18" i="16"/>
  <c r="D18" i="16" s="1"/>
  <c r="C17" i="16"/>
  <c r="D17" i="16" s="1"/>
  <c r="C16" i="16"/>
  <c r="D16" i="16" s="1"/>
  <c r="C15" i="16"/>
  <c r="D15" i="16" s="1"/>
  <c r="C14" i="16"/>
  <c r="D14" i="16" s="1"/>
  <c r="C13" i="16"/>
  <c r="D13" i="16" s="1"/>
  <c r="C12" i="16"/>
  <c r="D12" i="16" s="1"/>
  <c r="C11" i="16"/>
  <c r="D11" i="16" s="1"/>
  <c r="C10" i="16"/>
  <c r="D10" i="16" s="1"/>
  <c r="C9" i="16"/>
  <c r="D9" i="16" s="1"/>
  <c r="C8" i="16"/>
  <c r="D8" i="16" s="1"/>
  <c r="C7" i="16"/>
  <c r="D7" i="16" s="1"/>
  <c r="C6" i="16"/>
  <c r="D6" i="16" s="1"/>
  <c r="C21" i="15"/>
  <c r="D21" i="15" s="1"/>
  <c r="C20" i="15"/>
  <c r="D20" i="15" s="1"/>
  <c r="C19" i="15"/>
  <c r="D19" i="15" s="1"/>
  <c r="C18" i="15"/>
  <c r="D18" i="15" s="1"/>
  <c r="C17" i="15"/>
  <c r="D17" i="15" s="1"/>
  <c r="C16" i="15"/>
  <c r="D16" i="15" s="1"/>
  <c r="C15" i="15"/>
  <c r="D15" i="15" s="1"/>
  <c r="C14" i="15"/>
  <c r="D14" i="15" s="1"/>
  <c r="C13" i="15"/>
  <c r="D13" i="15" s="1"/>
  <c r="C12" i="15"/>
  <c r="D12" i="15" s="1"/>
  <c r="C11" i="15"/>
  <c r="D11" i="15" s="1"/>
  <c r="C10" i="15"/>
  <c r="D10" i="15" s="1"/>
  <c r="C9" i="15"/>
  <c r="D9" i="15" s="1"/>
  <c r="D8" i="15"/>
  <c r="C7" i="15"/>
  <c r="D7" i="15" s="1"/>
  <c r="C6" i="15"/>
  <c r="D6" i="15" s="1"/>
  <c r="C21" i="14"/>
  <c r="D21" i="14" s="1"/>
  <c r="C20" i="14"/>
  <c r="D20" i="14" s="1"/>
  <c r="C19" i="14"/>
  <c r="D19" i="14" s="1"/>
  <c r="C18" i="14"/>
  <c r="D18" i="14" s="1"/>
  <c r="C17" i="14"/>
  <c r="D17" i="14" s="1"/>
  <c r="C16" i="14"/>
  <c r="D16" i="14" s="1"/>
  <c r="C15" i="14"/>
  <c r="D15" i="14" s="1"/>
  <c r="C14" i="14"/>
  <c r="D14" i="14" s="1"/>
  <c r="C13" i="14"/>
  <c r="D13" i="14" s="1"/>
  <c r="C12" i="14"/>
  <c r="D12" i="14" s="1"/>
  <c r="C11" i="14"/>
  <c r="D11" i="14" s="1"/>
  <c r="C10" i="14"/>
  <c r="D10" i="14" s="1"/>
  <c r="C9" i="14"/>
  <c r="D9" i="14" s="1"/>
  <c r="C8" i="14"/>
  <c r="D8" i="14" s="1"/>
  <c r="C7" i="14"/>
  <c r="D7" i="14" s="1"/>
  <c r="C6" i="14"/>
  <c r="D6" i="14" s="1"/>
  <c r="C21" i="13"/>
  <c r="D21" i="13" s="1"/>
  <c r="C20" i="13"/>
  <c r="D20" i="13" s="1"/>
  <c r="C19" i="13"/>
  <c r="D19" i="13" s="1"/>
  <c r="C18" i="13"/>
  <c r="D18" i="13" s="1"/>
  <c r="C17" i="13"/>
  <c r="D17" i="13" s="1"/>
  <c r="C16" i="13"/>
  <c r="D16" i="13" s="1"/>
  <c r="C15" i="13"/>
  <c r="D15" i="13" s="1"/>
  <c r="C14" i="13"/>
  <c r="D14" i="13" s="1"/>
  <c r="C13" i="13"/>
  <c r="D13" i="13" s="1"/>
  <c r="C12" i="13"/>
  <c r="D12" i="13" s="1"/>
  <c r="C11" i="13"/>
  <c r="D11" i="13" s="1"/>
  <c r="C10" i="13"/>
  <c r="D10" i="13" s="1"/>
  <c r="C9" i="13"/>
  <c r="D9" i="13" s="1"/>
  <c r="C8" i="13"/>
  <c r="D8" i="13" s="1"/>
  <c r="C7" i="13"/>
  <c r="D7" i="13" s="1"/>
  <c r="C6" i="13"/>
  <c r="D6" i="13" s="1"/>
  <c r="C21" i="12"/>
  <c r="D21" i="12" s="1"/>
  <c r="C20" i="12"/>
  <c r="D20" i="12" s="1"/>
  <c r="C19" i="12"/>
  <c r="D19" i="12" s="1"/>
  <c r="C18" i="12"/>
  <c r="D18" i="12" s="1"/>
  <c r="C17" i="12"/>
  <c r="D17" i="12" s="1"/>
  <c r="C16" i="12"/>
  <c r="D16" i="12" s="1"/>
  <c r="C15" i="12"/>
  <c r="D15" i="12" s="1"/>
  <c r="C14" i="12"/>
  <c r="D14" i="12" s="1"/>
  <c r="C13" i="12"/>
  <c r="D13" i="12" s="1"/>
  <c r="C12" i="12"/>
  <c r="D12" i="12" s="1"/>
  <c r="C11" i="12"/>
  <c r="D11" i="12" s="1"/>
  <c r="C10" i="12"/>
  <c r="D10" i="12" s="1"/>
  <c r="C9" i="12"/>
  <c r="D9" i="12" s="1"/>
  <c r="C8" i="12"/>
  <c r="D8" i="12" s="1"/>
  <c r="C7" i="12"/>
  <c r="D7" i="12" s="1"/>
  <c r="C6" i="12"/>
  <c r="D6" i="12" s="1"/>
  <c r="C21" i="11"/>
  <c r="D21" i="11" s="1"/>
  <c r="C20" i="11"/>
  <c r="D20" i="11" s="1"/>
  <c r="C19" i="11"/>
  <c r="D19" i="11" s="1"/>
  <c r="C18" i="11"/>
  <c r="D18" i="11" s="1"/>
  <c r="C17" i="11"/>
  <c r="D17" i="11" s="1"/>
  <c r="C16" i="11"/>
  <c r="D16" i="11" s="1"/>
  <c r="C15" i="11"/>
  <c r="D15" i="11" s="1"/>
  <c r="C14" i="11"/>
  <c r="D14" i="11" s="1"/>
  <c r="C13" i="11"/>
  <c r="D13" i="11" s="1"/>
  <c r="C12" i="11"/>
  <c r="D12" i="11" s="1"/>
  <c r="C11" i="11"/>
  <c r="D11" i="11" s="1"/>
  <c r="C10" i="11"/>
  <c r="D10" i="11" s="1"/>
  <c r="C9" i="11"/>
  <c r="D9" i="11" s="1"/>
  <c r="C8" i="11"/>
  <c r="D8" i="11" s="1"/>
  <c r="C7" i="11"/>
  <c r="D7" i="11" s="1"/>
  <c r="C6" i="11"/>
  <c r="D6" i="11" s="1"/>
  <c r="C21" i="10"/>
  <c r="D21" i="10" s="1"/>
  <c r="C20" i="10"/>
  <c r="D20" i="10" s="1"/>
  <c r="C19" i="10"/>
  <c r="D19" i="10" s="1"/>
  <c r="C18" i="10"/>
  <c r="D18" i="10" s="1"/>
  <c r="C17" i="10"/>
  <c r="D17" i="10" s="1"/>
  <c r="C16" i="10"/>
  <c r="D16" i="10" s="1"/>
  <c r="C15" i="10"/>
  <c r="D15" i="10" s="1"/>
  <c r="C14" i="10"/>
  <c r="D14" i="10" s="1"/>
  <c r="C13" i="10"/>
  <c r="D13" i="10" s="1"/>
  <c r="C12" i="10"/>
  <c r="D12" i="10" s="1"/>
  <c r="C11" i="10"/>
  <c r="D11" i="10" s="1"/>
  <c r="C10" i="10"/>
  <c r="D10" i="10" s="1"/>
  <c r="C9" i="10"/>
  <c r="D9" i="10" s="1"/>
  <c r="C8" i="10"/>
  <c r="D8" i="10" s="1"/>
  <c r="C7" i="10"/>
  <c r="D7" i="10" s="1"/>
  <c r="C6" i="10"/>
  <c r="D6" i="10" s="1"/>
  <c r="C21" i="9"/>
  <c r="D21" i="9" s="1"/>
  <c r="C20" i="9"/>
  <c r="D20" i="9" s="1"/>
  <c r="C19" i="9"/>
  <c r="D19" i="9" s="1"/>
  <c r="C18" i="9"/>
  <c r="D18" i="9" s="1"/>
  <c r="C17" i="9"/>
  <c r="D17" i="9" s="1"/>
  <c r="C16" i="9"/>
  <c r="D16" i="9" s="1"/>
  <c r="C15" i="9"/>
  <c r="D15" i="9" s="1"/>
  <c r="C14" i="9"/>
  <c r="D14" i="9" s="1"/>
  <c r="C13" i="9"/>
  <c r="D13" i="9" s="1"/>
  <c r="C12" i="9"/>
  <c r="D12" i="9" s="1"/>
  <c r="C11" i="9"/>
  <c r="D11" i="9" s="1"/>
  <c r="C10" i="9"/>
  <c r="D10" i="9" s="1"/>
  <c r="C9" i="9"/>
  <c r="D9" i="9" s="1"/>
  <c r="C8" i="9"/>
  <c r="D8" i="9" s="1"/>
  <c r="C7" i="9"/>
  <c r="D7" i="9" s="1"/>
  <c r="C6" i="9"/>
  <c r="D6" i="9" s="1"/>
  <c r="C21" i="8"/>
  <c r="D21" i="8" s="1"/>
  <c r="C20" i="8"/>
  <c r="D20" i="8" s="1"/>
  <c r="C19" i="8"/>
  <c r="D19" i="8" s="1"/>
  <c r="C18" i="8"/>
  <c r="D18" i="8" s="1"/>
  <c r="C17" i="8"/>
  <c r="D17" i="8" s="1"/>
  <c r="C16" i="8"/>
  <c r="D16" i="8" s="1"/>
  <c r="C15" i="8"/>
  <c r="D15" i="8" s="1"/>
  <c r="C14" i="8"/>
  <c r="D14" i="8" s="1"/>
  <c r="C13" i="8"/>
  <c r="D13" i="8" s="1"/>
  <c r="C12" i="8"/>
  <c r="D12" i="8" s="1"/>
  <c r="C11" i="8"/>
  <c r="D11" i="8" s="1"/>
  <c r="C10" i="8"/>
  <c r="D10" i="8" s="1"/>
  <c r="C9" i="8"/>
  <c r="D9" i="8" s="1"/>
  <c r="C8" i="8"/>
  <c r="D8" i="8" s="1"/>
  <c r="C7" i="8"/>
  <c r="D7" i="8" s="1"/>
  <c r="C6" i="8"/>
  <c r="D6" i="8" s="1"/>
  <c r="C21" i="7"/>
  <c r="D21" i="7" s="1"/>
  <c r="C20" i="7"/>
  <c r="D20" i="7" s="1"/>
  <c r="C19" i="7"/>
  <c r="D19" i="7" s="1"/>
  <c r="C18" i="7"/>
  <c r="D18" i="7" s="1"/>
  <c r="C17" i="7"/>
  <c r="D17" i="7" s="1"/>
  <c r="C16" i="7"/>
  <c r="D16" i="7" s="1"/>
  <c r="C15" i="7"/>
  <c r="D15" i="7" s="1"/>
  <c r="C14" i="7"/>
  <c r="D14" i="7" s="1"/>
  <c r="C13" i="7"/>
  <c r="D13" i="7" s="1"/>
  <c r="C12" i="7"/>
  <c r="D12" i="7" s="1"/>
  <c r="C11" i="7"/>
  <c r="D11" i="7" s="1"/>
  <c r="C10" i="7"/>
  <c r="D10" i="7" s="1"/>
  <c r="C9" i="7"/>
  <c r="D9" i="7" s="1"/>
  <c r="C8" i="7"/>
  <c r="D8" i="7" s="1"/>
  <c r="C7" i="7"/>
  <c r="D7" i="7" s="1"/>
  <c r="C6" i="7"/>
  <c r="D6" i="7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6" i="1"/>
  <c r="G6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L3" i="8" l="1"/>
  <c r="H21" i="9"/>
  <c r="H21" i="16"/>
  <c r="J3" i="13"/>
  <c r="F11" i="7"/>
  <c r="D3" i="9"/>
  <c r="D3" i="10"/>
  <c r="D3" i="11"/>
  <c r="D3" i="12"/>
  <c r="D3" i="13"/>
  <c r="D3" i="14"/>
  <c r="D3" i="15"/>
  <c r="D3" i="16"/>
  <c r="D3" i="17"/>
  <c r="D3" i="18"/>
  <c r="D3" i="19"/>
  <c r="I3" i="15"/>
  <c r="D10" i="48" s="1"/>
  <c r="I3" i="17"/>
  <c r="D10" i="50" s="1"/>
  <c r="D3" i="7"/>
  <c r="D3" i="8"/>
  <c r="I3" i="7"/>
  <c r="D10" i="40" s="1"/>
  <c r="I3" i="11"/>
  <c r="D10" i="44" s="1"/>
  <c r="I3" i="14"/>
  <c r="D10" i="47" s="1"/>
  <c r="H11" i="2"/>
  <c r="H11" i="16"/>
  <c r="C3" i="9"/>
  <c r="B3" i="9"/>
  <c r="D70" i="37" s="1"/>
  <c r="J3" i="9"/>
  <c r="C3" i="13"/>
  <c r="B3" i="13"/>
  <c r="D156" i="37" s="1"/>
  <c r="C3" i="17"/>
  <c r="B3" i="17"/>
  <c r="D242" i="37" s="1"/>
  <c r="J3" i="17"/>
  <c r="I3" i="13"/>
  <c r="D10" i="46" s="1"/>
  <c r="C3" i="12"/>
  <c r="B3" i="12"/>
  <c r="D134" i="37" s="1"/>
  <c r="J3" i="12"/>
  <c r="C3" i="16"/>
  <c r="B3" i="16"/>
  <c r="D220" i="37" s="1"/>
  <c r="J3" i="16"/>
  <c r="B3" i="2"/>
  <c r="D6" i="37" s="1"/>
  <c r="C3" i="2"/>
  <c r="J3" i="2"/>
  <c r="C3" i="10"/>
  <c r="B3" i="10"/>
  <c r="D91" i="37" s="1"/>
  <c r="J3" i="10"/>
  <c r="C3" i="14"/>
  <c r="B3" i="14"/>
  <c r="D177" i="37" s="1"/>
  <c r="J3" i="14"/>
  <c r="C3" i="18"/>
  <c r="B3" i="18"/>
  <c r="D263" i="37" s="1"/>
  <c r="J3" i="18"/>
  <c r="I3" i="16"/>
  <c r="D10" i="49" s="1"/>
  <c r="I3" i="10"/>
  <c r="D10" i="43" s="1"/>
  <c r="I3" i="9"/>
  <c r="D10" i="42" s="1"/>
  <c r="C3" i="8"/>
  <c r="B3" i="8"/>
  <c r="D48" i="37" s="1"/>
  <c r="J3" i="8"/>
  <c r="I3" i="8"/>
  <c r="D10" i="41" s="1"/>
  <c r="D3" i="2"/>
  <c r="C3" i="7"/>
  <c r="B3" i="7"/>
  <c r="D27" i="37" s="1"/>
  <c r="J3" i="7"/>
  <c r="C3" i="11"/>
  <c r="B3" i="11"/>
  <c r="D113" i="37" s="1"/>
  <c r="J3" i="11"/>
  <c r="C3" i="15"/>
  <c r="B3" i="15"/>
  <c r="D199" i="37" s="1"/>
  <c r="J3" i="15"/>
  <c r="C3" i="19"/>
  <c r="D285" i="37"/>
  <c r="J3" i="19"/>
  <c r="I3" i="12"/>
  <c r="D10" i="45" s="1"/>
  <c r="I3" i="18"/>
  <c r="D10" i="51" s="1"/>
  <c r="I3" i="2"/>
  <c r="F10" i="14"/>
  <c r="M3" i="1"/>
  <c r="R9" i="1"/>
  <c r="H9" i="19" s="1"/>
  <c r="Q3" i="1"/>
  <c r="H14" i="19"/>
  <c r="H10" i="19"/>
  <c r="H17" i="19"/>
  <c r="H18" i="19"/>
  <c r="H13" i="18"/>
  <c r="H21" i="18"/>
  <c r="H7" i="18"/>
  <c r="H6" i="17"/>
  <c r="H15" i="18"/>
  <c r="H6" i="19"/>
  <c r="H7" i="19"/>
  <c r="H15" i="19"/>
  <c r="H14" i="18"/>
  <c r="H8" i="19"/>
  <c r="H16" i="19"/>
  <c r="H11" i="19"/>
  <c r="H19" i="19"/>
  <c r="H5" i="18"/>
  <c r="H12" i="19"/>
  <c r="H20" i="19"/>
  <c r="H6" i="18"/>
  <c r="H5" i="19"/>
  <c r="H13" i="19"/>
  <c r="H21" i="19"/>
  <c r="H8" i="18"/>
  <c r="H16" i="18"/>
  <c r="H17" i="18"/>
  <c r="H15" i="16"/>
  <c r="H10" i="18"/>
  <c r="H18" i="18"/>
  <c r="H17" i="16"/>
  <c r="H14" i="17"/>
  <c r="H11" i="18"/>
  <c r="H19" i="18"/>
  <c r="H17" i="17"/>
  <c r="H12" i="18"/>
  <c r="H20" i="18"/>
  <c r="H7" i="14"/>
  <c r="H7" i="17"/>
  <c r="H15" i="17"/>
  <c r="H17" i="15"/>
  <c r="H18" i="16"/>
  <c r="H8" i="17"/>
  <c r="H16" i="17"/>
  <c r="H8" i="14"/>
  <c r="H10" i="17"/>
  <c r="H18" i="17"/>
  <c r="H16" i="14"/>
  <c r="H7" i="16"/>
  <c r="H11" i="17"/>
  <c r="H19" i="17"/>
  <c r="H12" i="17"/>
  <c r="H20" i="17"/>
  <c r="H15" i="12"/>
  <c r="H10" i="16"/>
  <c r="H5" i="17"/>
  <c r="H13" i="17"/>
  <c r="H21" i="17"/>
  <c r="H14" i="15"/>
  <c r="H6" i="16"/>
  <c r="H14" i="16"/>
  <c r="H16" i="13"/>
  <c r="H10" i="15"/>
  <c r="H13" i="15"/>
  <c r="H8" i="16"/>
  <c r="H16" i="16"/>
  <c r="H5" i="12"/>
  <c r="H18" i="15"/>
  <c r="H19" i="16"/>
  <c r="H5" i="15"/>
  <c r="H21" i="15"/>
  <c r="H12" i="16"/>
  <c r="H20" i="16"/>
  <c r="H6" i="15"/>
  <c r="H5" i="16"/>
  <c r="H13" i="16"/>
  <c r="H15" i="13"/>
  <c r="H15" i="14"/>
  <c r="H7" i="15"/>
  <c r="H15" i="15"/>
  <c r="H17" i="14"/>
  <c r="H8" i="15"/>
  <c r="H16" i="15"/>
  <c r="H11" i="15"/>
  <c r="H19" i="15"/>
  <c r="H12" i="15"/>
  <c r="H20" i="15"/>
  <c r="H7" i="13"/>
  <c r="H6" i="14"/>
  <c r="H13" i="12"/>
  <c r="H21" i="12"/>
  <c r="H10" i="14"/>
  <c r="H18" i="14"/>
  <c r="H6" i="13"/>
  <c r="H11" i="14"/>
  <c r="H19" i="14"/>
  <c r="H14" i="13"/>
  <c r="H12" i="14"/>
  <c r="H20" i="14"/>
  <c r="H14" i="14"/>
  <c r="H8" i="13"/>
  <c r="H5" i="14"/>
  <c r="H13" i="14"/>
  <c r="H21" i="14"/>
  <c r="H6" i="11"/>
  <c r="H6" i="12"/>
  <c r="H17" i="13"/>
  <c r="H16" i="11"/>
  <c r="H7" i="12"/>
  <c r="H10" i="13"/>
  <c r="H18" i="13"/>
  <c r="H11" i="13"/>
  <c r="H14" i="12"/>
  <c r="H12" i="13"/>
  <c r="H20" i="13"/>
  <c r="H19" i="13"/>
  <c r="H13" i="8"/>
  <c r="H5" i="13"/>
  <c r="H13" i="13"/>
  <c r="H21" i="13"/>
  <c r="H18" i="9"/>
  <c r="H8" i="12"/>
  <c r="H16" i="12"/>
  <c r="H17" i="12"/>
  <c r="H7" i="11"/>
  <c r="H10" i="12"/>
  <c r="H18" i="12"/>
  <c r="H14" i="10"/>
  <c r="H8" i="11"/>
  <c r="H11" i="12"/>
  <c r="H19" i="12"/>
  <c r="H15" i="10"/>
  <c r="H14" i="11"/>
  <c r="H12" i="12"/>
  <c r="H20" i="12"/>
  <c r="H10" i="8"/>
  <c r="H15" i="11"/>
  <c r="H17" i="11"/>
  <c r="H10" i="11"/>
  <c r="H18" i="11"/>
  <c r="H18" i="10"/>
  <c r="H6" i="10"/>
  <c r="H11" i="11"/>
  <c r="H19" i="11"/>
  <c r="H7" i="9"/>
  <c r="H7" i="10"/>
  <c r="H12" i="11"/>
  <c r="H20" i="11"/>
  <c r="H10" i="9"/>
  <c r="H10" i="10"/>
  <c r="H5" i="11"/>
  <c r="H13" i="11"/>
  <c r="H21" i="11"/>
  <c r="H14" i="9"/>
  <c r="H8" i="10"/>
  <c r="H16" i="10"/>
  <c r="H15" i="9"/>
  <c r="H17" i="10"/>
  <c r="H21" i="7"/>
  <c r="H11" i="10"/>
  <c r="H19" i="10"/>
  <c r="H6" i="8"/>
  <c r="H12" i="10"/>
  <c r="H20" i="10"/>
  <c r="H6" i="9"/>
  <c r="H5" i="10"/>
  <c r="H13" i="10"/>
  <c r="H21" i="10"/>
  <c r="H17" i="7"/>
  <c r="H15" i="2"/>
  <c r="H8" i="2"/>
  <c r="H14" i="8"/>
  <c r="H17" i="8"/>
  <c r="H11" i="9"/>
  <c r="H19" i="9"/>
  <c r="H8" i="9"/>
  <c r="H16" i="7"/>
  <c r="H8" i="7"/>
  <c r="H18" i="8"/>
  <c r="H12" i="9"/>
  <c r="H20" i="9"/>
  <c r="H16" i="9"/>
  <c r="H17" i="9"/>
  <c r="H13" i="7"/>
  <c r="H5" i="8"/>
  <c r="H21" i="8"/>
  <c r="H5" i="9"/>
  <c r="H20" i="7"/>
  <c r="H12" i="7"/>
  <c r="H19" i="2"/>
  <c r="H19" i="7"/>
  <c r="H11" i="7"/>
  <c r="H7" i="8"/>
  <c r="H15" i="8"/>
  <c r="H16" i="2"/>
  <c r="H7" i="7"/>
  <c r="H11" i="8"/>
  <c r="H12" i="8"/>
  <c r="H20" i="8"/>
  <c r="I15" i="1"/>
  <c r="I14" i="1"/>
  <c r="H18" i="2"/>
  <c r="H10" i="2"/>
  <c r="H14" i="2"/>
  <c r="H6" i="2"/>
  <c r="H21" i="2"/>
  <c r="H13" i="2"/>
  <c r="H5" i="2"/>
  <c r="F21" i="2"/>
  <c r="F18" i="15"/>
  <c r="F20" i="17"/>
  <c r="F12" i="11"/>
  <c r="F18" i="16"/>
  <c r="F20" i="7"/>
  <c r="F14" i="10"/>
  <c r="F13" i="2"/>
  <c r="F19" i="9"/>
  <c r="F13" i="10"/>
  <c r="F10" i="2"/>
  <c r="F18" i="9"/>
  <c r="F21" i="18"/>
  <c r="F19" i="15"/>
  <c r="F21" i="14"/>
  <c r="F19" i="8"/>
  <c r="F19" i="17"/>
  <c r="F13" i="14"/>
  <c r="F18" i="8"/>
  <c r="F19" i="11"/>
  <c r="F11" i="19"/>
  <c r="F14" i="18"/>
  <c r="F18" i="19"/>
  <c r="F15" i="11"/>
  <c r="F21" i="12"/>
  <c r="F14" i="14"/>
  <c r="F13" i="18"/>
  <c r="F13" i="16"/>
  <c r="F21" i="10"/>
  <c r="F14" i="11"/>
  <c r="F18" i="12"/>
  <c r="F9" i="2"/>
  <c r="F15" i="9"/>
  <c r="F15" i="19"/>
  <c r="F9" i="18"/>
  <c r="F15" i="8"/>
  <c r="F17" i="12"/>
  <c r="F15" i="17"/>
  <c r="H5" i="1"/>
  <c r="F20" i="2"/>
  <c r="F10" i="8"/>
  <c r="F11" i="11"/>
  <c r="F13" i="12"/>
  <c r="F10" i="19"/>
  <c r="F14" i="17"/>
  <c r="F17" i="16"/>
  <c r="F15" i="15"/>
  <c r="F18" i="2"/>
  <c r="F17" i="7"/>
  <c r="F6" i="9"/>
  <c r="F10" i="12"/>
  <c r="F11" i="17"/>
  <c r="F10" i="15"/>
  <c r="F20" i="13"/>
  <c r="F17" i="14"/>
  <c r="F17" i="2"/>
  <c r="F9" i="12"/>
  <c r="F10" i="16"/>
  <c r="F15" i="13"/>
  <c r="F14" i="2"/>
  <c r="F17" i="10"/>
  <c r="F9" i="16"/>
  <c r="F14" i="13"/>
  <c r="F16" i="13"/>
  <c r="F16" i="17"/>
  <c r="F16" i="11"/>
  <c r="F16" i="16"/>
  <c r="F16" i="12"/>
  <c r="F16" i="2"/>
  <c r="F8" i="13"/>
  <c r="F8" i="17"/>
  <c r="F8" i="11"/>
  <c r="F8" i="16"/>
  <c r="F8" i="12"/>
  <c r="F8" i="2"/>
  <c r="F8" i="7"/>
  <c r="F16" i="10"/>
  <c r="F8" i="18"/>
  <c r="F20" i="16"/>
  <c r="F16" i="14"/>
  <c r="F16" i="8"/>
  <c r="F16" i="9"/>
  <c r="F8" i="19"/>
  <c r="F16" i="15"/>
  <c r="F12" i="15"/>
  <c r="F12" i="19"/>
  <c r="F12" i="9"/>
  <c r="F12" i="8"/>
  <c r="F12" i="14"/>
  <c r="F12" i="18"/>
  <c r="F12" i="10"/>
  <c r="F19" i="13"/>
  <c r="F19" i="14"/>
  <c r="F19" i="18"/>
  <c r="F19" i="10"/>
  <c r="F19" i="16"/>
  <c r="F19" i="12"/>
  <c r="F19" i="2"/>
  <c r="F11" i="14"/>
  <c r="F11" i="18"/>
  <c r="F11" i="10"/>
  <c r="F11" i="16"/>
  <c r="F11" i="12"/>
  <c r="F11" i="2"/>
  <c r="F12" i="7"/>
  <c r="F11" i="8"/>
  <c r="F11" i="9"/>
  <c r="F9" i="10"/>
  <c r="F19" i="19"/>
  <c r="F11" i="15"/>
  <c r="F12" i="2"/>
  <c r="F8" i="10"/>
  <c r="F16" i="18"/>
  <c r="F12" i="16"/>
  <c r="F8" i="14"/>
  <c r="F12" i="13"/>
  <c r="F20" i="15"/>
  <c r="F20" i="19"/>
  <c r="F20" i="9"/>
  <c r="F20" i="8"/>
  <c r="F20" i="14"/>
  <c r="F20" i="18"/>
  <c r="F20" i="10"/>
  <c r="F16" i="7"/>
  <c r="F17" i="13"/>
  <c r="F17" i="17"/>
  <c r="F17" i="11"/>
  <c r="F17" i="15"/>
  <c r="F17" i="19"/>
  <c r="F17" i="9"/>
  <c r="F17" i="8"/>
  <c r="F9" i="13"/>
  <c r="F9" i="17"/>
  <c r="F9" i="11"/>
  <c r="F9" i="15"/>
  <c r="F9" i="19"/>
  <c r="F9" i="9"/>
  <c r="F9" i="8"/>
  <c r="F9" i="7"/>
  <c r="F8" i="8"/>
  <c r="F8" i="9"/>
  <c r="F20" i="11"/>
  <c r="F16" i="19"/>
  <c r="F12" i="17"/>
  <c r="F8" i="15"/>
  <c r="F11" i="13"/>
  <c r="F18" i="7"/>
  <c r="F10" i="7"/>
  <c r="F15" i="10"/>
  <c r="F21" i="11"/>
  <c r="F13" i="11"/>
  <c r="F15" i="18"/>
  <c r="F21" i="17"/>
  <c r="F13" i="17"/>
  <c r="F15" i="14"/>
  <c r="F21" i="13"/>
  <c r="F13" i="13"/>
  <c r="F15" i="7"/>
  <c r="F7" i="7"/>
  <c r="F14" i="8"/>
  <c r="F7" i="9"/>
  <c r="F14" i="9"/>
  <c r="F18" i="11"/>
  <c r="F10" i="11"/>
  <c r="F14" i="19"/>
  <c r="F18" i="17"/>
  <c r="F10" i="17"/>
  <c r="F14" i="15"/>
  <c r="F18" i="13"/>
  <c r="F10" i="13"/>
  <c r="F7" i="2"/>
  <c r="F14" i="7"/>
  <c r="F21" i="8"/>
  <c r="F13" i="8"/>
  <c r="F21" i="9"/>
  <c r="F13" i="9"/>
  <c r="F15" i="12"/>
  <c r="F21" i="19"/>
  <c r="F13" i="19"/>
  <c r="F21" i="15"/>
  <c r="F13" i="15"/>
  <c r="F18" i="10"/>
  <c r="F10" i="10"/>
  <c r="F3" i="10" s="1"/>
  <c r="F14" i="12"/>
  <c r="F18" i="18"/>
  <c r="F10" i="18"/>
  <c r="F7" i="8"/>
  <c r="F7" i="10"/>
  <c r="F7" i="11"/>
  <c r="F7" i="12"/>
  <c r="F7" i="19"/>
  <c r="F7" i="18"/>
  <c r="F7" i="17"/>
  <c r="F7" i="16"/>
  <c r="F7" i="15"/>
  <c r="F7" i="14"/>
  <c r="F6" i="2"/>
  <c r="F6" i="7"/>
  <c r="F6" i="8"/>
  <c r="F6" i="10"/>
  <c r="F6" i="11"/>
  <c r="F6" i="12"/>
  <c r="F6" i="19"/>
  <c r="F6" i="18"/>
  <c r="F6" i="17"/>
  <c r="F6" i="16"/>
  <c r="F6" i="15"/>
  <c r="F6" i="14"/>
  <c r="F5" i="12"/>
  <c r="F5" i="13"/>
  <c r="F5" i="2"/>
  <c r="F5" i="14"/>
  <c r="F5" i="7"/>
  <c r="F5" i="15"/>
  <c r="F5" i="8"/>
  <c r="F5" i="16"/>
  <c r="F5" i="9"/>
  <c r="F5" i="17"/>
  <c r="F5" i="10"/>
  <c r="F5" i="18"/>
  <c r="F5" i="11"/>
  <c r="I17" i="1"/>
  <c r="I19" i="1"/>
  <c r="I11" i="1"/>
  <c r="I12" i="1"/>
  <c r="I13" i="1"/>
  <c r="I9" i="1"/>
  <c r="I20" i="1"/>
  <c r="I18" i="1"/>
  <c r="I10" i="1"/>
  <c r="I21" i="1"/>
  <c r="I16" i="1"/>
  <c r="H19" i="1"/>
  <c r="H11" i="1"/>
  <c r="I5" i="1"/>
  <c r="I7" i="1"/>
  <c r="I6" i="1"/>
  <c r="I8" i="1"/>
  <c r="H17" i="1"/>
  <c r="H9" i="1"/>
  <c r="H16" i="1"/>
  <c r="H8" i="1"/>
  <c r="H15" i="1"/>
  <c r="H21" i="1"/>
  <c r="H13" i="1"/>
  <c r="H20" i="1"/>
  <c r="H12" i="1"/>
  <c r="H18" i="1"/>
  <c r="H10" i="1"/>
  <c r="H7" i="1"/>
  <c r="H14" i="1"/>
  <c r="H6" i="1"/>
  <c r="K17" i="8" l="1"/>
  <c r="C8" i="43"/>
  <c r="D10" i="39"/>
  <c r="F3" i="9"/>
  <c r="C8" i="42" s="1"/>
  <c r="F3" i="13"/>
  <c r="C8" i="46" s="1"/>
  <c r="F3" i="7"/>
  <c r="C8" i="40" s="1"/>
  <c r="F3" i="18"/>
  <c r="C8" i="51" s="1"/>
  <c r="F3" i="17"/>
  <c r="C8" i="50" s="1"/>
  <c r="F3" i="12"/>
  <c r="C8" i="45" s="1"/>
  <c r="F3" i="16"/>
  <c r="C8" i="49" s="1"/>
  <c r="F3" i="14"/>
  <c r="C8" i="47" s="1"/>
  <c r="F3" i="11"/>
  <c r="C8" i="44" s="1"/>
  <c r="F3" i="19"/>
  <c r="C8" i="52" s="1"/>
  <c r="F3" i="2"/>
  <c r="C8" i="39" s="1"/>
  <c r="F3" i="15"/>
  <c r="C8" i="48" s="1"/>
  <c r="F3" i="8"/>
  <c r="C8" i="41" s="1"/>
  <c r="H3" i="19"/>
  <c r="D9" i="52" s="1"/>
  <c r="H9" i="7"/>
  <c r="H3" i="7" s="1"/>
  <c r="D9" i="40" s="1"/>
  <c r="H9" i="14"/>
  <c r="H9" i="15"/>
  <c r="H9" i="17"/>
  <c r="H9" i="11"/>
  <c r="H9" i="13"/>
  <c r="H9" i="9"/>
  <c r="H9" i="16"/>
  <c r="H9" i="2"/>
  <c r="R3" i="1"/>
  <c r="H9" i="8"/>
  <c r="H9" i="12"/>
  <c r="H9" i="18"/>
  <c r="H9" i="10"/>
  <c r="J19" i="1"/>
  <c r="K19" i="1" s="1"/>
  <c r="E19" i="19" s="1"/>
  <c r="G19" i="19" s="1"/>
  <c r="K19" i="19" s="1"/>
  <c r="J11" i="1"/>
  <c r="K11" i="1" s="1"/>
  <c r="J15" i="1"/>
  <c r="K15" i="1" s="1"/>
  <c r="E15" i="16" s="1"/>
  <c r="G15" i="16" s="1"/>
  <c r="J14" i="1"/>
  <c r="K14" i="1" s="1"/>
  <c r="E14" i="2" s="1"/>
  <c r="G14" i="2" s="1"/>
  <c r="K14" i="2" s="1"/>
  <c r="J5" i="1"/>
  <c r="K5" i="1" s="1"/>
  <c r="E5" i="17" s="1"/>
  <c r="G5" i="17" s="1"/>
  <c r="K5" i="17" s="1"/>
  <c r="J9" i="1"/>
  <c r="K9" i="1" s="1"/>
  <c r="E9" i="19" s="1"/>
  <c r="J17" i="1"/>
  <c r="K17" i="1" s="1"/>
  <c r="E17" i="8" s="1"/>
  <c r="G17" i="8" s="1"/>
  <c r="J12" i="1"/>
  <c r="K12" i="1" s="1"/>
  <c r="E12" i="13" s="1"/>
  <c r="G12" i="13" s="1"/>
  <c r="K12" i="13" s="1"/>
  <c r="J13" i="1"/>
  <c r="K13" i="1" s="1"/>
  <c r="E13" i="9" s="1"/>
  <c r="G13" i="9" s="1"/>
  <c r="K13" i="9" s="1"/>
  <c r="J20" i="1"/>
  <c r="K20" i="1" s="1"/>
  <c r="E20" i="13" s="1"/>
  <c r="G20" i="13" s="1"/>
  <c r="K20" i="13" s="1"/>
  <c r="J10" i="1"/>
  <c r="K10" i="1" s="1"/>
  <c r="E10" i="19" s="1"/>
  <c r="G10" i="19" s="1"/>
  <c r="K10" i="19" s="1"/>
  <c r="J18" i="1"/>
  <c r="K18" i="1" s="1"/>
  <c r="E18" i="18" s="1"/>
  <c r="G18" i="18" s="1"/>
  <c r="K18" i="18" s="1"/>
  <c r="J21" i="1"/>
  <c r="K21" i="1" s="1"/>
  <c r="J16" i="1"/>
  <c r="K16" i="1" s="1"/>
  <c r="E16" i="7" s="1"/>
  <c r="G16" i="7" s="1"/>
  <c r="K16" i="7" s="1"/>
  <c r="J7" i="1"/>
  <c r="K7" i="1" s="1"/>
  <c r="E7" i="8" s="1"/>
  <c r="G7" i="8" s="1"/>
  <c r="K7" i="8" s="1"/>
  <c r="J8" i="1"/>
  <c r="K8" i="1" s="1"/>
  <c r="E8" i="10" s="1"/>
  <c r="G8" i="10" s="1"/>
  <c r="K8" i="10" s="1"/>
  <c r="J6" i="1"/>
  <c r="K6" i="1" s="1"/>
  <c r="E6" i="18" s="1"/>
  <c r="G6" i="18" s="1"/>
  <c r="K6" i="18" s="1"/>
  <c r="H3" i="10" l="1"/>
  <c r="D9" i="43" s="1"/>
  <c r="H3" i="18"/>
  <c r="D9" i="51" s="1"/>
  <c r="H3" i="12"/>
  <c r="D9" i="45" s="1"/>
  <c r="H3" i="8"/>
  <c r="D9" i="41" s="1"/>
  <c r="H3" i="2"/>
  <c r="D9" i="39" s="1"/>
  <c r="H3" i="16"/>
  <c r="D9" i="49" s="1"/>
  <c r="H3" i="9"/>
  <c r="D9" i="42" s="1"/>
  <c r="H3" i="13"/>
  <c r="D9" i="46" s="1"/>
  <c r="H3" i="11"/>
  <c r="D9" i="44" s="1"/>
  <c r="H3" i="17"/>
  <c r="D9" i="50" s="1"/>
  <c r="H3" i="15"/>
  <c r="D9" i="48" s="1"/>
  <c r="H3" i="14"/>
  <c r="D9" i="47" s="1"/>
  <c r="E21" i="10"/>
  <c r="G21" i="10" s="1"/>
  <c r="E21" i="16"/>
  <c r="G21" i="16" s="1"/>
  <c r="E11" i="19"/>
  <c r="G11" i="19" s="1"/>
  <c r="K11" i="19" s="1"/>
  <c r="E11" i="16"/>
  <c r="G11" i="16" s="1"/>
  <c r="K11" i="16" s="1"/>
  <c r="G9" i="19"/>
  <c r="K9" i="19" s="1"/>
  <c r="E19" i="10"/>
  <c r="G19" i="10" s="1"/>
  <c r="K19" i="10" s="1"/>
  <c r="E19" i="13"/>
  <c r="G19" i="13" s="1"/>
  <c r="K19" i="13" s="1"/>
  <c r="E19" i="9"/>
  <c r="G19" i="9" s="1"/>
  <c r="K19" i="9" s="1"/>
  <c r="E19" i="2"/>
  <c r="G19" i="2" s="1"/>
  <c r="K19" i="2" s="1"/>
  <c r="E11" i="2"/>
  <c r="G11" i="2" s="1"/>
  <c r="K11" i="2" s="1"/>
  <c r="E19" i="8"/>
  <c r="G19" i="8" s="1"/>
  <c r="K19" i="8" s="1"/>
  <c r="E19" i="16"/>
  <c r="G19" i="16" s="1"/>
  <c r="K19" i="16" s="1"/>
  <c r="E19" i="7"/>
  <c r="G19" i="7" s="1"/>
  <c r="K19" i="7" s="1"/>
  <c r="E19" i="14"/>
  <c r="G19" i="14" s="1"/>
  <c r="K19" i="14" s="1"/>
  <c r="E19" i="17"/>
  <c r="G19" i="17" s="1"/>
  <c r="K19" i="17" s="1"/>
  <c r="E19" i="18"/>
  <c r="G19" i="18" s="1"/>
  <c r="K19" i="18" s="1"/>
  <c r="E19" i="12"/>
  <c r="G19" i="12" s="1"/>
  <c r="K19" i="12" s="1"/>
  <c r="E19" i="15"/>
  <c r="G19" i="15" s="1"/>
  <c r="K19" i="15" s="1"/>
  <c r="E19" i="11"/>
  <c r="G19" i="11" s="1"/>
  <c r="K19" i="11" s="1"/>
  <c r="E11" i="18"/>
  <c r="G11" i="18" s="1"/>
  <c r="K11" i="18" s="1"/>
  <c r="E11" i="14"/>
  <c r="G11" i="14" s="1"/>
  <c r="K11" i="14" s="1"/>
  <c r="E15" i="14"/>
  <c r="G15" i="14" s="1"/>
  <c r="E14" i="15"/>
  <c r="G14" i="15" s="1"/>
  <c r="K14" i="15" s="1"/>
  <c r="E14" i="19"/>
  <c r="G14" i="19" s="1"/>
  <c r="K14" i="19" s="1"/>
  <c r="E5" i="18"/>
  <c r="G5" i="18" s="1"/>
  <c r="K5" i="18" s="1"/>
  <c r="E11" i="8"/>
  <c r="G11" i="8" s="1"/>
  <c r="K11" i="8" s="1"/>
  <c r="E11" i="17"/>
  <c r="G11" i="17" s="1"/>
  <c r="K11" i="17" s="1"/>
  <c r="E14" i="16"/>
  <c r="G14" i="16" s="1"/>
  <c r="K14" i="16" s="1"/>
  <c r="E15" i="10"/>
  <c r="G15" i="10" s="1"/>
  <c r="E15" i="8"/>
  <c r="G15" i="8" s="1"/>
  <c r="K15" i="8" s="1"/>
  <c r="E11" i="11"/>
  <c r="G11" i="11" s="1"/>
  <c r="K11" i="11" s="1"/>
  <c r="E15" i="9"/>
  <c r="G15" i="9" s="1"/>
  <c r="E11" i="12"/>
  <c r="G11" i="12" s="1"/>
  <c r="K11" i="12" s="1"/>
  <c r="E14" i="7"/>
  <c r="G14" i="7" s="1"/>
  <c r="K14" i="7" s="1"/>
  <c r="E15" i="13"/>
  <c r="G15" i="13" s="1"/>
  <c r="E11" i="7"/>
  <c r="G11" i="7" s="1"/>
  <c r="K11" i="7" s="1"/>
  <c r="E14" i="17"/>
  <c r="G14" i="17" s="1"/>
  <c r="K14" i="17" s="1"/>
  <c r="E15" i="15"/>
  <c r="G15" i="15" s="1"/>
  <c r="E5" i="11"/>
  <c r="G5" i="11" s="1"/>
  <c r="K5" i="11" s="1"/>
  <c r="E11" i="10"/>
  <c r="G11" i="10" s="1"/>
  <c r="K11" i="10" s="1"/>
  <c r="E14" i="11"/>
  <c r="G14" i="11" s="1"/>
  <c r="K14" i="11" s="1"/>
  <c r="E14" i="12"/>
  <c r="G14" i="12" s="1"/>
  <c r="K14" i="12" s="1"/>
  <c r="E15" i="7"/>
  <c r="G15" i="7" s="1"/>
  <c r="E15" i="18"/>
  <c r="G15" i="18" s="1"/>
  <c r="E14" i="9"/>
  <c r="G14" i="9" s="1"/>
  <c r="K14" i="9" s="1"/>
  <c r="E15" i="11"/>
  <c r="G15" i="11" s="1"/>
  <c r="E15" i="19"/>
  <c r="G15" i="19" s="1"/>
  <c r="E14" i="10"/>
  <c r="G14" i="10" s="1"/>
  <c r="K14" i="10" s="1"/>
  <c r="E14" i="13"/>
  <c r="G14" i="13" s="1"/>
  <c r="K14" i="13" s="1"/>
  <c r="E15" i="12"/>
  <c r="G15" i="12" s="1"/>
  <c r="E15" i="2"/>
  <c r="G15" i="2" s="1"/>
  <c r="E11" i="15"/>
  <c r="G11" i="15" s="1"/>
  <c r="K11" i="15" s="1"/>
  <c r="E14" i="18"/>
  <c r="G14" i="18" s="1"/>
  <c r="K14" i="18" s="1"/>
  <c r="E14" i="14"/>
  <c r="G14" i="14" s="1"/>
  <c r="K14" i="14" s="1"/>
  <c r="E15" i="17"/>
  <c r="G15" i="17" s="1"/>
  <c r="E11" i="9"/>
  <c r="G11" i="9" s="1"/>
  <c r="K11" i="9" s="1"/>
  <c r="E5" i="14"/>
  <c r="G5" i="14" s="1"/>
  <c r="K5" i="14" s="1"/>
  <c r="E14" i="8"/>
  <c r="G14" i="8" s="1"/>
  <c r="K14" i="8" s="1"/>
  <c r="E11" i="13"/>
  <c r="G11" i="13" s="1"/>
  <c r="K11" i="13" s="1"/>
  <c r="E5" i="10"/>
  <c r="G5" i="10" s="1"/>
  <c r="K5" i="10" s="1"/>
  <c r="E5" i="12"/>
  <c r="G5" i="12" s="1"/>
  <c r="K5" i="12" s="1"/>
  <c r="E5" i="19"/>
  <c r="G5" i="19" s="1"/>
  <c r="K5" i="19" s="1"/>
  <c r="E5" i="7"/>
  <c r="G5" i="7" s="1"/>
  <c r="K5" i="7" s="1"/>
  <c r="E5" i="2"/>
  <c r="G5" i="2" s="1"/>
  <c r="K5" i="2" s="1"/>
  <c r="E5" i="8"/>
  <c r="G5" i="8" s="1"/>
  <c r="K5" i="8" s="1"/>
  <c r="E5" i="13"/>
  <c r="G5" i="13" s="1"/>
  <c r="K5" i="13" s="1"/>
  <c r="E5" i="15"/>
  <c r="G5" i="15" s="1"/>
  <c r="K5" i="15" s="1"/>
  <c r="E5" i="16"/>
  <c r="G5" i="16" s="1"/>
  <c r="K5" i="16" s="1"/>
  <c r="E5" i="9"/>
  <c r="G5" i="9" s="1"/>
  <c r="K5" i="9" s="1"/>
  <c r="E18" i="19"/>
  <c r="G18" i="19" s="1"/>
  <c r="K18" i="19" s="1"/>
  <c r="E9" i="10"/>
  <c r="E9" i="18"/>
  <c r="E9" i="13"/>
  <c r="E9" i="15"/>
  <c r="E9" i="16"/>
  <c r="E9" i="17"/>
  <c r="E9" i="2"/>
  <c r="E9" i="7"/>
  <c r="E9" i="11"/>
  <c r="E9" i="12"/>
  <c r="E9" i="9"/>
  <c r="E9" i="14"/>
  <c r="E9" i="8"/>
  <c r="E12" i="11"/>
  <c r="G12" i="11" s="1"/>
  <c r="K12" i="11" s="1"/>
  <c r="E12" i="15"/>
  <c r="G12" i="15" s="1"/>
  <c r="K12" i="15" s="1"/>
  <c r="E17" i="18"/>
  <c r="G17" i="18" s="1"/>
  <c r="K17" i="18" s="1"/>
  <c r="E17" i="10"/>
  <c r="G17" i="10" s="1"/>
  <c r="K17" i="10" s="1"/>
  <c r="E17" i="12"/>
  <c r="G17" i="12" s="1"/>
  <c r="K17" i="12" s="1"/>
  <c r="E17" i="19"/>
  <c r="G17" i="19" s="1"/>
  <c r="K17" i="19" s="1"/>
  <c r="E17" i="17"/>
  <c r="G17" i="17" s="1"/>
  <c r="K17" i="17" s="1"/>
  <c r="E17" i="7"/>
  <c r="G17" i="7" s="1"/>
  <c r="K17" i="7" s="1"/>
  <c r="E12" i="12"/>
  <c r="G12" i="12" s="1"/>
  <c r="K12" i="12" s="1"/>
  <c r="E12" i="16"/>
  <c r="G12" i="16" s="1"/>
  <c r="K12" i="16" s="1"/>
  <c r="E13" i="8"/>
  <c r="G13" i="8" s="1"/>
  <c r="K13" i="8" s="1"/>
  <c r="E17" i="9"/>
  <c r="G17" i="9" s="1"/>
  <c r="K17" i="9" s="1"/>
  <c r="E12" i="17"/>
  <c r="G12" i="17" s="1"/>
  <c r="K12" i="17" s="1"/>
  <c r="E12" i="10"/>
  <c r="G12" i="10" s="1"/>
  <c r="K12" i="10" s="1"/>
  <c r="E12" i="14"/>
  <c r="G12" i="14" s="1"/>
  <c r="K12" i="14" s="1"/>
  <c r="E17" i="16"/>
  <c r="G17" i="16" s="1"/>
  <c r="K17" i="16" s="1"/>
  <c r="E17" i="15"/>
  <c r="G17" i="15" s="1"/>
  <c r="K17" i="15" s="1"/>
  <c r="E12" i="19"/>
  <c r="G12" i="19" s="1"/>
  <c r="K12" i="19" s="1"/>
  <c r="E12" i="8"/>
  <c r="G12" i="8" s="1"/>
  <c r="K12" i="8" s="1"/>
  <c r="E12" i="18"/>
  <c r="G12" i="18" s="1"/>
  <c r="K12" i="18" s="1"/>
  <c r="E17" i="11"/>
  <c r="G17" i="11" s="1"/>
  <c r="K17" i="11" s="1"/>
  <c r="E12" i="9"/>
  <c r="G12" i="9" s="1"/>
  <c r="K12" i="9" s="1"/>
  <c r="E12" i="2"/>
  <c r="G12" i="2" s="1"/>
  <c r="K12" i="2" s="1"/>
  <c r="E17" i="14"/>
  <c r="G17" i="14" s="1"/>
  <c r="K17" i="14" s="1"/>
  <c r="E17" i="2"/>
  <c r="G17" i="2" s="1"/>
  <c r="K17" i="2" s="1"/>
  <c r="E13" i="7"/>
  <c r="G13" i="7" s="1"/>
  <c r="K13" i="7" s="1"/>
  <c r="E17" i="13"/>
  <c r="G17" i="13" s="1"/>
  <c r="K17" i="13" s="1"/>
  <c r="E13" i="18"/>
  <c r="G13" i="18" s="1"/>
  <c r="K13" i="18" s="1"/>
  <c r="E13" i="19"/>
  <c r="G13" i="19" s="1"/>
  <c r="K13" i="19" s="1"/>
  <c r="E13" i="13"/>
  <c r="G13" i="13" s="1"/>
  <c r="K13" i="13" s="1"/>
  <c r="E13" i="10"/>
  <c r="G13" i="10" s="1"/>
  <c r="K13" i="10" s="1"/>
  <c r="E13" i="2"/>
  <c r="G13" i="2" s="1"/>
  <c r="K13" i="2" s="1"/>
  <c r="E13" i="14"/>
  <c r="G13" i="14" s="1"/>
  <c r="K13" i="14" s="1"/>
  <c r="E13" i="11"/>
  <c r="G13" i="11" s="1"/>
  <c r="K13" i="11" s="1"/>
  <c r="E13" i="17"/>
  <c r="G13" i="17" s="1"/>
  <c r="K13" i="17" s="1"/>
  <c r="E12" i="7"/>
  <c r="G12" i="7" s="1"/>
  <c r="K12" i="7" s="1"/>
  <c r="E13" i="15"/>
  <c r="G13" i="15" s="1"/>
  <c r="K13" i="15" s="1"/>
  <c r="E13" i="16"/>
  <c r="G13" i="16" s="1"/>
  <c r="K13" i="16" s="1"/>
  <c r="E13" i="12"/>
  <c r="G13" i="12" s="1"/>
  <c r="K13" i="12" s="1"/>
  <c r="E18" i="17"/>
  <c r="G18" i="17" s="1"/>
  <c r="K18" i="17" s="1"/>
  <c r="E20" i="2"/>
  <c r="G20" i="2" s="1"/>
  <c r="K20" i="2" s="1"/>
  <c r="E18" i="11"/>
  <c r="G18" i="11" s="1"/>
  <c r="K18" i="11" s="1"/>
  <c r="E18" i="15"/>
  <c r="G18" i="15" s="1"/>
  <c r="K18" i="15" s="1"/>
  <c r="E20" i="16"/>
  <c r="G20" i="16" s="1"/>
  <c r="K20" i="16" s="1"/>
  <c r="E20" i="9"/>
  <c r="G20" i="9" s="1"/>
  <c r="K20" i="9" s="1"/>
  <c r="E20" i="8"/>
  <c r="G20" i="8" s="1"/>
  <c r="K20" i="8" s="1"/>
  <c r="E20" i="10"/>
  <c r="G20" i="10" s="1"/>
  <c r="K20" i="10" s="1"/>
  <c r="E20" i="18"/>
  <c r="G20" i="18" s="1"/>
  <c r="K20" i="18" s="1"/>
  <c r="E21" i="2"/>
  <c r="G21" i="2" s="1"/>
  <c r="E20" i="17"/>
  <c r="G20" i="17" s="1"/>
  <c r="K20" i="17" s="1"/>
  <c r="E20" i="14"/>
  <c r="G20" i="14" s="1"/>
  <c r="K20" i="14" s="1"/>
  <c r="E20" i="12"/>
  <c r="G20" i="12" s="1"/>
  <c r="K20" i="12" s="1"/>
  <c r="E20" i="15"/>
  <c r="G20" i="15" s="1"/>
  <c r="K20" i="15" s="1"/>
  <c r="E10" i="13"/>
  <c r="G10" i="13" s="1"/>
  <c r="K10" i="13" s="1"/>
  <c r="E20" i="11"/>
  <c r="G20" i="11" s="1"/>
  <c r="K20" i="11" s="1"/>
  <c r="E20" i="19"/>
  <c r="G20" i="19" s="1"/>
  <c r="K20" i="19" s="1"/>
  <c r="E20" i="7"/>
  <c r="G20" i="7" s="1"/>
  <c r="K20" i="7" s="1"/>
  <c r="E18" i="8"/>
  <c r="G18" i="8" s="1"/>
  <c r="K18" i="8" s="1"/>
  <c r="E18" i="16"/>
  <c r="G18" i="16" s="1"/>
  <c r="K18" i="16" s="1"/>
  <c r="E18" i="10"/>
  <c r="G18" i="10" s="1"/>
  <c r="K18" i="10" s="1"/>
  <c r="E18" i="2"/>
  <c r="G18" i="2" s="1"/>
  <c r="K18" i="2" s="1"/>
  <c r="E10" i="15"/>
  <c r="G10" i="15" s="1"/>
  <c r="K10" i="15" s="1"/>
  <c r="E18" i="9"/>
  <c r="G18" i="9" s="1"/>
  <c r="K18" i="9" s="1"/>
  <c r="E18" i="13"/>
  <c r="G18" i="13" s="1"/>
  <c r="K18" i="13" s="1"/>
  <c r="E18" i="7"/>
  <c r="G18" i="7" s="1"/>
  <c r="K18" i="7" s="1"/>
  <c r="E18" i="14"/>
  <c r="G18" i="14" s="1"/>
  <c r="K18" i="14" s="1"/>
  <c r="E18" i="12"/>
  <c r="G18" i="12" s="1"/>
  <c r="K18" i="12" s="1"/>
  <c r="E16" i="15"/>
  <c r="G16" i="15" s="1"/>
  <c r="K16" i="15" s="1"/>
  <c r="E10" i="16"/>
  <c r="G10" i="16" s="1"/>
  <c r="K10" i="16" s="1"/>
  <c r="E10" i="18"/>
  <c r="G10" i="18" s="1"/>
  <c r="K10" i="18" s="1"/>
  <c r="E10" i="8"/>
  <c r="G10" i="8" s="1"/>
  <c r="K10" i="8" s="1"/>
  <c r="E10" i="10"/>
  <c r="G10" i="10" s="1"/>
  <c r="K10" i="10" s="1"/>
  <c r="E10" i="9"/>
  <c r="G10" i="9" s="1"/>
  <c r="K10" i="9" s="1"/>
  <c r="E10" i="14"/>
  <c r="G10" i="14" s="1"/>
  <c r="K10" i="14" s="1"/>
  <c r="E10" i="7"/>
  <c r="G10" i="7" s="1"/>
  <c r="K10" i="7" s="1"/>
  <c r="E10" i="17"/>
  <c r="G10" i="17" s="1"/>
  <c r="K10" i="17" s="1"/>
  <c r="E10" i="12"/>
  <c r="G10" i="12" s="1"/>
  <c r="K10" i="12" s="1"/>
  <c r="E10" i="11"/>
  <c r="G10" i="11" s="1"/>
  <c r="K10" i="11" s="1"/>
  <c r="E10" i="2"/>
  <c r="G10" i="2" s="1"/>
  <c r="K10" i="2" s="1"/>
  <c r="E21" i="13"/>
  <c r="G21" i="13" s="1"/>
  <c r="E21" i="19"/>
  <c r="G21" i="19" s="1"/>
  <c r="E16" i="2"/>
  <c r="G16" i="2" s="1"/>
  <c r="K16" i="2" s="1"/>
  <c r="E16" i="11"/>
  <c r="G16" i="11" s="1"/>
  <c r="K16" i="11" s="1"/>
  <c r="E21" i="18"/>
  <c r="G21" i="18" s="1"/>
  <c r="E16" i="13"/>
  <c r="G16" i="13" s="1"/>
  <c r="K16" i="13" s="1"/>
  <c r="E16" i="10"/>
  <c r="G16" i="10" s="1"/>
  <c r="K16" i="10" s="1"/>
  <c r="E21" i="9"/>
  <c r="G21" i="9" s="1"/>
  <c r="E21" i="12"/>
  <c r="G21" i="12" s="1"/>
  <c r="E21" i="8"/>
  <c r="G21" i="8" s="1"/>
  <c r="E21" i="7"/>
  <c r="G21" i="7" s="1"/>
  <c r="E8" i="18"/>
  <c r="G8" i="18" s="1"/>
  <c r="K8" i="18" s="1"/>
  <c r="E21" i="17"/>
  <c r="G21" i="17" s="1"/>
  <c r="E21" i="15"/>
  <c r="G21" i="15" s="1"/>
  <c r="E21" i="14"/>
  <c r="G21" i="14" s="1"/>
  <c r="E21" i="11"/>
  <c r="G21" i="11" s="1"/>
  <c r="E16" i="16"/>
  <c r="G16" i="16" s="1"/>
  <c r="K16" i="16" s="1"/>
  <c r="E8" i="7"/>
  <c r="G8" i="7" s="1"/>
  <c r="K8" i="7" s="1"/>
  <c r="E16" i="19"/>
  <c r="G16" i="19" s="1"/>
  <c r="K16" i="19" s="1"/>
  <c r="E16" i="18"/>
  <c r="G16" i="18" s="1"/>
  <c r="K16" i="18" s="1"/>
  <c r="E16" i="12"/>
  <c r="G16" i="12" s="1"/>
  <c r="K16" i="12" s="1"/>
  <c r="E16" i="9"/>
  <c r="G16" i="9" s="1"/>
  <c r="K16" i="9" s="1"/>
  <c r="E16" i="17"/>
  <c r="G16" i="17" s="1"/>
  <c r="K16" i="17" s="1"/>
  <c r="E16" i="8"/>
  <c r="G16" i="8" s="1"/>
  <c r="K16" i="8" s="1"/>
  <c r="E16" i="14"/>
  <c r="G16" i="14" s="1"/>
  <c r="K16" i="14" s="1"/>
  <c r="E7" i="9"/>
  <c r="G7" i="9" s="1"/>
  <c r="K7" i="9" s="1"/>
  <c r="E7" i="2"/>
  <c r="G7" i="2" s="1"/>
  <c r="K7" i="2" s="1"/>
  <c r="E7" i="16"/>
  <c r="G7" i="16" s="1"/>
  <c r="K7" i="16" s="1"/>
  <c r="E7" i="11"/>
  <c r="G7" i="11" s="1"/>
  <c r="K7" i="11" s="1"/>
  <c r="E7" i="13"/>
  <c r="G7" i="13" s="1"/>
  <c r="K7" i="13" s="1"/>
  <c r="E8" i="14"/>
  <c r="G8" i="14" s="1"/>
  <c r="K8" i="14" s="1"/>
  <c r="E8" i="8"/>
  <c r="G8" i="8" s="1"/>
  <c r="K8" i="8" s="1"/>
  <c r="E7" i="15"/>
  <c r="G7" i="15" s="1"/>
  <c r="K7" i="15" s="1"/>
  <c r="E7" i="10"/>
  <c r="G7" i="10" s="1"/>
  <c r="K7" i="10" s="1"/>
  <c r="E6" i="8"/>
  <c r="G6" i="8" s="1"/>
  <c r="K6" i="8" s="1"/>
  <c r="E8" i="12"/>
  <c r="G8" i="12" s="1"/>
  <c r="K8" i="12" s="1"/>
  <c r="E8" i="16"/>
  <c r="G8" i="16" s="1"/>
  <c r="K8" i="16" s="1"/>
  <c r="E8" i="15"/>
  <c r="G8" i="15" s="1"/>
  <c r="K8" i="15" s="1"/>
  <c r="E8" i="9"/>
  <c r="G8" i="9" s="1"/>
  <c r="K8" i="9" s="1"/>
  <c r="E8" i="17"/>
  <c r="G8" i="17" s="1"/>
  <c r="K8" i="17" s="1"/>
  <c r="E8" i="19"/>
  <c r="G8" i="19" s="1"/>
  <c r="K8" i="19" s="1"/>
  <c r="E8" i="11"/>
  <c r="G8" i="11" s="1"/>
  <c r="K8" i="11" s="1"/>
  <c r="E8" i="2"/>
  <c r="G8" i="2" s="1"/>
  <c r="K8" i="2" s="1"/>
  <c r="E8" i="13"/>
  <c r="G8" i="13" s="1"/>
  <c r="K8" i="13" s="1"/>
  <c r="E6" i="12"/>
  <c r="G6" i="12" s="1"/>
  <c r="K6" i="12" s="1"/>
  <c r="E7" i="7"/>
  <c r="G7" i="7" s="1"/>
  <c r="K7" i="7" s="1"/>
  <c r="E7" i="17"/>
  <c r="G7" i="17" s="1"/>
  <c r="K7" i="17" s="1"/>
  <c r="E6" i="15"/>
  <c r="G6" i="15" s="1"/>
  <c r="K6" i="15" s="1"/>
  <c r="E7" i="19"/>
  <c r="G7" i="19" s="1"/>
  <c r="K7" i="19" s="1"/>
  <c r="E7" i="12"/>
  <c r="G7" i="12" s="1"/>
  <c r="K7" i="12" s="1"/>
  <c r="E6" i="19"/>
  <c r="G6" i="19" s="1"/>
  <c r="K6" i="19" s="1"/>
  <c r="E7" i="14"/>
  <c r="G7" i="14" s="1"/>
  <c r="K7" i="14" s="1"/>
  <c r="E7" i="18"/>
  <c r="G7" i="18" s="1"/>
  <c r="K7" i="18" s="1"/>
  <c r="E6" i="16"/>
  <c r="G6" i="16" s="1"/>
  <c r="K6" i="16" s="1"/>
  <c r="E6" i="9"/>
  <c r="G6" i="9" s="1"/>
  <c r="K6" i="9" s="1"/>
  <c r="E6" i="2"/>
  <c r="G6" i="2" s="1"/>
  <c r="K6" i="2" s="1"/>
  <c r="E6" i="10"/>
  <c r="G6" i="10" s="1"/>
  <c r="K6" i="10" s="1"/>
  <c r="E6" i="11"/>
  <c r="G6" i="11" s="1"/>
  <c r="K6" i="11" s="1"/>
  <c r="E6" i="13"/>
  <c r="G6" i="13" s="1"/>
  <c r="K6" i="13" s="1"/>
  <c r="E6" i="17"/>
  <c r="G6" i="17" s="1"/>
  <c r="K6" i="17" s="1"/>
  <c r="E6" i="14"/>
  <c r="G6" i="14" s="1"/>
  <c r="K6" i="14" s="1"/>
  <c r="E6" i="7"/>
  <c r="G6" i="7" s="1"/>
  <c r="K6" i="7" s="1"/>
  <c r="L21" i="8" l="1"/>
  <c r="K21" i="8" s="1"/>
  <c r="E3" i="19"/>
  <c r="G9" i="2"/>
  <c r="E3" i="2"/>
  <c r="G9" i="8"/>
  <c r="K9" i="8" s="1"/>
  <c r="E3" i="8"/>
  <c r="G9" i="16"/>
  <c r="K9" i="16" s="1"/>
  <c r="E3" i="16"/>
  <c r="G9" i="11"/>
  <c r="K9" i="11" s="1"/>
  <c r="E3" i="11"/>
  <c r="G9" i="10"/>
  <c r="K9" i="10" s="1"/>
  <c r="E3" i="10"/>
  <c r="G9" i="17"/>
  <c r="K9" i="17" s="1"/>
  <c r="E3" i="17"/>
  <c r="G9" i="14"/>
  <c r="K9" i="14" s="1"/>
  <c r="E3" i="14"/>
  <c r="G9" i="15"/>
  <c r="K9" i="15" s="1"/>
  <c r="E3" i="15"/>
  <c r="G9" i="9"/>
  <c r="K9" i="9" s="1"/>
  <c r="E3" i="9"/>
  <c r="G9" i="13"/>
  <c r="K9" i="13" s="1"/>
  <c r="E3" i="13"/>
  <c r="G9" i="7"/>
  <c r="K9" i="7" s="1"/>
  <c r="E3" i="7"/>
  <c r="G9" i="12"/>
  <c r="K9" i="12" s="1"/>
  <c r="E3" i="12"/>
  <c r="G9" i="18"/>
  <c r="K9" i="18" s="1"/>
  <c r="E3" i="18"/>
  <c r="G3" i="19"/>
  <c r="D8" i="52" s="1"/>
  <c r="D15" i="52" s="1"/>
  <c r="C32" i="52" s="1"/>
  <c r="G3" i="2" l="1"/>
  <c r="D15" i="39" s="1"/>
  <c r="C32" i="39" s="1"/>
  <c r="K9" i="2"/>
  <c r="G3" i="8"/>
  <c r="D8" i="41" s="1"/>
  <c r="D15" i="41" s="1"/>
  <c r="C32" i="41" s="1"/>
  <c r="K3" i="8"/>
  <c r="G3" i="12"/>
  <c r="D8" i="45" s="1"/>
  <c r="D15" i="45" s="1"/>
  <c r="C32" i="45" s="1"/>
  <c r="G3" i="11"/>
  <c r="D8" i="44" s="1"/>
  <c r="D15" i="44" s="1"/>
  <c r="C32" i="44" s="1"/>
  <c r="G3" i="7"/>
  <c r="D8" i="40" s="1"/>
  <c r="D15" i="40" s="1"/>
  <c r="C32" i="40" s="1"/>
  <c r="G3" i="14"/>
  <c r="D8" i="47" s="1"/>
  <c r="D15" i="47" s="1"/>
  <c r="C32" i="47" s="1"/>
  <c r="G3" i="16"/>
  <c r="D8" i="49" s="1"/>
  <c r="D15" i="49" s="1"/>
  <c r="C32" i="49" s="1"/>
  <c r="G3" i="15"/>
  <c r="D8" i="48" s="1"/>
  <c r="D15" i="48" s="1"/>
  <c r="C32" i="48" s="1"/>
  <c r="G3" i="13"/>
  <c r="D8" i="46" s="1"/>
  <c r="D15" i="46" s="1"/>
  <c r="C32" i="46" s="1"/>
  <c r="A3" i="13"/>
  <c r="G3" i="17"/>
  <c r="D8" i="50" s="1"/>
  <c r="D15" i="50" s="1"/>
  <c r="C32" i="50" s="1"/>
  <c r="G3" i="18"/>
  <c r="D8" i="51" s="1"/>
  <c r="D15" i="51" s="1"/>
  <c r="C32" i="51" s="1"/>
  <c r="G3" i="9"/>
  <c r="D8" i="42" s="1"/>
  <c r="D15" i="42" s="1"/>
  <c r="C32" i="42" s="1"/>
  <c r="G3" i="10"/>
  <c r="D8" i="43" s="1"/>
  <c r="D15" i="43" s="1"/>
  <c r="C32" i="43" s="1"/>
  <c r="L15" i="7" l="1"/>
  <c r="K15" i="7" s="1"/>
  <c r="L3" i="7" l="1"/>
  <c r="L21" i="7"/>
  <c r="K21" i="7" s="1"/>
  <c r="L15" i="9" l="1"/>
  <c r="K15" i="9" s="1"/>
  <c r="L3" i="9" l="1"/>
  <c r="L21" i="9" l="1"/>
  <c r="K21" i="9" s="1"/>
  <c r="L15" i="10"/>
  <c r="K15" i="10" s="1"/>
  <c r="L3" i="10"/>
  <c r="L21" i="10" l="1"/>
  <c r="K21" i="10" s="1"/>
  <c r="L15" i="2"/>
  <c r="K15" i="2" s="1"/>
  <c r="K3" i="10"/>
  <c r="L3" i="2"/>
  <c r="K3" i="7" l="1"/>
  <c r="L21" i="2" l="1"/>
  <c r="K21" i="2" s="1"/>
  <c r="L15" i="11"/>
  <c r="K15" i="11" s="1"/>
  <c r="L3" i="11"/>
  <c r="K3" i="9" l="1"/>
  <c r="L21" i="11" l="1"/>
  <c r="K21" i="11" s="1"/>
  <c r="K3" i="11"/>
  <c r="L15" i="12"/>
  <c r="K15" i="12" s="1"/>
  <c r="L3" i="12"/>
  <c r="K3" i="2" l="1"/>
  <c r="L21" i="12"/>
  <c r="K21" i="12" s="1"/>
  <c r="K3" i="12"/>
  <c r="L15" i="13" l="1"/>
  <c r="K15" i="13" s="1"/>
  <c r="L3" i="13"/>
  <c r="L21" i="13" l="1"/>
  <c r="K21" i="13" s="1"/>
  <c r="K3" i="13"/>
  <c r="L15" i="14" l="1"/>
  <c r="K15" i="14" s="1"/>
  <c r="L3" i="14"/>
  <c r="L21" i="14" l="1"/>
  <c r="K21" i="14" s="1"/>
  <c r="K3" i="14"/>
  <c r="L15" i="15" l="1"/>
  <c r="K15" i="15" s="1"/>
  <c r="L3" i="15" l="1"/>
  <c r="L21" i="15" l="1"/>
  <c r="K21" i="15" s="1"/>
  <c r="K3" i="15"/>
  <c r="L15" i="16" l="1"/>
  <c r="K15" i="16" s="1"/>
  <c r="L3" i="16"/>
  <c r="L21" i="16" l="1"/>
  <c r="K21" i="16" s="1"/>
  <c r="K3" i="16"/>
  <c r="L15" i="17" l="1"/>
  <c r="K15" i="17" s="1"/>
  <c r="L3" i="17"/>
  <c r="L21" i="17" l="1"/>
  <c r="K21" i="17" s="1"/>
  <c r="K3" i="17"/>
  <c r="L15" i="18" l="1"/>
  <c r="K15" i="18" s="1"/>
  <c r="L3" i="18"/>
  <c r="L21" i="18" l="1"/>
  <c r="K21" i="18" s="1"/>
  <c r="K3" i="18"/>
  <c r="L15" i="19" l="1"/>
  <c r="K15" i="19" s="1"/>
  <c r="L3" i="19" l="1"/>
  <c r="L21" i="19" l="1"/>
  <c r="K21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Henrik Thörnblom</author>
  </authors>
  <commentList>
    <comment ref="C8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Henrik Thörnblom:</t>
        </r>
        <r>
          <rPr>
            <sz val="9"/>
            <color indexed="81"/>
            <rFont val="Tahoma"/>
            <family val="2"/>
          </rPr>
          <t xml:space="preserve">
Mätarbyte
</t>
        </r>
      </text>
    </comment>
  </commentList>
</comments>
</file>

<file path=xl/sharedStrings.xml><?xml version="1.0" encoding="utf-8"?>
<sst xmlns="http://schemas.openxmlformats.org/spreadsheetml/2006/main" count="534" uniqueCount="68">
  <si>
    <t>2013-02-29</t>
  </si>
  <si>
    <t>1.113,00</t>
  </si>
  <si>
    <t>1.087,00</t>
  </si>
  <si>
    <t>1.101,00</t>
  </si>
  <si>
    <t>1.088,00</t>
  </si>
  <si>
    <t>Inbetalning</t>
  </si>
  <si>
    <t>Räkningsdatum</t>
  </si>
  <si>
    <t>Org-nr</t>
  </si>
  <si>
    <t>716402-7240</t>
  </si>
  <si>
    <t>nästa avläsning</t>
  </si>
  <si>
    <t>Mätare 1</t>
  </si>
  <si>
    <t>Mätare 2</t>
  </si>
  <si>
    <t>Avläsnings datum</t>
  </si>
  <si>
    <t>Nuvarande 1</t>
  </si>
  <si>
    <t>Föregående 1</t>
  </si>
  <si>
    <t>Förbrukning 1</t>
  </si>
  <si>
    <t>Nuvarande 2</t>
  </si>
  <si>
    <t>Föregående 2</t>
  </si>
  <si>
    <t>Förbrukning 2</t>
  </si>
  <si>
    <t>Förbrukning 1+2</t>
  </si>
  <si>
    <t>Förbrukning alla hus</t>
  </si>
  <si>
    <t>Differens</t>
  </si>
  <si>
    <t>Att fördela</t>
  </si>
  <si>
    <t>Pris/m3 ex.moms</t>
  </si>
  <si>
    <t>Pris/m3 ink.moms</t>
  </si>
  <si>
    <t>Fast avg</t>
  </si>
  <si>
    <t>Kapacitet</t>
  </si>
  <si>
    <t>sd</t>
  </si>
  <si>
    <t>Summa fast avg</t>
  </si>
  <si>
    <t>Summa fast avg/hushåll</t>
  </si>
  <si>
    <t>Medlems avg</t>
  </si>
  <si>
    <t>Har lån</t>
  </si>
  <si>
    <t>Nej</t>
  </si>
  <si>
    <t>Nuvarande</t>
  </si>
  <si>
    <t>Föregående</t>
  </si>
  <si>
    <t>Förbrukning</t>
  </si>
  <si>
    <t>Utjämning</t>
  </si>
  <si>
    <t>Kr/m3</t>
  </si>
  <si>
    <t>Summa förbrukning</t>
  </si>
  <si>
    <t>Lån</t>
  </si>
  <si>
    <t>Att betala</t>
  </si>
  <si>
    <t>Korr</t>
  </si>
  <si>
    <t>Ja</t>
  </si>
  <si>
    <t>nej</t>
  </si>
  <si>
    <t>Hus nr.</t>
  </si>
  <si>
    <t>Hej, då var det dags att läsa av vattenmätaren igen</t>
  </si>
  <si>
    <t>Er föregående avläsning</t>
  </si>
  <si>
    <t>m³</t>
  </si>
  <si>
    <t xml:space="preserve">Läs av mätaren </t>
  </si>
  <si>
    <t>ställning</t>
  </si>
  <si>
    <t>Lämna avläsningen till Henrik Thörnblom Gräsv. 20</t>
  </si>
  <si>
    <t>Gröngräsets Samfällighetsförening</t>
  </si>
  <si>
    <t>FAKTURA</t>
  </si>
  <si>
    <t>DATUM:</t>
  </si>
  <si>
    <t>59554 Mjölby</t>
  </si>
  <si>
    <t>BESKRIVNING</t>
  </si>
  <si>
    <t xml:space="preserve"> </t>
  </si>
  <si>
    <t>BELOPP</t>
  </si>
  <si>
    <t>Vatten</t>
  </si>
  <si>
    <t>Fast avgift vatten/avlopp</t>
  </si>
  <si>
    <t>Medlemsavgift</t>
  </si>
  <si>
    <t>3000:-/år</t>
  </si>
  <si>
    <t>SUMMA</t>
  </si>
  <si>
    <t>Om du har frågor om fakturan: Henrik Thörnblom, 070-7330191, henrik.thornblom@gargit.se</t>
  </si>
  <si>
    <t>97 49 44-1</t>
  </si>
  <si>
    <t>Grundavgift</t>
  </si>
  <si>
    <t>Kapicitetsavgift</t>
  </si>
  <si>
    <t>Dagvattenavgift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</si>
</sst>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* #,##0.00\ &quot;kr&quot;_-;\-* #,##0.00\ &quot;kr&quot;_-;_-* &quot;-&quot;??\ &quot;kr&quot;_-;_-@_-"/>
    <numFmt numFmtId="164" formatCode="#,##0\ &quot;kr&quot;"/>
    <numFmt numFmtId="165" formatCode="0.0"/>
    <numFmt numFmtId="166" formatCode="yyyy/mm/dd;@"/>
    <numFmt numFmtId="167" formatCode="_-* #,##0\ [$kr-41D]_-;\-* #,##0\ [$kr-41D]_-;_-* &quot;-&quot;??\ [$kr-41D]_-;_-@_-"/>
    <numFmt numFmtId="168" formatCode="_-* #,##0\ &quot;kr&quot;_-;\-* #,##0\ &quot;kr&quot;_-;_-* &quot;-&quot;??\ &quot;kr&quot;_-;_-@_-"/>
    <numFmt numFmtId="169" formatCode="#,##0.0\ &quot;kr&quot;;\-#,##0.0\ &quot;kr&quot;"/>
    <numFmt numFmtId="170" formatCode="#,##0.0\ [$kr-41D];\-#,##0.0\ [$kr-41D]"/>
    <numFmt numFmtId="171" formatCode="[$-F800]dddd\,\ mmmm\ dd\,\ yyyy"/>
    <numFmt numFmtId="172" formatCode="[&lt;=9999999]###\-####;\(###\)\ ###\-####"/>
    <numFmt numFmtId="173" formatCode="##\-####\-###\-#"/>
    <numFmt numFmtId="174" formatCode="_(&quot;$&quot;* #,##0.00_);_(&quot;$&quot;* \(#,##0.00\);_(&quot;$&quot;* &quot;-&quot;??_);_(@_)"/>
    <numFmt numFmtId="175" formatCode="0_ ;\-0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Arial Rounded MT Bold"/>
      <family val="2"/>
    </font>
    <font>
      <sz val="8"/>
      <color rgb="FF003F6E"/>
      <name val="Verdan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Rounded MT Bold"/>
      <family val="2"/>
    </font>
    <font>
      <u/>
      <sz val="14"/>
      <color theme="1"/>
      <name val="Arial Rounded MT Bold"/>
      <family val="2"/>
    </font>
    <font>
      <u/>
      <sz val="11"/>
      <color theme="1"/>
      <name val="Calibri"/>
      <family val="2"/>
      <scheme val="minor"/>
    </font>
    <font>
      <b/>
      <sz val="12"/>
      <color theme="1"/>
      <name val="Avenir Next LT Pro Demi"/>
      <family val="2"/>
    </font>
    <font>
      <b/>
      <sz val="11"/>
      <color theme="1"/>
      <name val="Arial Black"/>
      <family val="2"/>
    </font>
    <font>
      <b/>
      <sz val="14"/>
      <color theme="1"/>
      <name val="OCRB"/>
      <family val="3"/>
    </font>
    <font>
      <b/>
      <sz val="18"/>
      <color theme="1" tint="0.14996795556505021"/>
      <name val="Calibri"/>
      <family val="2"/>
      <scheme val="minor"/>
    </font>
    <font>
      <sz val="18"/>
      <color theme="1" tint="0.14996795556505021"/>
      <name val="Calibri"/>
      <family val="2"/>
      <scheme val="minor"/>
    </font>
    <font>
      <sz val="28"/>
      <color theme="1" tint="0.499984740745262"/>
      <name val="Cambria"/>
      <family val="2"/>
      <scheme val="major"/>
    </font>
    <font>
      <b/>
      <i/>
      <sz val="11"/>
      <color theme="1" tint="0.34998626667073579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 applyNumberFormat="0" applyFill="0" applyProtection="0"/>
    <xf numFmtId="0" fontId="19" fillId="0" borderId="0" applyNumberFormat="0" applyFill="0" applyBorder="0" applyProtection="0">
      <alignment horizontal="right"/>
    </xf>
    <xf numFmtId="0" fontId="7" fillId="0" borderId="0">
      <alignment wrapText="1"/>
    </xf>
    <xf numFmtId="0" fontId="20" fillId="0" borderId="0" applyNumberFormat="0" applyFill="0" applyProtection="0">
      <alignment vertical="top" wrapText="1"/>
    </xf>
    <xf numFmtId="0" fontId="21" fillId="0" borderId="0" applyNumberFormat="0" applyFont="0" applyFill="0" applyBorder="0">
      <alignment horizontal="right" wrapText="1"/>
    </xf>
    <xf numFmtId="172" fontId="21" fillId="0" borderId="0" applyFont="0" applyFill="0" applyBorder="0">
      <alignment horizontal="left" vertical="top"/>
    </xf>
    <xf numFmtId="0" fontId="21" fillId="0" borderId="0" applyFont="0" applyFill="0" applyBorder="0">
      <alignment horizontal="right" vertical="top" wrapText="1"/>
    </xf>
    <xf numFmtId="0" fontId="21" fillId="0" borderId="0" applyFont="0" applyFill="0" applyBorder="0">
      <alignment vertical="center" wrapText="1"/>
    </xf>
    <xf numFmtId="174" fontId="21" fillId="0" borderId="0" applyFont="0" applyFill="0" applyBorder="0" applyProtection="0">
      <alignment horizontal="right" vertical="center"/>
    </xf>
    <xf numFmtId="174" fontId="2" fillId="0" borderId="0" applyProtection="0">
      <alignment horizontal="right" vertical="center"/>
    </xf>
    <xf numFmtId="0" fontId="22" fillId="0" borderId="0" applyNumberFormat="0" applyFill="0" applyBorder="0" applyProtection="0">
      <alignment horizontal="center"/>
    </xf>
  </cellStyleXfs>
  <cellXfs count="7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167" fontId="0" fillId="0" borderId="0" xfId="0" applyNumberFormat="1"/>
    <xf numFmtId="168" fontId="0" fillId="0" borderId="0" xfId="1" applyNumberFormat="1" applyFont="1"/>
    <xf numFmtId="167" fontId="0" fillId="0" borderId="0" xfId="0" applyNumberFormat="1" applyAlignment="1">
      <alignment horizontal="right"/>
    </xf>
    <xf numFmtId="0" fontId="5" fillId="0" borderId="0" xfId="0" applyFont="1"/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1" fontId="5" fillId="0" borderId="0" xfId="0" applyNumberFormat="1" applyFont="1"/>
    <xf numFmtId="0" fontId="5" fillId="0" borderId="6" xfId="0" applyFont="1" applyBorder="1"/>
    <xf numFmtId="169" fontId="0" fillId="0" borderId="0" xfId="1" applyNumberFormat="1" applyFont="1"/>
    <xf numFmtId="170" fontId="0" fillId="0" borderId="0" xfId="0" applyNumberFormat="1" applyAlignment="1">
      <alignment horizontal="right"/>
    </xf>
    <xf numFmtId="14" fontId="6" fillId="3" borderId="0" xfId="0" applyNumberFormat="1" applyFont="1" applyFill="1" applyAlignment="1">
      <alignment horizontal="left" vertical="top" wrapText="1"/>
    </xf>
    <xf numFmtId="0" fontId="6" fillId="3" borderId="0" xfId="0" applyFont="1" applyFill="1" applyAlignment="1">
      <alignment horizontal="right" vertical="top" wrapText="1"/>
    </xf>
    <xf numFmtId="14" fontId="6" fillId="4" borderId="0" xfId="0" applyNumberFormat="1" applyFont="1" applyFill="1" applyAlignment="1">
      <alignment horizontal="left" vertical="top" wrapText="1"/>
    </xf>
    <xf numFmtId="0" fontId="6" fillId="4" borderId="0" xfId="0" applyFont="1" applyFill="1" applyAlignment="1">
      <alignment horizontal="right" vertical="top" wrapText="1"/>
    </xf>
    <xf numFmtId="0" fontId="0" fillId="5" borderId="0" xfId="0" applyFill="1"/>
    <xf numFmtId="0" fontId="6" fillId="3" borderId="0" xfId="0" applyFont="1" applyFill="1" applyAlignment="1">
      <alignment horizontal="left" vertical="top" wrapText="1"/>
    </xf>
    <xf numFmtId="0" fontId="6" fillId="4" borderId="0" xfId="0" applyFont="1" applyFill="1" applyAlignment="1">
      <alignment horizontal="left"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/>
    <xf numFmtId="167" fontId="0" fillId="0" borderId="0" xfId="1" applyNumberFormat="1" applyFont="1"/>
    <xf numFmtId="164" fontId="0" fillId="0" borderId="0" xfId="1" applyNumberFormat="1" applyFont="1"/>
    <xf numFmtId="14" fontId="0" fillId="0" borderId="0" xfId="0" applyNumberFormat="1" applyAlignment="1">
      <alignment horizontal="right"/>
    </xf>
    <xf numFmtId="14" fontId="7" fillId="0" borderId="0" xfId="0" applyNumberFormat="1" applyFont="1" applyAlignment="1">
      <alignment horizontal="right" wrapText="1"/>
    </xf>
    <xf numFmtId="14" fontId="8" fillId="0" borderId="0" xfId="0" applyNumberFormat="1" applyFont="1" applyAlignment="1">
      <alignment horizontal="right"/>
    </xf>
    <xf numFmtId="0" fontId="9" fillId="0" borderId="0" xfId="0" applyFont="1"/>
    <xf numFmtId="0" fontId="5" fillId="0" borderId="7" xfId="0" applyFont="1" applyBorder="1"/>
    <xf numFmtId="0" fontId="5" fillId="0" borderId="7" xfId="0" applyFont="1" applyBorder="1" applyAlignment="1">
      <alignment horizontal="left"/>
    </xf>
    <xf numFmtId="0" fontId="0" fillId="0" borderId="7" xfId="0" applyBorder="1"/>
    <xf numFmtId="0" fontId="12" fillId="0" borderId="7" xfId="0" applyFont="1" applyBorder="1"/>
    <xf numFmtId="0" fontId="12" fillId="0" borderId="7" xfId="0" applyFont="1" applyBorder="1" applyAlignment="1">
      <alignment horizontal="left"/>
    </xf>
    <xf numFmtId="0" fontId="13" fillId="0" borderId="7" xfId="0" applyFont="1" applyBorder="1"/>
    <xf numFmtId="0" fontId="1" fillId="0" borderId="0" xfId="0" applyFont="1"/>
    <xf numFmtId="166" fontId="1" fillId="0" borderId="0" xfId="0" applyNumberFormat="1" applyFont="1"/>
    <xf numFmtId="0" fontId="1" fillId="6" borderId="0" xfId="0" applyFont="1" applyFill="1"/>
    <xf numFmtId="165" fontId="1" fillId="0" borderId="0" xfId="0" applyNumberFormat="1" applyFont="1"/>
    <xf numFmtId="1" fontId="1" fillId="0" borderId="0" xfId="0" applyNumberFormat="1" applyFont="1"/>
    <xf numFmtId="0" fontId="14" fillId="0" borderId="0" xfId="0" applyFont="1"/>
    <xf numFmtId="0" fontId="15" fillId="0" borderId="0" xfId="0" applyFont="1"/>
    <xf numFmtId="0" fontId="18" fillId="0" borderId="0" xfId="3" applyFont="1"/>
    <xf numFmtId="0" fontId="7" fillId="0" borderId="0" xfId="5">
      <alignment wrapText="1"/>
    </xf>
    <xf numFmtId="0" fontId="20" fillId="0" borderId="0" xfId="6">
      <alignment vertical="top" wrapText="1"/>
    </xf>
    <xf numFmtId="0" fontId="22" fillId="0" borderId="0" xfId="7" applyFont="1">
      <alignment horizontal="right" wrapText="1"/>
    </xf>
    <xf numFmtId="171" fontId="0" fillId="0" borderId="0" xfId="7" applyNumberFormat="1" applyFont="1">
      <alignment horizontal="right" wrapText="1"/>
    </xf>
    <xf numFmtId="0" fontId="0" fillId="0" borderId="0" xfId="7" applyFont="1">
      <alignment horizontal="right" wrapText="1"/>
    </xf>
    <xf numFmtId="173" fontId="0" fillId="0" borderId="0" xfId="8" applyNumberFormat="1" applyFont="1">
      <alignment horizontal="left" vertical="top"/>
    </xf>
    <xf numFmtId="0" fontId="22" fillId="0" borderId="0" xfId="9" applyFont="1">
      <alignment horizontal="right" vertical="top" wrapText="1"/>
    </xf>
    <xf numFmtId="0" fontId="23" fillId="0" borderId="0" xfId="9" applyFont="1">
      <alignment horizontal="right" vertical="top" wrapText="1"/>
    </xf>
    <xf numFmtId="0" fontId="7" fillId="0" borderId="0" xfId="5" applyAlignment="1">
      <alignment horizontal="center" vertical="center"/>
    </xf>
    <xf numFmtId="0" fontId="7" fillId="0" borderId="0" xfId="5" applyAlignment="1">
      <alignment vertical="center"/>
    </xf>
    <xf numFmtId="0" fontId="0" fillId="0" borderId="0" xfId="10" applyFont="1">
      <alignment vertical="center" wrapText="1"/>
    </xf>
    <xf numFmtId="0" fontId="7" fillId="0" borderId="0" xfId="0" applyFont="1" applyAlignment="1">
      <alignment wrapText="1"/>
    </xf>
    <xf numFmtId="174" fontId="2" fillId="0" borderId="0" xfId="0" applyNumberFormat="1" applyFont="1" applyAlignment="1">
      <alignment horizontal="right" vertical="center"/>
    </xf>
    <xf numFmtId="170" fontId="0" fillId="0" borderId="0" xfId="11" applyNumberFormat="1" applyFont="1">
      <alignment horizontal="right" vertical="center"/>
    </xf>
    <xf numFmtId="168" fontId="0" fillId="7" borderId="8" xfId="0" applyNumberFormat="1" applyFill="1" applyBorder="1" applyAlignment="1">
      <alignment horizontal="right" vertical="center"/>
    </xf>
    <xf numFmtId="175" fontId="16" fillId="0" borderId="0" xfId="1" applyNumberFormat="1" applyFont="1" applyAlignment="1">
      <alignment horizontal="left" vertical="center"/>
    </xf>
    <xf numFmtId="173" fontId="1" fillId="0" borderId="0" xfId="8" applyNumberFormat="1" applyFont="1">
      <alignment horizontal="left" vertical="top"/>
    </xf>
    <xf numFmtId="0" fontId="0" fillId="0" borderId="9" xfId="0" applyBorder="1"/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1" fillId="0" borderId="0" xfId="0" applyFont="1" applyAlignment="1">
      <alignment wrapText="1"/>
    </xf>
    <xf numFmtId="0" fontId="19" fillId="0" borderId="0" xfId="4">
      <alignment horizontal="right"/>
    </xf>
    <xf numFmtId="0" fontId="7" fillId="0" borderId="0" xfId="5">
      <alignment wrapText="1"/>
    </xf>
    <xf numFmtId="0" fontId="22" fillId="0" borderId="0" xfId="13">
      <alignment horizontal="center"/>
    </xf>
    <xf numFmtId="0" fontId="0" fillId="0" borderId="0" xfId="0" applyFont="1"/>
    <xf numFmtId="1" fontId="0" fillId="0" borderId="0" xfId="0" applyNumberFormat="1" applyFont="1"/>
    <xf numFmtId="166" fontId="0" fillId="0" borderId="0" xfId="0" applyNumberFormat="1" applyFont="1"/>
  </cellXfs>
  <cellStyles count="14">
    <cellStyle name="Beskrivning" xfId="10" xr:uid="{9AFA171C-DA3D-4AAF-907F-591C2F0221DE}"/>
    <cellStyle name="Förklarande text 2" xfId="13" xr:uid="{D7D29397-5C4E-44C8-9EB0-172BCE5F85D6}"/>
    <cellStyle name="Högerjusterat" xfId="7" xr:uid="{EEB3867A-9896-43BC-B830-6B6B9404FAB4}"/>
    <cellStyle name="Normal" xfId="0" builtinId="0"/>
    <cellStyle name="Normal 2" xfId="5" xr:uid="{22BF3342-ABD3-41B8-B67E-8882CBA6E77C}"/>
    <cellStyle name="Rubrik 1 2" xfId="3" xr:uid="{767C8300-FFD6-4C74-BE9D-1D461B8D55B5}"/>
    <cellStyle name="Rubrik 2 2" xfId="6" xr:uid="{BF611073-A633-4AA8-948D-AB6E649E1062}"/>
    <cellStyle name="Rubrik 5" xfId="4" xr:uid="{B31A22D8-7777-478E-B119-EA861FBD6EAD}"/>
    <cellStyle name="Summa 2" xfId="12" xr:uid="{DD08F397-1CE3-44C0-84CE-A2286DDF38D5}"/>
    <cellStyle name="Telefon" xfId="8" xr:uid="{2D3CB71C-B675-46BF-BD55-127BC82FE14C}"/>
    <cellStyle name="Valuta" xfId="1" builtinId="4"/>
    <cellStyle name="Valuta 2" xfId="2" xr:uid="{3BB34712-EAE7-422C-BFD4-B04B67B2A45A}"/>
    <cellStyle name="Valuta 3" xfId="11" xr:uid="{9BF4EA5D-E191-41A7-9A11-6EFCFB2EC484}"/>
    <cellStyle name="Överkant" xfId="9" xr:uid="{6248CB4F-A340-4C52-8633-7B76A2F59A66}"/>
  </cellStyles>
  <dxfs count="231">
    <dxf>
      <numFmt numFmtId="168" formatCode="_-* #,##0\ &quot;kr&quot;_-;\-* #,##0\ &quot;kr&quot;_-;_-* &quot;-&quot;??\ &quot;kr&quot;_-;_-@_-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_(&quot;$&quot;* #,##0.00_);_(&quot;$&quot;* \(#,##0.00\);_(&quot;$&quot;* &quot;-&quot;??_);_(@_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170" formatCode="#,##0.0\ [$kr-41D];\-#,##0.0\ [$kr-41D]"/>
    </dxf>
    <dxf>
      <numFmt numFmtId="0" formatCode="General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* #,##0\ &quot;kr&quot;_-;\-* #,##0\ &quot;kr&quot;_-;_-* &quot;-&quot;??\ &quot;kr&quot;_-;_-@_-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0" formatCode="#,##0.0\ [$kr-41D];\-#,##0.0\ [$kr-41D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* #,##0\ &quot;kr&quot;_-;\-* #,##0\ &quot;kr&quot;_-;_-* &quot;-&quot;??\ &quot;kr&quot;_-;_-@_-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0" formatCode="#,##0.0\ [$kr-41D];\-#,##0.0\ [$kr-41D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* #,##0\ &quot;kr&quot;_-;\-* #,##0\ &quot;kr&quot;_-;_-* &quot;-&quot;??\ &quot;kr&quot;_-;_-@_-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0" formatCode="#,##0.0\ [$kr-41D];\-#,##0.0\ [$kr-41D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* #,##0\ &quot;kr&quot;_-;\-* #,##0\ &quot;kr&quot;_-;_-* &quot;-&quot;??\ &quot;kr&quot;_-;_-@_-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0" formatCode="#,##0.0\ [$kr-41D];\-#,##0.0\ [$kr-41D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* #,##0\ &quot;kr&quot;_-;\-* #,##0\ &quot;kr&quot;_-;_-* &quot;-&quot;??\ &quot;kr&quot;_-;_-@_-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0" formatCode="#,##0.0\ [$kr-41D];\-#,##0.0\ [$kr-41D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* #,##0\ &quot;kr&quot;_-;\-* #,##0\ &quot;kr&quot;_-;_-* &quot;-&quot;??\ &quot;kr&quot;_-;_-@_-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0" formatCode="#,##0.0\ [$kr-41D];\-#,##0.0\ [$kr-41D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* #,##0\ &quot;kr&quot;_-;\-* #,##0\ &quot;kr&quot;_-;_-* &quot;-&quot;??\ &quot;kr&quot;_-;_-@_-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0" formatCode="#,##0.0\ [$kr-41D];\-#,##0.0\ [$kr-41D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* #,##0\ &quot;kr&quot;_-;\-* #,##0\ &quot;kr&quot;_-;_-* &quot;-&quot;??\ &quot;kr&quot;_-;_-@_-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0" formatCode="#,##0.0\ [$kr-41D];\-#,##0.0\ [$kr-41D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* #,##0\ &quot;kr&quot;_-;\-* #,##0\ &quot;kr&quot;_-;_-* &quot;-&quot;??\ &quot;kr&quot;_-;_-@_-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0" formatCode="#,##0.0\ [$kr-41D];\-#,##0.0\ [$kr-41D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* #,##0\ &quot;kr&quot;_-;\-* #,##0\ &quot;kr&quot;_-;_-* &quot;-&quot;??\ &quot;kr&quot;_-;_-@_-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0" formatCode="#,##0.0\ [$kr-41D];\-#,##0.0\ [$kr-41D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* #,##0\ &quot;kr&quot;_-;\-* #,##0\ &quot;kr&quot;_-;_-* &quot;-&quot;??\ &quot;kr&quot;_-;_-@_-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0" formatCode="#,##0.0\ [$kr-41D];\-#,##0.0\ [$kr-41D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* #,##0\ &quot;kr&quot;_-;\-* #,##0\ &quot;kr&quot;_-;_-* &quot;-&quot;??\ &quot;kr&quot;_-;_-@_-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0" formatCode="#,##0.0\ [$kr-41D];\-#,##0.0\ [$kr-41D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* #,##0\ &quot;kr&quot;_-;\-* #,##0\ &quot;kr&quot;_-;_-* &quot;-&quot;??\ &quot;kr&quot;_-;_-@_-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0" formatCode="#,##0.0\ [$kr-41D];\-#,##0.0\ [$kr-41D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8" formatCode="_-* #,##0\ &quot;kr&quot;_-;\-* #,##0\ &quot;kr&quot;_-;_-* &quot;-&quot;??\ &quot;kr&quot;_-;_-@_-"/>
    </dxf>
    <dxf>
      <numFmt numFmtId="168" formatCode="_-* #,##0\ &quot;kr&quot;_-;\-* #,##0\ &quot;kr&quot;_-;_-* &quot;-&quot;??\ &quot;kr&quot;_-;_-@_-"/>
    </dxf>
    <dxf>
      <numFmt numFmtId="168" formatCode="_-* #,##0\ &quot;kr&quot;_-;\-* #,##0\ &quot;kr&quot;_-;_-* &quot;-&quot;??\ &quot;kr&quot;_-;_-@_-"/>
    </dxf>
    <dxf>
      <numFmt numFmtId="164" formatCode="#,##0\ &quot;kr&quot;"/>
    </dxf>
    <dxf>
      <numFmt numFmtId="168" formatCode="_-* #,##0\ &quot;kr&quot;_-;\-* #,##0\ &quot;kr&quot;_-;_-* &quot;-&quot;??\ &quot;kr&quot;_-;_-@_-"/>
    </dxf>
    <dxf>
      <numFmt numFmtId="168" formatCode="_-* #,##0\ &quot;kr&quot;_-;\-* #,##0\ &quot;kr&quot;_-;_-* &quot;-&quot;??\ &quot;kr&quot;_-;_-@_-"/>
    </dxf>
    <dxf>
      <numFmt numFmtId="165" formatCode="0.0"/>
    </dxf>
    <dxf>
      <numFmt numFmtId="0" formatCode="General"/>
    </dxf>
    <dxf>
      <numFmt numFmtId="0" formatCode="General"/>
    </dxf>
    <dxf>
      <numFmt numFmtId="166" formatCode="yyyy/mm/dd;@"/>
    </dxf>
    <dxf>
      <numFmt numFmtId="168" formatCode="_-* #,##0\ &quot;kr&quot;_-;\-* #,##0\ &quot;kr&quot;_-;_-* &quot;-&quot;??\ &quot;kr&quot;_-;_-@_-"/>
    </dxf>
    <dxf>
      <numFmt numFmtId="168" formatCode="_-* #,##0\ &quot;kr&quot;_-;\-* #,##0\ &quot;kr&quot;_-;_-* &quot;-&quot;??\ &quot;kr&quot;_-;_-@_-"/>
    </dxf>
    <dxf>
      <numFmt numFmtId="168" formatCode="_-* #,##0\ &quot;kr&quot;_-;\-* #,##0\ &quot;kr&quot;_-;_-* &quot;-&quot;??\ &quot;kr&quot;_-;_-@_-"/>
    </dxf>
    <dxf>
      <numFmt numFmtId="164" formatCode="#,##0\ &quot;kr&quot;"/>
    </dxf>
    <dxf>
      <numFmt numFmtId="168" formatCode="_-* #,##0\ &quot;kr&quot;_-;\-* #,##0\ &quot;kr&quot;_-;_-* &quot;-&quot;??\ &quot;kr&quot;_-;_-@_-"/>
    </dxf>
    <dxf>
      <numFmt numFmtId="168" formatCode="_-* #,##0\ &quot;kr&quot;_-;\-* #,##0\ &quot;kr&quot;_-;_-* &quot;-&quot;??\ &quot;kr&quot;_-;_-@_-"/>
    </dxf>
    <dxf>
      <numFmt numFmtId="165" formatCode="0.0"/>
    </dxf>
    <dxf>
      <numFmt numFmtId="0" formatCode="General"/>
    </dxf>
    <dxf>
      <numFmt numFmtId="0" formatCode="General"/>
    </dxf>
    <dxf>
      <numFmt numFmtId="166" formatCode="yyyy/mm/dd;@"/>
    </dxf>
    <dxf>
      <numFmt numFmtId="168" formatCode="_-* #,##0\ &quot;kr&quot;_-;\-* #,##0\ &quot;kr&quot;_-;_-* &quot;-&quot;??\ &quot;kr&quot;_-;_-@_-"/>
    </dxf>
    <dxf>
      <numFmt numFmtId="168" formatCode="_-* #,##0\ &quot;kr&quot;_-;\-* #,##0\ &quot;kr&quot;_-;_-* &quot;-&quot;??\ &quot;kr&quot;_-;_-@_-"/>
    </dxf>
    <dxf>
      <numFmt numFmtId="168" formatCode="_-* #,##0\ &quot;kr&quot;_-;\-* #,##0\ &quot;kr&quot;_-;_-* &quot;-&quot;??\ &quot;kr&quot;_-;_-@_-"/>
    </dxf>
    <dxf>
      <numFmt numFmtId="164" formatCode="#,##0\ &quot;kr&quot;"/>
    </dxf>
    <dxf>
      <numFmt numFmtId="168" formatCode="_-* #,##0\ &quot;kr&quot;_-;\-* #,##0\ &quot;kr&quot;_-;_-* &quot;-&quot;??\ &quot;kr&quot;_-;_-@_-"/>
    </dxf>
    <dxf>
      <numFmt numFmtId="168" formatCode="_-* #,##0\ &quot;kr&quot;_-;\-* #,##0\ &quot;kr&quot;_-;_-* &quot;-&quot;??\ &quot;kr&quot;_-;_-@_-"/>
    </dxf>
    <dxf>
      <numFmt numFmtId="165" formatCode="0.0"/>
    </dxf>
    <dxf>
      <numFmt numFmtId="0" formatCode="General"/>
    </dxf>
    <dxf>
      <numFmt numFmtId="0" formatCode="General"/>
    </dxf>
    <dxf>
      <numFmt numFmtId="166" formatCode="yyyy/mm/dd;@"/>
    </dxf>
    <dxf>
      <numFmt numFmtId="164" formatCode="#,##0\ &quot;kr&quot;"/>
    </dxf>
    <dxf>
      <numFmt numFmtId="168" formatCode="_-* #,##0\ &quot;kr&quot;_-;\-* #,##0\ &quot;kr&quot;_-;_-* &quot;-&quot;??\ &quot;kr&quot;_-;_-@_-"/>
    </dxf>
    <dxf>
      <numFmt numFmtId="168" formatCode="_-* #,##0\ &quot;kr&quot;_-;\-* #,##0\ &quot;kr&quot;_-;_-* &quot;-&quot;??\ &quot;kr&quot;_-;_-@_-"/>
    </dxf>
    <dxf>
      <numFmt numFmtId="168" formatCode="_-* #,##0\ &quot;kr&quot;_-;\-* #,##0\ &quot;kr&quot;_-;_-* &quot;-&quot;??\ &quot;kr&quot;_-;_-@_-"/>
    </dxf>
    <dxf>
      <numFmt numFmtId="164" formatCode="#,##0\ &quot;kr&quot;"/>
    </dxf>
    <dxf>
      <numFmt numFmtId="164" formatCode="#,##0\ &quot;kr&quot;"/>
    </dxf>
    <dxf>
      <numFmt numFmtId="165" formatCode="0.0"/>
    </dxf>
    <dxf>
      <numFmt numFmtId="0" formatCode="General"/>
    </dxf>
    <dxf>
      <numFmt numFmtId="0" formatCode="General"/>
    </dxf>
    <dxf>
      <numFmt numFmtId="166" formatCode="yyyy/mm/dd;@"/>
    </dxf>
    <dxf>
      <numFmt numFmtId="168" formatCode="_-* #,##0\ &quot;kr&quot;_-;\-* #,##0\ &quot;kr&quot;_-;_-* &quot;-&quot;??\ &quot;kr&quot;_-;_-@_-"/>
    </dxf>
    <dxf>
      <numFmt numFmtId="168" formatCode="_-* #,##0\ &quot;kr&quot;_-;\-* #,##0\ &quot;kr&quot;_-;_-* &quot;-&quot;??\ &quot;kr&quot;_-;_-@_-"/>
    </dxf>
    <dxf>
      <numFmt numFmtId="168" formatCode="_-* #,##0\ &quot;kr&quot;_-;\-* #,##0\ &quot;kr&quot;_-;_-* &quot;-&quot;??\ &quot;kr&quot;_-;_-@_-"/>
    </dxf>
    <dxf>
      <numFmt numFmtId="164" formatCode="#,##0\ &quot;kr&quot;"/>
    </dxf>
    <dxf>
      <numFmt numFmtId="168" formatCode="_-* #,##0\ &quot;kr&quot;_-;\-* #,##0\ &quot;kr&quot;_-;_-* &quot;-&quot;??\ &quot;kr&quot;_-;_-@_-"/>
    </dxf>
    <dxf>
      <numFmt numFmtId="164" formatCode="#,##0\ &quot;kr&quot;"/>
    </dxf>
    <dxf>
      <numFmt numFmtId="165" formatCode="0.0"/>
    </dxf>
    <dxf>
      <numFmt numFmtId="0" formatCode="General"/>
    </dxf>
    <dxf>
      <numFmt numFmtId="0" formatCode="General"/>
    </dxf>
    <dxf>
      <numFmt numFmtId="166" formatCode="yyyy/mm/dd;@"/>
    </dxf>
    <dxf>
      <numFmt numFmtId="168" formatCode="_-* #,##0\ &quot;kr&quot;_-;\-* #,##0\ &quot;kr&quot;_-;_-* &quot;-&quot;??\ &quot;kr&quot;_-;_-@_-"/>
    </dxf>
    <dxf>
      <numFmt numFmtId="168" formatCode="_-* #,##0\ &quot;kr&quot;_-;\-* #,##0\ &quot;kr&quot;_-;_-* &quot;-&quot;??\ &quot;kr&quot;_-;_-@_-"/>
    </dxf>
    <dxf>
      <numFmt numFmtId="168" formatCode="_-* #,##0\ &quot;kr&quot;_-;\-* #,##0\ &quot;kr&quot;_-;_-* &quot;-&quot;??\ &quot;kr&quot;_-;_-@_-"/>
    </dxf>
    <dxf>
      <numFmt numFmtId="164" formatCode="#,##0\ &quot;kr&quot;"/>
    </dxf>
    <dxf>
      <numFmt numFmtId="168" formatCode="_-* #,##0\ &quot;kr&quot;_-;\-* #,##0\ &quot;kr&quot;_-;_-* &quot;-&quot;??\ &quot;kr&quot;_-;_-@_-"/>
    </dxf>
    <dxf>
      <numFmt numFmtId="164" formatCode="#,##0\ &quot;kr&quot;"/>
    </dxf>
    <dxf>
      <numFmt numFmtId="165" formatCode="0.0"/>
    </dxf>
    <dxf>
      <numFmt numFmtId="0" formatCode="General"/>
    </dxf>
    <dxf>
      <numFmt numFmtId="0" formatCode="General"/>
    </dxf>
    <dxf>
      <numFmt numFmtId="166" formatCode="yyyy/mm/dd;@"/>
    </dxf>
    <dxf>
      <numFmt numFmtId="168" formatCode="_-* #,##0\ &quot;kr&quot;_-;\-* #,##0\ &quot;kr&quot;_-;_-* &quot;-&quot;??\ &quot;kr&quot;_-;_-@_-"/>
    </dxf>
    <dxf>
      <numFmt numFmtId="168" formatCode="_-* #,##0\ &quot;kr&quot;_-;\-* #,##0\ &quot;kr&quot;_-;_-* &quot;-&quot;??\ &quot;kr&quot;_-;_-@_-"/>
    </dxf>
    <dxf>
      <numFmt numFmtId="168" formatCode="_-* #,##0\ &quot;kr&quot;_-;\-* #,##0\ &quot;kr&quot;_-;_-* &quot;-&quot;??\ &quot;kr&quot;_-;_-@_-"/>
    </dxf>
    <dxf>
      <numFmt numFmtId="164" formatCode="#,##0\ &quot;kr&quot;"/>
    </dxf>
    <dxf>
      <numFmt numFmtId="168" formatCode="_-* #,##0\ &quot;kr&quot;_-;\-* #,##0\ &quot;kr&quot;_-;_-* &quot;-&quot;??\ &quot;kr&quot;_-;_-@_-"/>
    </dxf>
    <dxf>
      <numFmt numFmtId="164" formatCode="#,##0\ &quot;kr&quot;"/>
    </dxf>
    <dxf>
      <numFmt numFmtId="165" formatCode="0.0"/>
    </dxf>
    <dxf>
      <numFmt numFmtId="0" formatCode="General"/>
    </dxf>
    <dxf>
      <numFmt numFmtId="0" formatCode="General"/>
    </dxf>
    <dxf>
      <numFmt numFmtId="166" formatCode="yyyy/mm/dd;@"/>
    </dxf>
    <dxf>
      <numFmt numFmtId="168" formatCode="_-* #,##0\ &quot;kr&quot;_-;\-* #,##0\ &quot;kr&quot;_-;_-* &quot;-&quot;??\ &quot;kr&quot;_-;_-@_-"/>
    </dxf>
    <dxf>
      <numFmt numFmtId="168" formatCode="_-* #,##0\ &quot;kr&quot;_-;\-* #,##0\ &quot;kr&quot;_-;_-* &quot;-&quot;??\ &quot;kr&quot;_-;_-@_-"/>
    </dxf>
    <dxf>
      <numFmt numFmtId="168" formatCode="_-* #,##0\ &quot;kr&quot;_-;\-* #,##0\ &quot;kr&quot;_-;_-* &quot;-&quot;??\ &quot;kr&quot;_-;_-@_-"/>
    </dxf>
    <dxf>
      <numFmt numFmtId="164" formatCode="#,##0\ &quot;kr&quot;"/>
    </dxf>
    <dxf>
      <numFmt numFmtId="168" formatCode="_-* #,##0\ &quot;kr&quot;_-;\-* #,##0\ &quot;kr&quot;_-;_-* &quot;-&quot;??\ &quot;kr&quot;_-;_-@_-"/>
    </dxf>
    <dxf>
      <numFmt numFmtId="164" formatCode="#,##0\ &quot;kr&quot;"/>
    </dxf>
    <dxf>
      <numFmt numFmtId="165" formatCode="0.0"/>
    </dxf>
    <dxf>
      <numFmt numFmtId="0" formatCode="General"/>
    </dxf>
    <dxf>
      <numFmt numFmtId="0" formatCode="General"/>
    </dxf>
    <dxf>
      <numFmt numFmtId="166" formatCode="yyyy/mm/dd;@"/>
    </dxf>
    <dxf>
      <numFmt numFmtId="167" formatCode="_-* #,##0\ [$kr-41D]_-;\-* #,##0\ [$kr-41D]_-;_-* &quot;-&quot;??\ [$kr-41D]_-;_-@_-"/>
    </dxf>
    <dxf>
      <numFmt numFmtId="167" formatCode="_-* #,##0\ [$kr-41D]_-;\-* #,##0\ [$kr-41D]_-;_-* &quot;-&quot;??\ [$kr-41D]_-;_-@_-"/>
    </dxf>
    <dxf>
      <numFmt numFmtId="167" formatCode="_-* #,##0\ [$kr-41D]_-;\-* #,##0\ [$kr-41D]_-;_-* &quot;-&quot;??\ [$kr-41D]_-;_-@_-"/>
    </dxf>
    <dxf>
      <numFmt numFmtId="164" formatCode="#,##0\ &quot;kr&quot;"/>
    </dxf>
    <dxf>
      <numFmt numFmtId="167" formatCode="_-* #,##0\ [$kr-41D]_-;\-* #,##0\ [$kr-41D]_-;_-* &quot;-&quot;??\ [$kr-41D]_-;_-@_-"/>
    </dxf>
    <dxf>
      <numFmt numFmtId="164" formatCode="#,##0\ &quot;kr&quot;"/>
    </dxf>
    <dxf>
      <numFmt numFmtId="165" formatCode="0.0"/>
    </dxf>
    <dxf>
      <numFmt numFmtId="0" formatCode="General"/>
    </dxf>
    <dxf>
      <numFmt numFmtId="0" formatCode="General"/>
    </dxf>
    <dxf>
      <numFmt numFmtId="166" formatCode="yyyy/mm/dd;@"/>
    </dxf>
    <dxf>
      <numFmt numFmtId="164" formatCode="#,##0\ &quot;kr&quot;"/>
    </dxf>
    <dxf>
      <numFmt numFmtId="164" formatCode="#,##0\ &quot;kr&quot;"/>
    </dxf>
    <dxf>
      <numFmt numFmtId="164" formatCode="#,##0\ &quot;kr&quot;"/>
    </dxf>
    <dxf>
      <numFmt numFmtId="164" formatCode="#,##0\ &quot;kr&quot;"/>
    </dxf>
    <dxf>
      <numFmt numFmtId="164" formatCode="#,##0\ &quot;kr&quot;"/>
    </dxf>
    <dxf>
      <numFmt numFmtId="164" formatCode="#,##0\ &quot;kr&quot;"/>
    </dxf>
    <dxf>
      <numFmt numFmtId="165" formatCode="0.0"/>
    </dxf>
    <dxf>
      <numFmt numFmtId="0" formatCode="General"/>
    </dxf>
    <dxf>
      <numFmt numFmtId="0" formatCode="General"/>
    </dxf>
    <dxf>
      <numFmt numFmtId="166" formatCode="yyyy/mm/dd;@"/>
    </dxf>
    <dxf>
      <numFmt numFmtId="164" formatCode="#,##0\ &quot;kr&quot;"/>
    </dxf>
    <dxf>
      <numFmt numFmtId="164" formatCode="#,##0\ &quot;kr&quot;"/>
    </dxf>
    <dxf>
      <numFmt numFmtId="164" formatCode="#,##0\ &quot;kr&quot;"/>
    </dxf>
    <dxf>
      <numFmt numFmtId="164" formatCode="#,##0\ &quot;kr&quot;"/>
    </dxf>
    <dxf>
      <numFmt numFmtId="164" formatCode="#,##0\ &quot;kr&quot;"/>
    </dxf>
    <dxf>
      <numFmt numFmtId="164" formatCode="#,##0\ &quot;kr&quot;"/>
    </dxf>
    <dxf>
      <numFmt numFmtId="165" formatCode="0.0"/>
    </dxf>
    <dxf>
      <numFmt numFmtId="0" formatCode="General"/>
    </dxf>
    <dxf>
      <numFmt numFmtId="0" formatCode="General"/>
    </dxf>
    <dxf>
      <numFmt numFmtId="166" formatCode="yyyy/mm/dd;@"/>
    </dxf>
    <dxf>
      <numFmt numFmtId="164" formatCode="#,##0\ &quot;kr&quot;"/>
    </dxf>
    <dxf>
      <numFmt numFmtId="164" formatCode="#,##0\ &quot;kr&quot;"/>
    </dxf>
    <dxf>
      <numFmt numFmtId="164" formatCode="#,##0\ &quot;kr&quot;"/>
    </dxf>
    <dxf>
      <numFmt numFmtId="164" formatCode="#,##0\ &quot;kr&quot;"/>
    </dxf>
    <dxf>
      <numFmt numFmtId="164" formatCode="#,##0\ &quot;kr&quot;"/>
    </dxf>
    <dxf>
      <numFmt numFmtId="164" formatCode="#,##0\ &quot;kr&quot;"/>
    </dxf>
    <dxf>
      <numFmt numFmtId="165" formatCode="0.0"/>
    </dxf>
    <dxf>
      <numFmt numFmtId="0" formatCode="General"/>
    </dxf>
    <dxf>
      <numFmt numFmtId="0" formatCode="General"/>
    </dxf>
    <dxf>
      <numFmt numFmtId="166" formatCode="yyyy/mm/dd;@"/>
    </dxf>
    <dxf>
      <numFmt numFmtId="164" formatCode="#,##0\ &quot;kr&quot;"/>
    </dxf>
    <dxf>
      <numFmt numFmtId="164" formatCode="#,##0\ &quot;kr&quot;"/>
    </dxf>
    <dxf>
      <numFmt numFmtId="164" formatCode="#,##0\ &quot;kr&quot;"/>
    </dxf>
    <dxf>
      <numFmt numFmtId="164" formatCode="#,##0\ &quot;kr&quot;"/>
    </dxf>
    <dxf>
      <numFmt numFmtId="164" formatCode="#,##0\ &quot;kr&quot;"/>
    </dxf>
    <dxf>
      <numFmt numFmtId="164" formatCode="#,##0\ &quot;kr&quot;"/>
    </dxf>
    <dxf>
      <numFmt numFmtId="165" formatCode="0.0"/>
    </dxf>
    <dxf>
      <numFmt numFmtId="0" formatCode="General"/>
    </dxf>
    <dxf>
      <numFmt numFmtId="0" formatCode="General"/>
    </dxf>
    <dxf>
      <numFmt numFmtId="166" formatCode="yyyy/mm/dd;@"/>
    </dxf>
    <dxf>
      <numFmt numFmtId="164" formatCode="#,##0\ &quot;kr&quot;"/>
    </dxf>
    <dxf>
      <numFmt numFmtId="164" formatCode="#,##0\ &quot;kr&quot;"/>
    </dxf>
    <dxf>
      <numFmt numFmtId="164" formatCode="#,##0\ &quot;kr&quot;"/>
    </dxf>
    <dxf>
      <numFmt numFmtId="164" formatCode="#,##0\ &quot;kr&quot;"/>
    </dxf>
    <dxf>
      <numFmt numFmtId="164" formatCode="#,##0\ &quot;kr&quot;"/>
    </dxf>
    <dxf>
      <numFmt numFmtId="164" formatCode="#,##0\ &quot;kr&quot;"/>
    </dxf>
    <dxf>
      <numFmt numFmtId="165" formatCode="0.0"/>
    </dxf>
    <dxf>
      <numFmt numFmtId="0" formatCode="General"/>
    </dxf>
    <dxf>
      <numFmt numFmtId="0" formatCode="General"/>
    </dxf>
    <dxf>
      <numFmt numFmtId="166" formatCode="yyyy/mm/dd;@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65" formatCode="0.0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6" tint="0.79998168889431442"/>
        </patternFill>
      </fill>
    </dxf>
    <dxf>
      <numFmt numFmtId="0" formatCode="General"/>
    </dxf>
    <dxf>
      <fill>
        <patternFill patternType="solid">
          <fgColor indexed="64"/>
          <bgColor theme="6" tint="0.79998168889431442"/>
        </patternFill>
      </fill>
    </dxf>
    <dxf>
      <numFmt numFmtId="166" formatCode="yyyy/mm/dd;@"/>
    </dxf>
    <dxf>
      <font>
        <b val="0"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font>
        <b/>
        <i val="0"/>
      </font>
      <border diagonalUp="0" diagonalDown="0">
        <left/>
        <right/>
        <top style="thin">
          <color auto="1"/>
        </top>
        <bottom/>
        <vertical/>
        <horizontal/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</dxfs>
  <tableStyles count="1" defaultTableStyle="TableStyleMedium2" defaultPivotStyle="PivotStyleLight16">
    <tableStyle name="Faktura som beräknar summan" pivot="0" count="7" xr9:uid="{8952F0CA-EE2C-4ABB-BA38-D01F642E29FC}">
      <tableStyleElement type="wholeTable" dxfId="230"/>
      <tableStyleElement type="headerRow" dxfId="229"/>
      <tableStyleElement type="totalRow" dxfId="228"/>
      <tableStyleElement type="lastColumn" dxfId="227"/>
      <tableStyleElement type="secondColumnStripe" dxfId="226"/>
      <tableStyleElement type="lastHeaderCell" dxfId="225"/>
      <tableStyleElement type="lastTotalCell" dxfId="2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ell6" displayName="Tabell6" ref="A4:S60" totalsRowShown="0">
  <autoFilter ref="A4:S60" xr:uid="{00000000-0009-0000-0100-000006000000}"/>
  <tableColumns count="19">
    <tableColumn id="1" xr3:uid="{00000000-0010-0000-0000-000001000000}" name="Avläsnings datum" dataDxfId="223"/>
    <tableColumn id="2" xr3:uid="{00000000-0010-0000-0000-000002000000}" name="Nuvarande 1" dataDxfId="222"/>
    <tableColumn id="3" xr3:uid="{00000000-0010-0000-0000-000003000000}" name="Föregående 1">
      <calculatedColumnFormula>B4</calculatedColumnFormula>
    </tableColumn>
    <tableColumn id="4" xr3:uid="{00000000-0010-0000-0000-000004000000}" name="Förbrukning 1" dataDxfId="221">
      <calculatedColumnFormula>IF(B5-C5&lt;0,0,B5-C5)</calculatedColumnFormula>
    </tableColumn>
    <tableColumn id="6" xr3:uid="{00000000-0010-0000-0000-000006000000}" name="Nuvarande 2" dataDxfId="220"/>
    <tableColumn id="7" xr3:uid="{00000000-0010-0000-0000-000007000000}" name="Föregående 2">
      <calculatedColumnFormula>E4</calculatedColumnFormula>
    </tableColumn>
    <tableColumn id="8" xr3:uid="{00000000-0010-0000-0000-000008000000}" name="Förbrukning 2" dataDxfId="219">
      <calculatedColumnFormula>IF(E5-F5&lt;0,0,E5-F5)</calculatedColumnFormula>
    </tableColumn>
    <tableColumn id="9" xr3:uid="{00000000-0010-0000-0000-000009000000}" name="Förbrukning 1+2">
      <calculatedColumnFormula>D5+G5</calculatedColumnFormula>
    </tableColumn>
    <tableColumn id="10" xr3:uid="{00000000-0010-0000-0000-00000A000000}" name="Förbrukning alla hus" dataDxfId="218">
      <calculatedColumnFormula>SUM(Gräsv.6:Gräsv.32!D5)</calculatedColumnFormula>
    </tableColumn>
    <tableColumn id="11" xr3:uid="{00000000-0010-0000-0000-00000B000000}" name="Differens">
      <calculatedColumnFormula>I5-H5</calculatedColumnFormula>
    </tableColumn>
    <tableColumn id="12" xr3:uid="{00000000-0010-0000-0000-00000C000000}" name="Att fördela" dataDxfId="217">
      <calculatedColumnFormula>Tabell6[[#This Row],[Differens]]/-14</calculatedColumnFormula>
    </tableColumn>
    <tableColumn id="13" xr3:uid="{00000000-0010-0000-0000-00000D000000}" name="Pris/m3 ex.moms"/>
    <tableColumn id="14" xr3:uid="{00000000-0010-0000-0000-00000E000000}" name="Pris/m3 ink.moms" dataDxfId="216">
      <calculatedColumnFormula>Tabell6[[#This Row],[Pris/m3 ex.moms]]*1.25</calculatedColumnFormula>
    </tableColumn>
    <tableColumn id="15" xr3:uid="{00000000-0010-0000-0000-00000F000000}" name="Fast avg" dataDxfId="215">
      <calculatedColumnFormula>1788/3</calculatedColumnFormula>
    </tableColumn>
    <tableColumn id="16" xr3:uid="{00000000-0010-0000-0000-000010000000}" name="Kapacitet" dataDxfId="214">
      <calculatedColumnFormula>14091/3</calculatedColumnFormula>
    </tableColumn>
    <tableColumn id="17" xr3:uid="{00000000-0010-0000-0000-000011000000}" name="sd" dataDxfId="213"/>
    <tableColumn id="18" xr3:uid="{00000000-0010-0000-0000-000012000000}" name="Summa fast avg" dataDxfId="5">
      <calculatedColumnFormula>SUM(Tabell6[[#This Row],[Fast avg]:[sd]])</calculatedColumnFormula>
    </tableColumn>
    <tableColumn id="19" xr3:uid="{00000000-0010-0000-0000-000013000000}" name="Summa fast avg/hushåll" dataDxfId="212">
      <calculatedColumnFormula>Tabell6[[#This Row],[Summa fast avg]]/14</calculatedColumnFormula>
    </tableColumn>
    <tableColumn id="5" xr3:uid="{00000000-0010-0000-0000-000005000000}" name="Medlems avg" dataDxfId="211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9000000}" name="Tabell41011121314151617" displayName="Tabell41011121314151617" ref="A4:L60" totalsRowShown="0">
  <autoFilter ref="A4:L60" xr:uid="{00000000-0009-0000-0100-000010000000}"/>
  <tableColumns count="12">
    <tableColumn id="1" xr3:uid="{00000000-0010-0000-0900-000001000000}" name="Avläsnings datum" dataDxfId="130">
      <calculatedColumnFormula>Tabell6[[#This Row],[Avläsnings datum]]</calculatedColumnFormula>
    </tableColumn>
    <tableColumn id="2" xr3:uid="{00000000-0010-0000-0900-000002000000}" name="Nuvarande"/>
    <tableColumn id="3" xr3:uid="{00000000-0010-0000-0900-000003000000}" name="Föregående" dataDxfId="129">
      <calculatedColumnFormula>B4</calculatedColumnFormula>
    </tableColumn>
    <tableColumn id="4" xr3:uid="{00000000-0010-0000-0900-000004000000}" name="Förbrukning" dataDxfId="128">
      <calculatedColumnFormula>IF(B5-C5&lt;0,0,B5-C5)</calculatedColumnFormula>
    </tableColumn>
    <tableColumn id="7" xr3:uid="{00000000-0010-0000-0900-000007000000}" name="Utjämning" dataDxfId="127">
      <calculatedColumnFormula>Tabell6[[#This Row],[Att fördela]]</calculatedColumnFormula>
    </tableColumn>
    <tableColumn id="5" xr3:uid="{00000000-0010-0000-0900-000005000000}" name="Kr/m3">
      <calculatedColumnFormula>Tabell6[[#This Row],[Pris/m3 ink.moms]]</calculatedColumnFormula>
    </tableColumn>
    <tableColumn id="6" xr3:uid="{00000000-0010-0000-0900-000006000000}" name="Summa förbrukning" dataDxfId="126">
      <calculatedColumnFormula>(Tabell41011121314151617[[#This Row],[Förbrukning]]+Tabell41011121314151617[[#This Row],[Utjämning]])*Tabell41011121314151617[[#This Row],[Kr/m3]]</calculatedColumnFormula>
    </tableColumn>
    <tableColumn id="8" xr3:uid="{00000000-0010-0000-0900-000008000000}" name="Fast avg" dataDxfId="125" dataCellStyle="Valuta">
      <calculatedColumnFormula>Tabell6[[#This Row],[Summa fast avg/hushåll]]</calculatedColumnFormula>
    </tableColumn>
    <tableColumn id="9" xr3:uid="{00000000-0010-0000-0900-000009000000}" name="Medlems avg" dataDxfId="124" dataCellStyle="Valuta">
      <calculatedColumnFormula>Tabell6[[#This Row],[Medlems avg]]/14</calculatedColumnFormula>
    </tableColumn>
    <tableColumn id="10" xr3:uid="{00000000-0010-0000-0900-00000A000000}" name="Lån" dataDxfId="123" dataCellStyle="Valuta"/>
    <tableColumn id="11" xr3:uid="{00000000-0010-0000-0900-00000B000000}" name="Att betala" dataDxfId="122" dataCellStyle="Valuta">
      <calculatedColumnFormula>IF(Tabell41011121314151617[[#This Row],[Nuvarande]], SUM(Tabell41011121314151617[[#This Row],[Summa förbrukning]:[Lån]])+Tabell41011121314151617[[#This Row],[Korr]],0)</calculatedColumnFormula>
    </tableColumn>
    <tableColumn id="12" xr3:uid="{00000000-0010-0000-0900-00000C000000}" name="Korr" dataDxfId="121" dataCellStyle="Valuta">
      <calculatedColumnFormula>K3-K2</calculatedColumnFormula>
    </tableColumn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A000000}" name="Tabell4101112131415161718" displayName="Tabell4101112131415161718" ref="A4:L60" totalsRowShown="0">
  <autoFilter ref="A4:L60" xr:uid="{00000000-0009-0000-0100-000011000000}"/>
  <tableColumns count="12">
    <tableColumn id="1" xr3:uid="{00000000-0010-0000-0A00-000001000000}" name="Avläsnings datum" dataDxfId="120">
      <calculatedColumnFormula>Tabell6[[#This Row],[Avläsnings datum]]</calculatedColumnFormula>
    </tableColumn>
    <tableColumn id="2" xr3:uid="{00000000-0010-0000-0A00-000002000000}" name="Nuvarande"/>
    <tableColumn id="3" xr3:uid="{00000000-0010-0000-0A00-000003000000}" name="Föregående" dataDxfId="119">
      <calculatedColumnFormula>B4</calculatedColumnFormula>
    </tableColumn>
    <tableColumn id="4" xr3:uid="{00000000-0010-0000-0A00-000004000000}" name="Förbrukning" dataDxfId="118">
      <calculatedColumnFormula>IF(B5-C5&lt;0,0,B5-C5)</calculatedColumnFormula>
    </tableColumn>
    <tableColumn id="7" xr3:uid="{00000000-0010-0000-0A00-000007000000}" name="Utjämning" dataDxfId="117">
      <calculatedColumnFormula>Tabell6[[#This Row],[Att fördela]]</calculatedColumnFormula>
    </tableColumn>
    <tableColumn id="5" xr3:uid="{00000000-0010-0000-0A00-000005000000}" name="Kr/m3">
      <calculatedColumnFormula>Tabell6[[#This Row],[Pris/m3 ink.moms]]</calculatedColumnFormula>
    </tableColumn>
    <tableColumn id="6" xr3:uid="{00000000-0010-0000-0A00-000006000000}" name="Summa förbrukning" dataDxfId="116">
      <calculatedColumnFormula>(Tabell4101112131415161718[[#This Row],[Förbrukning]]+Tabell4101112131415161718[[#This Row],[Utjämning]])*Tabell4101112131415161718[[#This Row],[Kr/m3]]</calculatedColumnFormula>
    </tableColumn>
    <tableColumn id="8" xr3:uid="{00000000-0010-0000-0A00-000008000000}" name="Fast avg" dataDxfId="115" dataCellStyle="Valuta">
      <calculatedColumnFormula>Tabell6[[#This Row],[Summa fast avg/hushåll]]</calculatedColumnFormula>
    </tableColumn>
    <tableColumn id="9" xr3:uid="{00000000-0010-0000-0A00-000009000000}" name="Medlems avg" dataDxfId="114" dataCellStyle="Valuta">
      <calculatedColumnFormula>Tabell6[[#This Row],[Medlems avg]]/14</calculatedColumnFormula>
    </tableColumn>
    <tableColumn id="10" xr3:uid="{00000000-0010-0000-0A00-00000A000000}" name="Lån" dataDxfId="113" dataCellStyle="Valuta">
      <calculatedColumnFormula>Lån!D6</calculatedColumnFormula>
    </tableColumn>
    <tableColumn id="11" xr3:uid="{00000000-0010-0000-0A00-00000B000000}" name="Att betala" dataDxfId="112" dataCellStyle="Valuta">
      <calculatedColumnFormula>IF(Tabell4101112131415161718[[#This Row],[Nuvarande]], SUM(Tabell4101112131415161718[[#This Row],[Summa förbrukning]:[Lån]])+Tabell4101112131415161718[[#This Row],[Korr]],0)</calculatedColumnFormula>
    </tableColumn>
    <tableColumn id="12" xr3:uid="{00000000-0010-0000-0A00-00000C000000}" name="Korr" dataDxfId="111" dataCellStyle="Valuta">
      <calculatedColumnFormula>K3-K2</calculatedColumnFormula>
    </tableColumn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B000000}" name="Tabell410111213141516171819" displayName="Tabell410111213141516171819" ref="A4:L60" totalsRowShown="0">
  <autoFilter ref="A4:L60" xr:uid="{00000000-0009-0000-0100-000012000000}"/>
  <tableColumns count="12">
    <tableColumn id="1" xr3:uid="{00000000-0010-0000-0B00-000001000000}" name="Avläsnings datum" dataDxfId="110">
      <calculatedColumnFormula>Tabell6[[#This Row],[Avläsnings datum]]</calculatedColumnFormula>
    </tableColumn>
    <tableColumn id="2" xr3:uid="{00000000-0010-0000-0B00-000002000000}" name="Nuvarande"/>
    <tableColumn id="3" xr3:uid="{00000000-0010-0000-0B00-000003000000}" name="Föregående" dataDxfId="109">
      <calculatedColumnFormula>B4</calculatedColumnFormula>
    </tableColumn>
    <tableColumn id="4" xr3:uid="{00000000-0010-0000-0B00-000004000000}" name="Förbrukning" dataDxfId="108">
      <calculatedColumnFormula>IF(B5-C5&lt;0,0,B5-C5)</calculatedColumnFormula>
    </tableColumn>
    <tableColumn id="7" xr3:uid="{00000000-0010-0000-0B00-000007000000}" name="Utjämning" dataDxfId="107">
      <calculatedColumnFormula>Tabell6[[#This Row],[Att fördela]]</calculatedColumnFormula>
    </tableColumn>
    <tableColumn id="5" xr3:uid="{00000000-0010-0000-0B00-000005000000}" name="Kr/m3">
      <calculatedColumnFormula>Tabell6[[#This Row],[Pris/m3 ink.moms]]</calculatedColumnFormula>
    </tableColumn>
    <tableColumn id="6" xr3:uid="{00000000-0010-0000-0B00-000006000000}" name="Summa förbrukning" dataDxfId="106">
      <calculatedColumnFormula>(Tabell410111213141516171819[[#This Row],[Förbrukning]]+Tabell410111213141516171819[[#This Row],[Utjämning]])*Tabell410111213141516171819[[#This Row],[Kr/m3]]</calculatedColumnFormula>
    </tableColumn>
    <tableColumn id="8" xr3:uid="{00000000-0010-0000-0B00-000008000000}" name="Fast avg" dataDxfId="105" dataCellStyle="Valuta">
      <calculatedColumnFormula>Tabell6[[#This Row],[Summa fast avg/hushåll]]</calculatedColumnFormula>
    </tableColumn>
    <tableColumn id="9" xr3:uid="{00000000-0010-0000-0B00-000009000000}" name="Medlems avg" dataDxfId="104" dataCellStyle="Valuta">
      <calculatedColumnFormula>Tabell6[[#This Row],[Medlems avg]]/14</calculatedColumnFormula>
    </tableColumn>
    <tableColumn id="10" xr3:uid="{00000000-0010-0000-0B00-00000A000000}" name="Lån" dataDxfId="103" dataCellStyle="Valuta"/>
    <tableColumn id="11" xr3:uid="{00000000-0010-0000-0B00-00000B000000}" name="Att betala" dataDxfId="102" dataCellStyle="Valuta">
      <calculatedColumnFormula>IF(Tabell410111213141516171819[[#This Row],[Nuvarande]], SUM(Tabell410111213141516171819[[#This Row],[Summa förbrukning]:[Lån]])+Tabell410111213141516171819[[#This Row],[Korr]],0)</calculatedColumnFormula>
    </tableColumn>
    <tableColumn id="12" xr3:uid="{00000000-0010-0000-0B00-00000C000000}" name="Korr" dataDxfId="101">
      <calculatedColumnFormula>K3-K2</calculatedColumnFormula>
    </tableColumn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C000000}" name="Tabell41011121314151617181920" displayName="Tabell41011121314151617181920" ref="A4:L60" totalsRowShown="0">
  <autoFilter ref="A4:L60" xr:uid="{00000000-0009-0000-0100-000013000000}"/>
  <tableColumns count="12">
    <tableColumn id="1" xr3:uid="{00000000-0010-0000-0C00-000001000000}" name="Avläsnings datum" dataDxfId="100">
      <calculatedColumnFormula>Tabell6[[#This Row],[Avläsnings datum]]</calculatedColumnFormula>
    </tableColumn>
    <tableColumn id="2" xr3:uid="{00000000-0010-0000-0C00-000002000000}" name="Nuvarande"/>
    <tableColumn id="3" xr3:uid="{00000000-0010-0000-0C00-000003000000}" name="Föregående" dataDxfId="99">
      <calculatedColumnFormula>B4</calculatedColumnFormula>
    </tableColumn>
    <tableColumn id="4" xr3:uid="{00000000-0010-0000-0C00-000004000000}" name="Förbrukning" dataDxfId="98">
      <calculatedColumnFormula>IF(B5-C5&lt;0,0,B5-C5)</calculatedColumnFormula>
    </tableColumn>
    <tableColumn id="7" xr3:uid="{00000000-0010-0000-0C00-000007000000}" name="Utjämning" dataDxfId="97">
      <calculatedColumnFormula>Tabell6[[#This Row],[Att fördela]]</calculatedColumnFormula>
    </tableColumn>
    <tableColumn id="5" xr3:uid="{00000000-0010-0000-0C00-000005000000}" name="Kr/m3">
      <calculatedColumnFormula>Tabell6[[#This Row],[Pris/m3 ink.moms]]</calculatedColumnFormula>
    </tableColumn>
    <tableColumn id="6" xr3:uid="{00000000-0010-0000-0C00-000006000000}" name="Summa förbrukning" dataDxfId="96" dataCellStyle="Valuta">
      <calculatedColumnFormula>(Tabell41011121314151617181920[[#This Row],[Förbrukning]]+Tabell41011121314151617181920[[#This Row],[Utjämning]])*Tabell41011121314151617181920[[#This Row],[Kr/m3]]</calculatedColumnFormula>
    </tableColumn>
    <tableColumn id="8" xr3:uid="{00000000-0010-0000-0C00-000008000000}" name="Fast avg" dataDxfId="95" dataCellStyle="Valuta">
      <calculatedColumnFormula>Tabell6[[#This Row],[Summa fast avg/hushåll]]</calculatedColumnFormula>
    </tableColumn>
    <tableColumn id="9" xr3:uid="{00000000-0010-0000-0C00-000009000000}" name="Medlems avg" dataDxfId="94" dataCellStyle="Valuta">
      <calculatedColumnFormula>Tabell6[[#This Row],[Medlems avg]]/14</calculatedColumnFormula>
    </tableColumn>
    <tableColumn id="10" xr3:uid="{00000000-0010-0000-0C00-00000A000000}" name="Lån" dataDxfId="93" dataCellStyle="Valuta"/>
    <tableColumn id="11" xr3:uid="{00000000-0010-0000-0C00-00000B000000}" name="Att betala" dataDxfId="92" dataCellStyle="Valuta">
      <calculatedColumnFormula>IF(Tabell41011121314151617181920[[#This Row],[Nuvarande]], SUM(Tabell41011121314151617181920[[#This Row],[Summa förbrukning]:[Lån]])+Tabell41011121314151617181920[[#This Row],[Korr]],0)</calculatedColumnFormula>
    </tableColumn>
    <tableColumn id="12" xr3:uid="{00000000-0010-0000-0C00-00000C000000}" name="Korr" dataDxfId="91" dataCellStyle="Valuta">
      <calculatedColumnFormula>K3-K2</calculatedColumnFormula>
    </tableColumn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D000000}" name="Tabell4101112131415161718192021" displayName="Tabell4101112131415161718192021" ref="A4:L60" totalsRowShown="0">
  <autoFilter ref="A4:L60" xr:uid="{00000000-0009-0000-0100-000014000000}"/>
  <tableColumns count="12">
    <tableColumn id="1" xr3:uid="{00000000-0010-0000-0D00-000001000000}" name="Avläsnings datum" dataDxfId="90">
      <calculatedColumnFormula>Tabell6[[#This Row],[Avläsnings datum]]</calculatedColumnFormula>
    </tableColumn>
    <tableColumn id="2" xr3:uid="{00000000-0010-0000-0D00-000002000000}" name="Nuvarande"/>
    <tableColumn id="3" xr3:uid="{00000000-0010-0000-0D00-000003000000}" name="Föregående" dataDxfId="89">
      <calculatedColumnFormula>B4</calculatedColumnFormula>
    </tableColumn>
    <tableColumn id="4" xr3:uid="{00000000-0010-0000-0D00-000004000000}" name="Förbrukning" dataDxfId="88">
      <calculatedColumnFormula>IF(B5-C5&lt;0,0,B5-C5)</calculatedColumnFormula>
    </tableColumn>
    <tableColumn id="7" xr3:uid="{00000000-0010-0000-0D00-000007000000}" name="Utjämning" dataDxfId="87">
      <calculatedColumnFormula>Tabell6[[#This Row],[Att fördela]]</calculatedColumnFormula>
    </tableColumn>
    <tableColumn id="5" xr3:uid="{00000000-0010-0000-0D00-000005000000}" name="Kr/m3">
      <calculatedColumnFormula>Tabell6[[#This Row],[Pris/m3 ink.moms]]</calculatedColumnFormula>
    </tableColumn>
    <tableColumn id="6" xr3:uid="{00000000-0010-0000-0D00-000006000000}" name="Summa förbrukning" dataDxfId="86" dataCellStyle="Valuta">
      <calculatedColumnFormula>(Tabell4101112131415161718192021[[#This Row],[Förbrukning]]+Tabell4101112131415161718192021[[#This Row],[Utjämning]])*Tabell4101112131415161718192021[[#This Row],[Kr/m3]]</calculatedColumnFormula>
    </tableColumn>
    <tableColumn id="8" xr3:uid="{00000000-0010-0000-0D00-000008000000}" name="Fast avg" dataDxfId="85" dataCellStyle="Valuta">
      <calculatedColumnFormula>Tabell6[[#This Row],[Summa fast avg/hushåll]]</calculatedColumnFormula>
    </tableColumn>
    <tableColumn id="9" xr3:uid="{00000000-0010-0000-0D00-000009000000}" name="Medlems avg" dataDxfId="84" dataCellStyle="Valuta">
      <calculatedColumnFormula>Tabell6[[#This Row],[Medlems avg]]/14</calculatedColumnFormula>
    </tableColumn>
    <tableColumn id="10" xr3:uid="{00000000-0010-0000-0D00-00000A000000}" name="Lån" dataDxfId="83" dataCellStyle="Valuta"/>
    <tableColumn id="11" xr3:uid="{00000000-0010-0000-0D00-00000B000000}" name="Att betala" dataDxfId="82" dataCellStyle="Valuta">
      <calculatedColumnFormula>IF(Tabell4101112131415161718192021[[#This Row],[Nuvarande]], SUM(Tabell4101112131415161718192021[[#This Row],[Summa förbrukning]:[Lån]])+Tabell4101112131415161718192021[[#This Row],[Korr]],0)</calculatedColumnFormula>
    </tableColumn>
    <tableColumn id="12" xr3:uid="{00000000-0010-0000-0D00-00000C000000}" name="Korr" dataDxfId="81" dataCellStyle="Valuta">
      <calculatedColumnFormula>K3-K2</calculatedColumnFormula>
    </tableColumn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E000000}" name="Tabell410111213141516171819202122" displayName="Tabell410111213141516171819202122" ref="A4:L60" totalsRowShown="0">
  <autoFilter ref="A4:L60" xr:uid="{00000000-0009-0000-0100-000015000000}"/>
  <tableColumns count="12">
    <tableColumn id="1" xr3:uid="{00000000-0010-0000-0E00-000001000000}" name="Avläsnings datum" dataDxfId="80">
      <calculatedColumnFormula>Tabell6[[#This Row],[Avläsnings datum]]</calculatedColumnFormula>
    </tableColumn>
    <tableColumn id="2" xr3:uid="{00000000-0010-0000-0E00-000002000000}" name="Nuvarande"/>
    <tableColumn id="3" xr3:uid="{00000000-0010-0000-0E00-000003000000}" name="Föregående" dataDxfId="79">
      <calculatedColumnFormula>B4</calculatedColumnFormula>
    </tableColumn>
    <tableColumn id="4" xr3:uid="{00000000-0010-0000-0E00-000004000000}" name="Förbrukning" dataDxfId="78">
      <calculatedColumnFormula>IF(B5-C5&lt;0,0,B5-C5)</calculatedColumnFormula>
    </tableColumn>
    <tableColumn id="7" xr3:uid="{00000000-0010-0000-0E00-000007000000}" name="Utjämning" dataDxfId="77">
      <calculatedColumnFormula>Tabell6[[#This Row],[Att fördela]]</calculatedColumnFormula>
    </tableColumn>
    <tableColumn id="5" xr3:uid="{00000000-0010-0000-0E00-000005000000}" name="Kr/m3">
      <calculatedColumnFormula>Tabell6[[#This Row],[Pris/m3 ink.moms]]</calculatedColumnFormula>
    </tableColumn>
    <tableColumn id="6" xr3:uid="{00000000-0010-0000-0E00-000006000000}" name="Summa förbrukning" dataDxfId="76" dataCellStyle="Valuta">
      <calculatedColumnFormula>(Tabell410111213141516171819202122[[#This Row],[Förbrukning]]+Tabell410111213141516171819202122[[#This Row],[Utjämning]])*Tabell410111213141516171819202122[[#This Row],[Kr/m3]]</calculatedColumnFormula>
    </tableColumn>
    <tableColumn id="8" xr3:uid="{00000000-0010-0000-0E00-000008000000}" name="Fast avg" dataDxfId="75" dataCellStyle="Valuta">
      <calculatedColumnFormula>Tabell6[[#This Row],[Summa fast avg/hushåll]]</calculatedColumnFormula>
    </tableColumn>
    <tableColumn id="9" xr3:uid="{00000000-0010-0000-0E00-000009000000}" name="Medlems avg" dataDxfId="74" dataCellStyle="Valuta">
      <calculatedColumnFormula>Tabell6[[#This Row],[Medlems avg]]/14</calculatedColumnFormula>
    </tableColumn>
    <tableColumn id="10" xr3:uid="{00000000-0010-0000-0E00-00000A000000}" name="Lån" dataDxfId="73" dataCellStyle="Valuta"/>
    <tableColumn id="11" xr3:uid="{00000000-0010-0000-0E00-00000B000000}" name="Att betala" dataDxfId="72" dataCellStyle="Valuta">
      <calculatedColumnFormula>IF(Tabell410111213141516171819202122[[#This Row],[Nuvarande]], SUM(Tabell410111213141516171819202122[[#This Row],[Summa förbrukning]:[Lån]])+Tabell410111213141516171819202122[[#This Row],[Korr]],0)</calculatedColumnFormula>
    </tableColumn>
    <tableColumn id="12" xr3:uid="{00000000-0010-0000-0E00-00000C000000}" name="Korr" dataDxfId="71" dataCellStyle="Valuta">
      <calculatedColumnFormula>K3-K2</calculatedColumnFormula>
    </tableColumn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D4596F-3B23-427C-993F-67A5F618BE25}" name="Faktura" displayName="Faktura" ref="B7:D15" totalsRowCount="1">
  <autoFilter ref="B7:D14" xr:uid="{00000000-0009-0000-0100-000001000000}">
    <filterColumn colId="0" hiddenButton="1"/>
    <filterColumn colId="1" hiddenButton="1"/>
    <filterColumn colId="2" hiddenButton="1"/>
  </autoFilter>
  <tableColumns count="3">
    <tableColumn id="1" xr3:uid="{FD8D485D-EE86-4E31-A865-11BC82098C85}" name="BESKRIVNING" totalsRowDxfId="2"/>
    <tableColumn id="2" xr3:uid="{0D5746BB-FD0C-447E-9CB9-D708F09037FA}" name=" " totalsRowLabel="SUMMA" dataDxfId="4" totalsRowDxfId="1">
      <calculatedColumnFormula>Gräsv.6!$D$3 &amp; "m³ X " &amp;Gräsv.6!$F$3</calculatedColumnFormula>
    </tableColumn>
    <tableColumn id="3" xr3:uid="{225B25E5-F6F1-4C4A-A6B0-28BCA4F55A7E}" name="BELOPP" totalsRowFunction="sum" dataDxfId="3" totalsRowDxfId="0">
      <calculatedColumnFormula>Gräsv.6!$G$3</calculatedColumnFormula>
    </tableColumn>
  </tableColumns>
  <tableStyleInfo name="Faktura som beräknar summan" showFirstColumn="0" showLastColumn="1" showRowStripes="1" showColumnStripes="0"/>
  <extLst>
    <ext xmlns:x14="http://schemas.microsoft.com/office/spreadsheetml/2009/9/main" uri="{504A1905-F514-4f6f-8877-14C23A59335A}">
      <x14:table altTextSummary="Beskriv fakturan och ange belopp i den här tabellen. Summan som ska betalas beräknas automatiskt i slutet av tabellen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A276AD-8108-4272-A902-CFD2A2CBAB26}" name="Faktura3" displayName="Faktura3" ref="B7:D15" totalsRowCount="1">
  <autoFilter ref="B7:D14" xr:uid="{00000000-0009-0000-0100-000001000000}">
    <filterColumn colId="0" hiddenButton="1"/>
    <filterColumn colId="1" hiddenButton="1"/>
    <filterColumn colId="2" hiddenButton="1"/>
  </autoFilter>
  <tableColumns count="3">
    <tableColumn id="1" xr3:uid="{B7F6D9A4-E376-46BC-B865-1EAB97EA8749}" name="BESKRIVNING" totalsRowDxfId="70"/>
    <tableColumn id="2" xr3:uid="{4AA375D2-DE78-485F-803C-EA3D98189D11}" name=" " totalsRowLabel="SUMMA" dataDxfId="69" totalsRowDxfId="68">
      <calculatedColumnFormula>Gräsv.6!$D$3 &amp; "m³ X " &amp;Gräsv.6!$F$3</calculatedColumnFormula>
    </tableColumn>
    <tableColumn id="3" xr3:uid="{C15224DF-8E3F-49FF-AEFD-048415E4AA0B}" name="BELOPP" totalsRowFunction="sum" dataDxfId="67" totalsRowDxfId="66">
      <calculatedColumnFormula>Gräsv.6!$G$3</calculatedColumnFormula>
    </tableColumn>
  </tableColumns>
  <tableStyleInfo name="Faktura som beräknar summan" showFirstColumn="0" showLastColumn="1" showRowStripes="1" showColumnStripes="0"/>
  <extLst>
    <ext xmlns:x14="http://schemas.microsoft.com/office/spreadsheetml/2009/9/main" uri="{504A1905-F514-4f6f-8877-14C23A59335A}">
      <x14:table altTextSummary="Beskriv fakturan och ange belopp i den här tabellen. Summan som ska betalas beräknas automatiskt i slutet av tabellen"/>
    </ext>
  </extLst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A554B2-F9E3-42AA-9AFB-5CECDFA9D640}" name="Faktura34" displayName="Faktura34" ref="B7:D15" totalsRowCount="1">
  <autoFilter ref="B7:D14" xr:uid="{00000000-0009-0000-0100-000001000000}">
    <filterColumn colId="0" hiddenButton="1"/>
    <filterColumn colId="1" hiddenButton="1"/>
    <filterColumn colId="2" hiddenButton="1"/>
  </autoFilter>
  <tableColumns count="3">
    <tableColumn id="1" xr3:uid="{BDF4FC88-ACA2-448C-B7EF-C4C9647EB724}" name="BESKRIVNING" totalsRowDxfId="65"/>
    <tableColumn id="2" xr3:uid="{EBEE74BD-67AC-4F20-8B4B-B74981422CFD}" name=" " totalsRowLabel="SUMMA" dataDxfId="64" totalsRowDxfId="63">
      <calculatedColumnFormula>Gräsv.6!$D$3 &amp; "m³ X " &amp;Gräsv.6!$F$3</calculatedColumnFormula>
    </tableColumn>
    <tableColumn id="3" xr3:uid="{7CCD91DC-03DF-4736-AF27-397F565C0B96}" name="BELOPP" totalsRowFunction="sum" dataDxfId="62" totalsRowDxfId="61">
      <calculatedColumnFormula>Gräsv.6!$G$3</calculatedColumnFormula>
    </tableColumn>
  </tableColumns>
  <tableStyleInfo name="Faktura som beräknar summan" showFirstColumn="0" showLastColumn="1" showRowStripes="1" showColumnStripes="0"/>
  <extLst>
    <ext xmlns:x14="http://schemas.microsoft.com/office/spreadsheetml/2009/9/main" uri="{504A1905-F514-4f6f-8877-14C23A59335A}">
      <x14:table altTextSummary="Beskriv fakturan och ange belopp i den här tabellen. Summan som ska betalas beräknas automatiskt i slutet av tabellen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8F0C45-1A10-48A5-B17F-E1DEF3F3BAA6}" name="Faktura346" displayName="Faktura346" ref="B7:D15" totalsRowCount="1">
  <autoFilter ref="B7:D14" xr:uid="{00000000-0009-0000-0100-000001000000}">
    <filterColumn colId="0" hiddenButton="1"/>
    <filterColumn colId="1" hiddenButton="1"/>
    <filterColumn colId="2" hiddenButton="1"/>
  </autoFilter>
  <tableColumns count="3">
    <tableColumn id="1" xr3:uid="{3CC8FC67-BE81-4A6C-B791-F06C487DE3FB}" name="BESKRIVNING" totalsRowDxfId="60"/>
    <tableColumn id="2" xr3:uid="{CA4F8AB0-AC1E-4A22-936A-2128CA7B6809}" name=" " totalsRowLabel="SUMMA" dataDxfId="59" totalsRowDxfId="58">
      <calculatedColumnFormula>Gräsv.6!$D$3 &amp; "m³ X " &amp;Gräsv.6!$F$3</calculatedColumnFormula>
    </tableColumn>
    <tableColumn id="3" xr3:uid="{9D90119A-19F3-4C81-BE0D-A91E81212545}" name="BELOPP" totalsRowFunction="sum" dataDxfId="57" totalsRowDxfId="56">
      <calculatedColumnFormula>Gräsv.6!$G$3</calculatedColumnFormula>
    </tableColumn>
  </tableColumns>
  <tableStyleInfo name="Faktura som beräknar summan" showFirstColumn="0" showLastColumn="1" showRowStripes="1" showColumnStripes="0"/>
  <extLst>
    <ext xmlns:x14="http://schemas.microsoft.com/office/spreadsheetml/2009/9/main" uri="{504A1905-F514-4f6f-8877-14C23A59335A}">
      <x14:table altTextSummary="Beskriv fakturan och ange belopp i den här tabellen. Summan som ska betalas beräknas automatiskt i slutet av tabellen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4" displayName="Tabell4" ref="A4:L60" totalsRowShown="0">
  <autoFilter ref="A4:L60" xr:uid="{00000000-0009-0000-0100-000004000000}"/>
  <tableColumns count="12">
    <tableColumn id="1" xr3:uid="{00000000-0010-0000-0100-000001000000}" name="Avläsnings datum" dataDxfId="210">
      <calculatedColumnFormula>Tabell6[[#This Row],[Avläsnings datum]]</calculatedColumnFormula>
    </tableColumn>
    <tableColumn id="2" xr3:uid="{00000000-0010-0000-0100-000002000000}" name="Nuvarande"/>
    <tableColumn id="3" xr3:uid="{00000000-0010-0000-0100-000003000000}" name="Föregående" dataDxfId="209">
      <calculatedColumnFormula>B4</calculatedColumnFormula>
    </tableColumn>
    <tableColumn id="4" xr3:uid="{00000000-0010-0000-0100-000004000000}" name="Förbrukning" dataDxfId="208">
      <calculatedColumnFormula>IF(B5-C5&lt;0,0,B5-C5)</calculatedColumnFormula>
    </tableColumn>
    <tableColumn id="7" xr3:uid="{00000000-0010-0000-0100-000007000000}" name="Utjämning" dataDxfId="207">
      <calculatedColumnFormula>Tabell6[[#This Row],[Att fördela]]</calculatedColumnFormula>
    </tableColumn>
    <tableColumn id="5" xr3:uid="{00000000-0010-0000-0100-000005000000}" name="Kr/m3">
      <calculatedColumnFormula>Tabell6[[#This Row],[Pris/m3 ink.moms]]</calculatedColumnFormula>
    </tableColumn>
    <tableColumn id="6" xr3:uid="{00000000-0010-0000-0100-000006000000}" name="Summa förbrukning" dataDxfId="206">
      <calculatedColumnFormula>(Tabell4[[#This Row],[Förbrukning]]+Tabell4[[#This Row],[Utjämning]])*Tabell4[[#This Row],[Kr/m3]]</calculatedColumnFormula>
    </tableColumn>
    <tableColumn id="8" xr3:uid="{00000000-0010-0000-0100-000008000000}" name="Fast avg" dataDxfId="205">
      <calculatedColumnFormula>Tabell6[[#This Row],[Summa fast avg/hushåll]]</calculatedColumnFormula>
    </tableColumn>
    <tableColumn id="9" xr3:uid="{00000000-0010-0000-0100-000009000000}" name="Medlems avg" dataDxfId="204">
      <calculatedColumnFormula>Tabell6[[#This Row],[Medlems avg]]/14</calculatedColumnFormula>
    </tableColumn>
    <tableColumn id="11" xr3:uid="{00000000-0010-0000-0100-00000B000000}" name="Lån" dataDxfId="203"/>
    <tableColumn id="12" xr3:uid="{00000000-0010-0000-0100-00000C000000}" name="Att betala" dataDxfId="202">
      <calculatedColumnFormula>IF(Tabell4[[#This Row],[Nuvarande]], SUM(Tabell4[[#This Row],[Summa förbrukning]:[Lån]])+Tabell4[[#This Row],[Korr]],0)</calculatedColumnFormula>
    </tableColumn>
    <tableColumn id="10" xr3:uid="{00000000-0010-0000-0100-00000A000000}" name="Korr" dataDxfId="201">
      <calculatedColumnFormula>K3-K2</calculatedColumnFormula>
    </tableColumn>
  </tableColumns>
  <tableStyleInfo name="TableStyleMedium1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047827-9130-4EC3-9185-A6CF824A3745}" name="Faktura3468" displayName="Faktura3468" ref="B7:D15" totalsRowCount="1">
  <autoFilter ref="B7:D14" xr:uid="{00000000-0009-0000-0100-000001000000}">
    <filterColumn colId="0" hiddenButton="1"/>
    <filterColumn colId="1" hiddenButton="1"/>
    <filterColumn colId="2" hiddenButton="1"/>
  </autoFilter>
  <tableColumns count="3">
    <tableColumn id="1" xr3:uid="{ADAEB990-691B-4DF3-B67F-3069F056E50C}" name="BESKRIVNING" totalsRowDxfId="55"/>
    <tableColumn id="2" xr3:uid="{0D9CE209-8F11-463B-8D8C-58A31D7F0AC6}" name=" " totalsRowLabel="SUMMA" dataDxfId="54" totalsRowDxfId="53">
      <calculatedColumnFormula>Gräsv.6!$D$3 &amp; "m³ X " &amp;Gräsv.6!$F$3</calculatedColumnFormula>
    </tableColumn>
    <tableColumn id="3" xr3:uid="{5A7F974C-2025-4A65-B11B-AE6AEDA233AB}" name="BELOPP" totalsRowFunction="sum" dataDxfId="52" totalsRowDxfId="51">
      <calculatedColumnFormula>Gräsv.6!$G$3</calculatedColumnFormula>
    </tableColumn>
  </tableColumns>
  <tableStyleInfo name="Faktura som beräknar summan" showFirstColumn="0" showLastColumn="1" showRowStripes="1" showColumnStripes="0"/>
  <extLst>
    <ext xmlns:x14="http://schemas.microsoft.com/office/spreadsheetml/2009/9/main" uri="{504A1905-F514-4f6f-8877-14C23A59335A}">
      <x14:table altTextSummary="Beskriv fakturan och ange belopp i den här tabellen. Summan som ska betalas beräknas automatiskt i slutet av tabellen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DE4DE13-466D-4DA7-B72E-00C7F3D524C5}" name="Faktura34689" displayName="Faktura34689" ref="B7:D15" totalsRowCount="1">
  <autoFilter ref="B7:D14" xr:uid="{00000000-0009-0000-0100-000001000000}">
    <filterColumn colId="0" hiddenButton="1"/>
    <filterColumn colId="1" hiddenButton="1"/>
    <filterColumn colId="2" hiddenButton="1"/>
  </autoFilter>
  <tableColumns count="3">
    <tableColumn id="1" xr3:uid="{23D6DAE3-B118-4D2B-B5F6-B46676E1E607}" name="BESKRIVNING" totalsRowDxfId="50"/>
    <tableColumn id="2" xr3:uid="{D8F9E171-5A62-452E-B45A-A7FF6805DCB3}" name=" " totalsRowLabel="SUMMA" dataDxfId="49" totalsRowDxfId="48">
      <calculatedColumnFormula>Gräsv.6!$D$3 &amp; "m³ X " &amp;Gräsv.6!$F$3</calculatedColumnFormula>
    </tableColumn>
    <tableColumn id="3" xr3:uid="{CDF7A697-A980-4684-8AB4-D17B665FA1CF}" name="BELOPP" totalsRowFunction="sum" dataDxfId="47" totalsRowDxfId="46">
      <calculatedColumnFormula>Gräsv.6!$G$3</calculatedColumnFormula>
    </tableColumn>
  </tableColumns>
  <tableStyleInfo name="Faktura som beräknar summan" showFirstColumn="0" showLastColumn="1" showRowStripes="1" showColumnStripes="0"/>
  <extLst>
    <ext xmlns:x14="http://schemas.microsoft.com/office/spreadsheetml/2009/9/main" uri="{504A1905-F514-4f6f-8877-14C23A59335A}">
      <x14:table altTextSummary="Beskriv fakturan och ange belopp i den här tabellen. Summan som ska betalas beräknas automatiskt i slutet av tabellen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135F38F-3E8B-4CA7-A583-205CF0E9C8AF}" name="Faktura3468923" displayName="Faktura3468923" ref="B7:D15" totalsRowCount="1">
  <autoFilter ref="B7:D14" xr:uid="{00000000-0009-0000-0100-000001000000}">
    <filterColumn colId="0" hiddenButton="1"/>
    <filterColumn colId="1" hiddenButton="1"/>
    <filterColumn colId="2" hiddenButton="1"/>
  </autoFilter>
  <tableColumns count="3">
    <tableColumn id="1" xr3:uid="{F19DBD9A-4C32-4559-A110-E3F1DDA3DE03}" name="BESKRIVNING" totalsRowDxfId="45"/>
    <tableColumn id="2" xr3:uid="{A115650E-9353-4139-981A-8A1BC1DA4C99}" name=" " totalsRowLabel="SUMMA" dataDxfId="44" totalsRowDxfId="43">
      <calculatedColumnFormula>Gräsv.6!$D$3 &amp; "m³ X " &amp;Gräsv.6!$F$3</calculatedColumnFormula>
    </tableColumn>
    <tableColumn id="3" xr3:uid="{E5EC8BC1-6EB6-444B-9DF5-4947BC5B7046}" name="BELOPP" totalsRowFunction="sum" dataDxfId="42" totalsRowDxfId="41">
      <calculatedColumnFormula>Gräsv.6!$G$3</calculatedColumnFormula>
    </tableColumn>
  </tableColumns>
  <tableStyleInfo name="Faktura som beräknar summan" showFirstColumn="0" showLastColumn="1" showRowStripes="1" showColumnStripes="0"/>
  <extLst>
    <ext xmlns:x14="http://schemas.microsoft.com/office/spreadsheetml/2009/9/main" uri="{504A1905-F514-4f6f-8877-14C23A59335A}">
      <x14:table altTextSummary="Beskriv fakturan och ange belopp i den här tabellen. Summan som ska betalas beräknas automatiskt i slutet av tabellen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B3CC281-A82A-4D3A-A6AA-11472DE9402F}" name="Faktura346892324" displayName="Faktura346892324" ref="B7:D15" totalsRowCount="1">
  <autoFilter ref="B7:D14" xr:uid="{00000000-0009-0000-0100-000001000000}">
    <filterColumn colId="0" hiddenButton="1"/>
    <filterColumn colId="1" hiddenButton="1"/>
    <filterColumn colId="2" hiddenButton="1"/>
  </autoFilter>
  <tableColumns count="3">
    <tableColumn id="1" xr3:uid="{2EE39706-C4D9-426F-9745-91848278D402}" name="BESKRIVNING" totalsRowDxfId="40"/>
    <tableColumn id="2" xr3:uid="{34354440-0492-44DF-9FB6-57C43B4B2C44}" name=" " totalsRowLabel="SUMMA" dataDxfId="39" totalsRowDxfId="38">
      <calculatedColumnFormula>Gräsv.6!$D$3 &amp; "m³ X " &amp;Gräsv.6!$F$3</calculatedColumnFormula>
    </tableColumn>
    <tableColumn id="3" xr3:uid="{D3AB6BEB-FD56-4D89-B2FB-73F8AAAF613C}" name="BELOPP" totalsRowFunction="sum" dataDxfId="37" totalsRowDxfId="36">
      <calculatedColumnFormula>Gräsv.6!$G$3</calculatedColumnFormula>
    </tableColumn>
  </tableColumns>
  <tableStyleInfo name="Faktura som beräknar summan" showFirstColumn="0" showLastColumn="1" showRowStripes="1" showColumnStripes="0"/>
  <extLst>
    <ext xmlns:x14="http://schemas.microsoft.com/office/spreadsheetml/2009/9/main" uri="{504A1905-F514-4f6f-8877-14C23A59335A}">
      <x14:table altTextSummary="Beskriv fakturan och ange belopp i den här tabellen. Summan som ska betalas beräknas automatiskt i slutet av tabellen"/>
    </ext>
  </extLst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31ADBA5-9E2C-4A5A-B71B-9A892A8DFF7A}" name="Faktura34689232425" displayName="Faktura34689232425" ref="B7:D15" totalsRowCount="1">
  <autoFilter ref="B7:D14" xr:uid="{00000000-0009-0000-0100-000001000000}">
    <filterColumn colId="0" hiddenButton="1"/>
    <filterColumn colId="1" hiddenButton="1"/>
    <filterColumn colId="2" hiddenButton="1"/>
  </autoFilter>
  <tableColumns count="3">
    <tableColumn id="1" xr3:uid="{BF991188-7901-4697-98BD-F37EC351FB9A}" name="BESKRIVNING" totalsRowDxfId="35"/>
    <tableColumn id="2" xr3:uid="{4BA057D2-07D4-457A-916F-D93AC475B488}" name=" " totalsRowLabel="SUMMA" dataDxfId="34" totalsRowDxfId="33">
      <calculatedColumnFormula>Gräsv.6!$D$3 &amp; "m³ X " &amp;Gräsv.6!$F$3</calculatedColumnFormula>
    </tableColumn>
    <tableColumn id="3" xr3:uid="{BA68FD06-53D5-453C-A791-5372B0606A79}" name="BELOPP" totalsRowFunction="sum" dataDxfId="32" totalsRowDxfId="31">
      <calculatedColumnFormula>Gräsv.6!$G$3</calculatedColumnFormula>
    </tableColumn>
  </tableColumns>
  <tableStyleInfo name="Faktura som beräknar summan" showFirstColumn="0" showLastColumn="1" showRowStripes="1" showColumnStripes="0"/>
  <extLst>
    <ext xmlns:x14="http://schemas.microsoft.com/office/spreadsheetml/2009/9/main" uri="{504A1905-F514-4f6f-8877-14C23A59335A}">
      <x14:table altTextSummary="Beskriv fakturan och ange belopp i den här tabellen. Summan som ska betalas beräknas automatiskt i slutet av tabellen"/>
    </ext>
  </extLst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55FE5E0-A1DE-4008-9388-6664B09BFDB4}" name="Faktura3468923242526" displayName="Faktura3468923242526" ref="B7:D15" totalsRowCount="1">
  <autoFilter ref="B7:D14" xr:uid="{00000000-0009-0000-0100-000001000000}">
    <filterColumn colId="0" hiddenButton="1"/>
    <filterColumn colId="1" hiddenButton="1"/>
    <filterColumn colId="2" hiddenButton="1"/>
  </autoFilter>
  <tableColumns count="3">
    <tableColumn id="1" xr3:uid="{22E059CB-052D-4DD7-9A8B-149695F5B9F4}" name="BESKRIVNING" totalsRowDxfId="30"/>
    <tableColumn id="2" xr3:uid="{CE28685C-AF09-48F6-98C1-20E292317A35}" name=" " totalsRowLabel="SUMMA" dataDxfId="29" totalsRowDxfId="28">
      <calculatedColumnFormula>Gräsv.6!$D$3 &amp; "m³ X " &amp;Gräsv.6!$F$3</calculatedColumnFormula>
    </tableColumn>
    <tableColumn id="3" xr3:uid="{EF90FD81-9AEA-461A-B5C4-F867BDEA9D90}" name="BELOPP" totalsRowFunction="sum" dataDxfId="27" totalsRowDxfId="26">
      <calculatedColumnFormula>Gräsv.6!$G$3</calculatedColumnFormula>
    </tableColumn>
  </tableColumns>
  <tableStyleInfo name="Faktura som beräknar summan" showFirstColumn="0" showLastColumn="1" showRowStripes="1" showColumnStripes="0"/>
  <extLst>
    <ext xmlns:x14="http://schemas.microsoft.com/office/spreadsheetml/2009/9/main" uri="{504A1905-F514-4f6f-8877-14C23A59335A}">
      <x14:table altTextSummary="Beskriv fakturan och ange belopp i den här tabellen. Summan som ska betalas beräknas automatiskt i slutet av tabellen"/>
    </ext>
  </extLst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9F88042-BDBF-4F19-930C-D3414D8BAD19}" name="Faktura346892324252627" displayName="Faktura346892324252627" ref="B7:D15" totalsRowCount="1">
  <autoFilter ref="B7:D14" xr:uid="{00000000-0009-0000-0100-000001000000}">
    <filterColumn colId="0" hiddenButton="1"/>
    <filterColumn colId="1" hiddenButton="1"/>
    <filterColumn colId="2" hiddenButton="1"/>
  </autoFilter>
  <tableColumns count="3">
    <tableColumn id="1" xr3:uid="{316355FD-276F-4FD7-BB89-7B54881D1147}" name="BESKRIVNING" totalsRowDxfId="25"/>
    <tableColumn id="2" xr3:uid="{02287669-B7A8-49C3-A8E3-53BCE3F4AD89}" name=" " totalsRowLabel="SUMMA" dataDxfId="24" totalsRowDxfId="23">
      <calculatedColumnFormula>Gräsv.6!$D$3 &amp; "m³ X " &amp;Gräsv.6!$F$3</calculatedColumnFormula>
    </tableColumn>
    <tableColumn id="3" xr3:uid="{D0DBC0F7-3278-421E-9F79-911FC1214B22}" name="BELOPP" totalsRowFunction="sum" dataDxfId="22" totalsRowDxfId="21">
      <calculatedColumnFormula>Gräsv.6!$G$3</calculatedColumnFormula>
    </tableColumn>
  </tableColumns>
  <tableStyleInfo name="Faktura som beräknar summan" showFirstColumn="0" showLastColumn="1" showRowStripes="1" showColumnStripes="0"/>
  <extLst>
    <ext xmlns:x14="http://schemas.microsoft.com/office/spreadsheetml/2009/9/main" uri="{504A1905-F514-4f6f-8877-14C23A59335A}">
      <x14:table altTextSummary="Beskriv fakturan och ange belopp i den här tabellen. Summan som ska betalas beräknas automatiskt i slutet av tabellen"/>
    </ext>
  </extLst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B017534-F8EA-4843-B6C2-68E9163FCBC0}" name="Faktura34689232425262728" displayName="Faktura34689232425262728" ref="B7:D15" totalsRowCount="1">
  <autoFilter ref="B7:D14" xr:uid="{00000000-0009-0000-0100-000001000000}">
    <filterColumn colId="0" hiddenButton="1"/>
    <filterColumn colId="1" hiddenButton="1"/>
    <filterColumn colId="2" hiddenButton="1"/>
  </autoFilter>
  <tableColumns count="3">
    <tableColumn id="1" xr3:uid="{B026F8F0-F542-4E8D-AEAC-3546AB5A62B1}" name="BESKRIVNING" totalsRowDxfId="20"/>
    <tableColumn id="2" xr3:uid="{EAEEE224-5452-4CD3-B257-3F7A399524A5}" name=" " totalsRowLabel="SUMMA" dataDxfId="19" totalsRowDxfId="18">
      <calculatedColumnFormula>Gräsv.6!$D$3 &amp; "m³ X " &amp;Gräsv.6!$F$3</calculatedColumnFormula>
    </tableColumn>
    <tableColumn id="3" xr3:uid="{7459E119-82D3-4784-8DF8-A1D8341F5A0D}" name="BELOPP" totalsRowFunction="sum" dataDxfId="17" totalsRowDxfId="16">
      <calculatedColumnFormula>Gräsv.6!$G$3</calculatedColumnFormula>
    </tableColumn>
  </tableColumns>
  <tableStyleInfo name="Faktura som beräknar summan" showFirstColumn="0" showLastColumn="1" showRowStripes="1" showColumnStripes="0"/>
  <extLst>
    <ext xmlns:x14="http://schemas.microsoft.com/office/spreadsheetml/2009/9/main" uri="{504A1905-F514-4f6f-8877-14C23A59335A}">
      <x14:table altTextSummary="Beskriv fakturan och ange belopp i den här tabellen. Summan som ska betalas beräknas automatiskt i slutet av tabellen"/>
    </ext>
  </extLst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CD32C59-31D0-428F-811B-E76BA1F74AB6}" name="Faktura3468923242526272829" displayName="Faktura3468923242526272829" ref="B7:D15" totalsRowCount="1">
  <autoFilter ref="B7:D14" xr:uid="{00000000-0009-0000-0100-000001000000}">
    <filterColumn colId="0" hiddenButton="1"/>
    <filterColumn colId="1" hiddenButton="1"/>
    <filterColumn colId="2" hiddenButton="1"/>
  </autoFilter>
  <tableColumns count="3">
    <tableColumn id="1" xr3:uid="{1C5A63FB-CD6D-4954-A947-45C4BFAD8A57}" name="BESKRIVNING" totalsRowDxfId="15"/>
    <tableColumn id="2" xr3:uid="{32BFB818-36BE-4919-9AD9-B0CDF52E533B}" name=" " totalsRowLabel="SUMMA" dataDxfId="14" totalsRowDxfId="13">
      <calculatedColumnFormula>Gräsv.6!$D$3 &amp; "m³ X " &amp;Gräsv.6!$F$3</calculatedColumnFormula>
    </tableColumn>
    <tableColumn id="3" xr3:uid="{FA950F0E-7594-4900-9C98-D550C9F1FAB9}" name="BELOPP" totalsRowFunction="sum" dataDxfId="12" totalsRowDxfId="11">
      <calculatedColumnFormula>Gräsv.6!$G$3</calculatedColumnFormula>
    </tableColumn>
  </tableColumns>
  <tableStyleInfo name="Faktura som beräknar summan" showFirstColumn="0" showLastColumn="1" showRowStripes="1" showColumnStripes="0"/>
  <extLst>
    <ext xmlns:x14="http://schemas.microsoft.com/office/spreadsheetml/2009/9/main" uri="{504A1905-F514-4f6f-8877-14C23A59335A}">
      <x14:table altTextSummary="Beskriv fakturan och ange belopp i den här tabellen. Summan som ska betalas beräknas automatiskt i slutet av tabellen"/>
    </ext>
  </extLst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0E80BF4-139B-4E63-9ECB-39CF25DCAACF}" name="Faktura346892324252627282930" displayName="Faktura346892324252627282930" ref="B7:D15" totalsRowCount="1">
  <autoFilter ref="B7:D14" xr:uid="{00000000-0009-0000-0100-000001000000}">
    <filterColumn colId="0" hiddenButton="1"/>
    <filterColumn colId="1" hiddenButton="1"/>
    <filterColumn colId="2" hiddenButton="1"/>
  </autoFilter>
  <tableColumns count="3">
    <tableColumn id="1" xr3:uid="{42FEDAA3-AE07-49F3-9A67-D1DD25B28AD0}" name="BESKRIVNING" totalsRowDxfId="10"/>
    <tableColumn id="2" xr3:uid="{20FAB3C2-D57B-41D8-84A6-747C1BFDF586}" name=" " totalsRowLabel="SUMMA" dataDxfId="9" totalsRowDxfId="8">
      <calculatedColumnFormula>Gräsv.6!$D$3 &amp; "m³ X " &amp;Gräsv.6!$F$3</calculatedColumnFormula>
    </tableColumn>
    <tableColumn id="3" xr3:uid="{E287CFF4-8EAF-4BC4-956C-297526CC1D3B}" name="BELOPP" totalsRowFunction="sum" dataDxfId="7" totalsRowDxfId="6">
      <calculatedColumnFormula>Gräsv.6!$G$3</calculatedColumnFormula>
    </tableColumn>
  </tableColumns>
  <tableStyleInfo name="Faktura som beräknar summan" showFirstColumn="0" showLastColumn="1" showRowStripes="1" showColumnStripes="0"/>
  <extLst>
    <ext xmlns:x14="http://schemas.microsoft.com/office/spreadsheetml/2009/9/main" uri="{504A1905-F514-4f6f-8877-14C23A59335A}">
      <x14:table altTextSummary="Beskriv fakturan och ange belopp i den här tabellen. Summan som ska betalas beräknas automatiskt i slutet av tabellen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Tabell410" displayName="Tabell410" ref="A4:L60" totalsRowShown="0">
  <autoFilter ref="A4:L60" xr:uid="{00000000-0009-0000-0100-000009000000}"/>
  <tableColumns count="12">
    <tableColumn id="1" xr3:uid="{00000000-0010-0000-0200-000001000000}" name="Avläsnings datum" dataDxfId="200">
      <calculatedColumnFormula>Tabell6[[#This Row],[Avläsnings datum]]</calculatedColumnFormula>
    </tableColumn>
    <tableColumn id="2" xr3:uid="{00000000-0010-0000-0200-000002000000}" name="Nuvarande"/>
    <tableColumn id="3" xr3:uid="{00000000-0010-0000-0200-000003000000}" name="Föregående" dataDxfId="199">
      <calculatedColumnFormula>B4</calculatedColumnFormula>
    </tableColumn>
    <tableColumn id="4" xr3:uid="{00000000-0010-0000-0200-000004000000}" name="Förbrukning" dataDxfId="198">
      <calculatedColumnFormula>IF(B5-C5&lt;0,0,B5-C5)</calculatedColumnFormula>
    </tableColumn>
    <tableColumn id="7" xr3:uid="{00000000-0010-0000-0200-000007000000}" name="Utjämning" dataDxfId="197">
      <calculatedColumnFormula>Tabell6[[#This Row],[Att fördela]]</calculatedColumnFormula>
    </tableColumn>
    <tableColumn id="5" xr3:uid="{00000000-0010-0000-0200-000005000000}" name="Kr/m3">
      <calculatedColumnFormula>Tabell6[[#This Row],[Pris/m3 ink.moms]]</calculatedColumnFormula>
    </tableColumn>
    <tableColumn id="6" xr3:uid="{00000000-0010-0000-0200-000006000000}" name="Summa förbrukning" dataDxfId="196">
      <calculatedColumnFormula>(Tabell410[[#This Row],[Förbrukning]]+Tabell410[[#This Row],[Utjämning]])*Tabell410[[#This Row],[Kr/m3]]</calculatedColumnFormula>
    </tableColumn>
    <tableColumn id="8" xr3:uid="{00000000-0010-0000-0200-000008000000}" name="Fast avg" dataDxfId="195">
      <calculatedColumnFormula>Tabell6[[#This Row],[Summa fast avg/hushåll]]</calculatedColumnFormula>
    </tableColumn>
    <tableColumn id="9" xr3:uid="{00000000-0010-0000-0200-000009000000}" name="Medlems avg" dataDxfId="194">
      <calculatedColumnFormula>Tabell6[[#This Row],[Medlems avg]]/14</calculatedColumnFormula>
    </tableColumn>
    <tableColumn id="10" xr3:uid="{00000000-0010-0000-0200-00000A000000}" name="Lån" dataDxfId="193"/>
    <tableColumn id="11" xr3:uid="{00000000-0010-0000-0200-00000B000000}" name="Att betala" dataDxfId="192">
      <calculatedColumnFormula>IF(Tabell410[[#This Row],[Nuvarande]], SUM(Tabell410[[#This Row],[Summa förbrukning]:[Lån]])+Tabell410[[#This Row],[Korr]],0)</calculatedColumnFormula>
    </tableColumn>
    <tableColumn id="12" xr3:uid="{00000000-0010-0000-0200-00000C000000}" name="Korr" dataDxfId="191">
      <calculatedColumnFormula>K3-K2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ell41011" displayName="Tabell41011" ref="A4:L60" totalsRowShown="0">
  <autoFilter ref="A4:L60" xr:uid="{00000000-0009-0000-0100-00000A000000}"/>
  <tableColumns count="12">
    <tableColumn id="1" xr3:uid="{00000000-0010-0000-0300-000001000000}" name="Avläsnings datum" dataDxfId="190">
      <calculatedColumnFormula>Tabell6[[#This Row],[Avläsnings datum]]</calculatedColumnFormula>
    </tableColumn>
    <tableColumn id="2" xr3:uid="{00000000-0010-0000-0300-000002000000}" name="Nuvarande"/>
    <tableColumn id="3" xr3:uid="{00000000-0010-0000-0300-000003000000}" name="Föregående" dataDxfId="189">
      <calculatedColumnFormula>B4</calculatedColumnFormula>
    </tableColumn>
    <tableColumn id="4" xr3:uid="{00000000-0010-0000-0300-000004000000}" name="Förbrukning" dataDxfId="188">
      <calculatedColumnFormula>IF(B5-C5&lt;0,0,B5-C5)</calculatedColumnFormula>
    </tableColumn>
    <tableColumn id="7" xr3:uid="{00000000-0010-0000-0300-000007000000}" name="Utjämning" dataDxfId="187">
      <calculatedColumnFormula>Tabell6[[#This Row],[Att fördela]]</calculatedColumnFormula>
    </tableColumn>
    <tableColumn id="5" xr3:uid="{00000000-0010-0000-0300-000005000000}" name="Kr/m3">
      <calculatedColumnFormula>Tabell6[[#This Row],[Pris/m3 ink.moms]]</calculatedColumnFormula>
    </tableColumn>
    <tableColumn id="6" xr3:uid="{00000000-0010-0000-0300-000006000000}" name="Summa förbrukning" dataDxfId="186">
      <calculatedColumnFormula>(Tabell41011[[#This Row],[Förbrukning]]+Tabell41011[[#This Row],[Utjämning]])*Tabell41011[[#This Row],[Kr/m3]]</calculatedColumnFormula>
    </tableColumn>
    <tableColumn id="8" xr3:uid="{00000000-0010-0000-0300-000008000000}" name="Fast avg" dataDxfId="185">
      <calculatedColumnFormula>Tabell6[[#This Row],[Summa fast avg/hushåll]]</calculatedColumnFormula>
    </tableColumn>
    <tableColumn id="9" xr3:uid="{00000000-0010-0000-0300-000009000000}" name="Medlems avg" dataDxfId="184">
      <calculatedColumnFormula>Tabell6[[#This Row],[Medlems avg]]/14</calculatedColumnFormula>
    </tableColumn>
    <tableColumn id="10" xr3:uid="{00000000-0010-0000-0300-00000A000000}" name="Lån" dataDxfId="183"/>
    <tableColumn id="11" xr3:uid="{00000000-0010-0000-0300-00000B000000}" name="Att betala" dataDxfId="182">
      <calculatedColumnFormula>IF(Tabell41011[[#This Row],[Nuvarande]], SUM(Tabell41011[[#This Row],[Summa förbrukning]:[Lån]])+Tabell41011[[#This Row],[Korr]],0)</calculatedColumnFormula>
    </tableColumn>
    <tableColumn id="12" xr3:uid="{00000000-0010-0000-0300-00000C000000}" name="Korr" dataDxfId="181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ell4101112" displayName="Tabell4101112" ref="A4:L60" totalsRowShown="0">
  <autoFilter ref="A4:L60" xr:uid="{00000000-0009-0000-0100-00000B000000}"/>
  <tableColumns count="12">
    <tableColumn id="1" xr3:uid="{00000000-0010-0000-0400-000001000000}" name="Avläsnings datum" dataDxfId="180">
      <calculatedColumnFormula>Tabell6[[#This Row],[Avläsnings datum]]</calculatedColumnFormula>
    </tableColumn>
    <tableColumn id="2" xr3:uid="{00000000-0010-0000-0400-000002000000}" name="Nuvarande"/>
    <tableColumn id="3" xr3:uid="{00000000-0010-0000-0400-000003000000}" name="Föregående" dataDxfId="179">
      <calculatedColumnFormula>B4</calculatedColumnFormula>
    </tableColumn>
    <tableColumn id="4" xr3:uid="{00000000-0010-0000-0400-000004000000}" name="Förbrukning" dataDxfId="178">
      <calculatedColumnFormula>IF(B5-C5&lt;0,0,B5-C5)</calculatedColumnFormula>
    </tableColumn>
    <tableColumn id="7" xr3:uid="{00000000-0010-0000-0400-000007000000}" name="Utjämning" dataDxfId="177">
      <calculatedColumnFormula>Tabell6[[#This Row],[Att fördela]]</calculatedColumnFormula>
    </tableColumn>
    <tableColumn id="5" xr3:uid="{00000000-0010-0000-0400-000005000000}" name="Kr/m3">
      <calculatedColumnFormula>Tabell6[[#This Row],[Pris/m3 ink.moms]]</calculatedColumnFormula>
    </tableColumn>
    <tableColumn id="6" xr3:uid="{00000000-0010-0000-0400-000006000000}" name="Summa förbrukning" dataDxfId="176">
      <calculatedColumnFormula>(Tabell4101112[[#This Row],[Förbrukning]]+Tabell4101112[[#This Row],[Utjämning]])*Tabell4101112[[#This Row],[Kr/m3]]</calculatedColumnFormula>
    </tableColumn>
    <tableColumn id="8" xr3:uid="{00000000-0010-0000-0400-000008000000}" name="Fast avg" dataDxfId="175">
      <calculatedColumnFormula>Tabell6[[#This Row],[Summa fast avg/hushåll]]</calculatedColumnFormula>
    </tableColumn>
    <tableColumn id="9" xr3:uid="{00000000-0010-0000-0400-000009000000}" name="Medlems avg" dataDxfId="174">
      <calculatedColumnFormula>Tabell6[[#This Row],[Medlems avg]]/14</calculatedColumnFormula>
    </tableColumn>
    <tableColumn id="10" xr3:uid="{00000000-0010-0000-0400-00000A000000}" name="Lån" dataDxfId="173"/>
    <tableColumn id="11" xr3:uid="{00000000-0010-0000-0400-00000B000000}" name="Att betala" dataDxfId="172">
      <calculatedColumnFormula>IF(Tabell4101112[[#This Row],[Nuvarande]], SUM(Tabell4101112[[#This Row],[Summa förbrukning]:[Lån]])+Tabell4101112[[#This Row],[Korr]],0)</calculatedColumnFormula>
    </tableColumn>
    <tableColumn id="12" xr3:uid="{00000000-0010-0000-0400-00000C000000}" name="Korr" dataDxfId="171">
      <calculatedColumnFormula>K3-K2</calculatedColumn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ell410111213" displayName="Tabell410111213" ref="A4:L60" totalsRowShown="0">
  <autoFilter ref="A4:L60" xr:uid="{00000000-0009-0000-0100-00000C000000}"/>
  <tableColumns count="12">
    <tableColumn id="1" xr3:uid="{00000000-0010-0000-0500-000001000000}" name="Avläsnings datum" dataDxfId="170">
      <calculatedColumnFormula>Tabell6[[#This Row],[Avläsnings datum]]</calculatedColumnFormula>
    </tableColumn>
    <tableColumn id="2" xr3:uid="{00000000-0010-0000-0500-000002000000}" name="Nuvarande"/>
    <tableColumn id="3" xr3:uid="{00000000-0010-0000-0500-000003000000}" name="Föregående" dataDxfId="169">
      <calculatedColumnFormula>B4</calculatedColumnFormula>
    </tableColumn>
    <tableColumn id="4" xr3:uid="{00000000-0010-0000-0500-000004000000}" name="Förbrukning" dataDxfId="168">
      <calculatedColumnFormula>IF(B5-C5&lt;0,0,B5-C5)</calculatedColumnFormula>
    </tableColumn>
    <tableColumn id="7" xr3:uid="{00000000-0010-0000-0500-000007000000}" name="Utjämning" dataDxfId="167">
      <calculatedColumnFormula>Tabell6[[#This Row],[Att fördela]]</calculatedColumnFormula>
    </tableColumn>
    <tableColumn id="5" xr3:uid="{00000000-0010-0000-0500-000005000000}" name="Kr/m3">
      <calculatedColumnFormula>Tabell6[[#This Row],[Pris/m3 ink.moms]]</calculatedColumnFormula>
    </tableColumn>
    <tableColumn id="6" xr3:uid="{00000000-0010-0000-0500-000006000000}" name="Summa förbrukning" dataDxfId="166">
      <calculatedColumnFormula>(Tabell410111213[[#This Row],[Förbrukning]]+Tabell410111213[[#This Row],[Utjämning]])*Tabell410111213[[#This Row],[Kr/m3]]</calculatedColumnFormula>
    </tableColumn>
    <tableColumn id="8" xr3:uid="{00000000-0010-0000-0500-000008000000}" name="Fast avg" dataDxfId="165">
      <calculatedColumnFormula>Tabell6[[#This Row],[Summa fast avg/hushåll]]</calculatedColumnFormula>
    </tableColumn>
    <tableColumn id="9" xr3:uid="{00000000-0010-0000-0500-000009000000}" name="Medlems avg" dataDxfId="164">
      <calculatedColumnFormula>Tabell6[[#This Row],[Medlems avg]]/14</calculatedColumnFormula>
    </tableColumn>
    <tableColumn id="10" xr3:uid="{00000000-0010-0000-0500-00000A000000}" name="Lån" dataDxfId="163"/>
    <tableColumn id="11" xr3:uid="{00000000-0010-0000-0500-00000B000000}" name="Att betala" dataDxfId="162">
      <calculatedColumnFormula>IF(Tabell410111213[[#This Row],[Nuvarande]], SUM(Tabell410111213[[#This Row],[Summa förbrukning]:[Lån]])+Tabell410111213[[#This Row],[Korr]],0)</calculatedColumnFormula>
    </tableColumn>
    <tableColumn id="12" xr3:uid="{00000000-0010-0000-0500-00000C000000}" name="Korr" dataDxfId="161">
      <calculatedColumnFormula>K3-K2</calculatedColumnFormula>
    </tableColumn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6000000}" name="Tabell41011121314" displayName="Tabell41011121314" ref="A4:L60" totalsRowShown="0">
  <autoFilter ref="A4:L60" xr:uid="{00000000-0009-0000-0100-00000D000000}"/>
  <tableColumns count="12">
    <tableColumn id="1" xr3:uid="{00000000-0010-0000-0600-000001000000}" name="Avläsnings datum" dataDxfId="160">
      <calculatedColumnFormula>Tabell6[[#This Row],[Avläsnings datum]]</calculatedColumnFormula>
    </tableColumn>
    <tableColumn id="2" xr3:uid="{00000000-0010-0000-0600-000002000000}" name="Nuvarande"/>
    <tableColumn id="3" xr3:uid="{00000000-0010-0000-0600-000003000000}" name="Föregående" dataDxfId="159">
      <calculatedColumnFormula>B4</calculatedColumnFormula>
    </tableColumn>
    <tableColumn id="4" xr3:uid="{00000000-0010-0000-0600-000004000000}" name="Förbrukning" dataDxfId="158">
      <calculatedColumnFormula>IF(B5-C5&lt;0,0,B5-C5)</calculatedColumnFormula>
    </tableColumn>
    <tableColumn id="7" xr3:uid="{00000000-0010-0000-0600-000007000000}" name="Utjämning" dataDxfId="157">
      <calculatedColumnFormula>Tabell6[[#This Row],[Att fördela]]</calculatedColumnFormula>
    </tableColumn>
    <tableColumn id="5" xr3:uid="{00000000-0010-0000-0600-000005000000}" name="Kr/m3">
      <calculatedColumnFormula>Tabell6[[#This Row],[Pris/m3 ink.moms]]</calculatedColumnFormula>
    </tableColumn>
    <tableColumn id="6" xr3:uid="{00000000-0010-0000-0600-000006000000}" name="Summa förbrukning" dataDxfId="156">
      <calculatedColumnFormula>(Tabell41011121314[[#This Row],[Förbrukning]]+Tabell41011121314[[#This Row],[Utjämning]])*Tabell41011121314[[#This Row],[Kr/m3]]</calculatedColumnFormula>
    </tableColumn>
    <tableColumn id="8" xr3:uid="{00000000-0010-0000-0600-000008000000}" name="Fast avg" dataDxfId="155">
      <calculatedColumnFormula>Tabell6[[#This Row],[Summa fast avg/hushåll]]</calculatedColumnFormula>
    </tableColumn>
    <tableColumn id="9" xr3:uid="{00000000-0010-0000-0600-000009000000}" name="Medlems avg" dataDxfId="154">
      <calculatedColumnFormula>Tabell6[[#This Row],[Medlems avg]]/14</calculatedColumnFormula>
    </tableColumn>
    <tableColumn id="10" xr3:uid="{00000000-0010-0000-0600-00000A000000}" name="Lån" dataDxfId="153"/>
    <tableColumn id="11" xr3:uid="{00000000-0010-0000-0600-00000B000000}" name="Att betala" dataDxfId="152">
      <calculatedColumnFormula>IF(Tabell41011121314[[#This Row],[Nuvarande]], SUM(Tabell41011121314[[#This Row],[Summa förbrukning]:[Lån]])+Tabell41011121314[[#This Row],[Korr]],0)</calculatedColumnFormula>
    </tableColumn>
    <tableColumn id="12" xr3:uid="{00000000-0010-0000-0600-00000C000000}" name="Korr" dataDxfId="151">
      <calculatedColumnFormula>K3-K2</calculatedColumnFormula>
    </tableColumn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7000000}" name="Tabell4101112131415" displayName="Tabell4101112131415" ref="A4:L60" totalsRowShown="0">
  <autoFilter ref="A4:L60" xr:uid="{00000000-0009-0000-0100-00000E000000}"/>
  <tableColumns count="12">
    <tableColumn id="1" xr3:uid="{00000000-0010-0000-0700-000001000000}" name="Avläsnings datum" dataDxfId="150">
      <calculatedColumnFormula>Tabell6[[#This Row],[Avläsnings datum]]</calculatedColumnFormula>
    </tableColumn>
    <tableColumn id="2" xr3:uid="{00000000-0010-0000-0700-000002000000}" name="Nuvarande"/>
    <tableColumn id="3" xr3:uid="{00000000-0010-0000-0700-000003000000}" name="Föregående" dataDxfId="149">
      <calculatedColumnFormula>B4</calculatedColumnFormula>
    </tableColumn>
    <tableColumn id="4" xr3:uid="{00000000-0010-0000-0700-000004000000}" name="Förbrukning" dataDxfId="148">
      <calculatedColumnFormula>IF(B5-C5&lt;0,0,B5-C5)</calculatedColumnFormula>
    </tableColumn>
    <tableColumn id="7" xr3:uid="{00000000-0010-0000-0700-000007000000}" name="Utjämning" dataDxfId="147">
      <calculatedColumnFormula>Tabell6[[#This Row],[Att fördela]]</calculatedColumnFormula>
    </tableColumn>
    <tableColumn id="5" xr3:uid="{00000000-0010-0000-0700-000005000000}" name="Kr/m3">
      <calculatedColumnFormula>Tabell6[[#This Row],[Pris/m3 ink.moms]]</calculatedColumnFormula>
    </tableColumn>
    <tableColumn id="6" xr3:uid="{00000000-0010-0000-0700-000006000000}" name="Summa förbrukning" dataDxfId="146">
      <calculatedColumnFormula>(Tabell4101112131415[[#This Row],[Förbrukning]]+Tabell4101112131415[[#This Row],[Utjämning]])*Tabell4101112131415[[#This Row],[Kr/m3]]</calculatedColumnFormula>
    </tableColumn>
    <tableColumn id="8" xr3:uid="{00000000-0010-0000-0700-000008000000}" name="Fast avg" dataDxfId="145" dataCellStyle="Valuta">
      <calculatedColumnFormula>Tabell6[[#This Row],[Summa fast avg/hushåll]]</calculatedColumnFormula>
    </tableColumn>
    <tableColumn id="9" xr3:uid="{00000000-0010-0000-0700-000009000000}" name="Medlems avg" dataDxfId="144" dataCellStyle="Valuta">
      <calculatedColumnFormula>Tabell6[[#This Row],[Medlems avg]]/14</calculatedColumnFormula>
    </tableColumn>
    <tableColumn id="10" xr3:uid="{00000000-0010-0000-0700-00000A000000}" name="Lån" dataDxfId="143" dataCellStyle="Valuta"/>
    <tableColumn id="11" xr3:uid="{00000000-0010-0000-0700-00000B000000}" name="Att betala" dataDxfId="142" dataCellStyle="Valuta">
      <calculatedColumnFormula>IF(Tabell4101112131415[[#This Row],[Nuvarande]], SUM(Tabell4101112131415[[#This Row],[Summa förbrukning]:[Lån]])+Tabell4101112131415[[#This Row],[Korr]],0)</calculatedColumnFormula>
    </tableColumn>
    <tableColumn id="12" xr3:uid="{00000000-0010-0000-0700-00000C000000}" name="Korr" dataDxfId="141" dataCellStyle="Valuta">
      <calculatedColumnFormula>K3-K2</calculatedColumnFormula>
    </tableColumn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8000000}" name="Tabell410111213141516" displayName="Tabell410111213141516" ref="A4:L60" totalsRowShown="0">
  <autoFilter ref="A4:L60" xr:uid="{00000000-0009-0000-0100-00000F000000}"/>
  <tableColumns count="12">
    <tableColumn id="1" xr3:uid="{00000000-0010-0000-0800-000001000000}" name="Avläsnings datum" dataDxfId="140">
      <calculatedColumnFormula>Tabell6[[#This Row],[Avläsnings datum]]</calculatedColumnFormula>
    </tableColumn>
    <tableColumn id="2" xr3:uid="{00000000-0010-0000-0800-000002000000}" name="Nuvarande"/>
    <tableColumn id="3" xr3:uid="{00000000-0010-0000-0800-000003000000}" name="Föregående" dataDxfId="139">
      <calculatedColumnFormula>B4</calculatedColumnFormula>
    </tableColumn>
    <tableColumn id="4" xr3:uid="{00000000-0010-0000-0800-000004000000}" name="Förbrukning" dataDxfId="138">
      <calculatedColumnFormula>IF(B5-C5&lt;0,0,B5-C5)</calculatedColumnFormula>
    </tableColumn>
    <tableColumn id="7" xr3:uid="{00000000-0010-0000-0800-000007000000}" name="Utjämning" dataDxfId="137">
      <calculatedColumnFormula>Tabell6[[#This Row],[Att fördela]]</calculatedColumnFormula>
    </tableColumn>
    <tableColumn id="5" xr3:uid="{00000000-0010-0000-0800-000005000000}" name="Kr/m3">
      <calculatedColumnFormula>Tabell6[[#This Row],[Pris/m3 ink.moms]]</calculatedColumnFormula>
    </tableColumn>
    <tableColumn id="6" xr3:uid="{00000000-0010-0000-0800-000006000000}" name="Summa förbrukning" dataDxfId="136">
      <calculatedColumnFormula>(Tabell410111213141516[[#This Row],[Förbrukning]]+Tabell410111213141516[[#This Row],[Utjämning]])*Tabell410111213141516[[#This Row],[Kr/m3]]</calculatedColumnFormula>
    </tableColumn>
    <tableColumn id="8" xr3:uid="{00000000-0010-0000-0800-000008000000}" name="Fast avg" dataDxfId="135" dataCellStyle="Valuta">
      <calculatedColumnFormula>Tabell6[[#This Row],[Summa fast avg/hushåll]]</calculatedColumnFormula>
    </tableColumn>
    <tableColumn id="9" xr3:uid="{00000000-0010-0000-0800-000009000000}" name="Medlems avg" dataDxfId="134" dataCellStyle="Valuta">
      <calculatedColumnFormula>Tabell6[[#This Row],[Medlems avg]]/14</calculatedColumnFormula>
    </tableColumn>
    <tableColumn id="10" xr3:uid="{00000000-0010-0000-0800-00000A000000}" name="Lån" dataDxfId="133" dataCellStyle="Valuta"/>
    <tableColumn id="11" xr3:uid="{00000000-0010-0000-0800-00000B000000}" name="Att betala" dataDxfId="132" dataCellStyle="Valuta">
      <calculatedColumnFormula>IF(Tabell410111213141516[[#This Row],[Nuvarande]], SUM(Tabell410111213141516[[#This Row],[Summa förbrukning]:[Lån]])+Tabell410111213141516[[#This Row],[Korr]],0)</calculatedColumnFormula>
    </tableColumn>
    <tableColumn id="12" xr3:uid="{00000000-0010-0000-0800-00000C000000}" name="Korr" dataDxfId="131" dataCellStyle="Valuta">
      <calculatedColumnFormula>K3-K2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3:X85"/>
  <sheetViews>
    <sheetView workbookViewId="0">
      <selection activeCell="H73" sqref="H73"/>
    </sheetView>
  </sheetViews>
  <sheetFormatPr defaultRowHeight="15" x14ac:dyDescent="0.25"/>
  <cols>
    <col min="1" max="1" width="12.85546875" style="28" bestFit="1" customWidth="1"/>
    <col min="4" max="4" width="12.42578125" style="7" customWidth="1"/>
    <col min="15" max="15" width="13.140625" customWidth="1"/>
    <col min="22" max="24" width="30.28515625" customWidth="1"/>
  </cols>
  <sheetData>
    <row r="3" spans="1:4" x14ac:dyDescent="0.25">
      <c r="A3" s="28">
        <v>40816</v>
      </c>
      <c r="B3">
        <v>1324</v>
      </c>
    </row>
    <row r="4" spans="1:4" x14ac:dyDescent="0.25">
      <c r="A4" s="28">
        <v>40847</v>
      </c>
      <c r="B4">
        <v>1344</v>
      </c>
    </row>
    <row r="5" spans="1:4" x14ac:dyDescent="0.25">
      <c r="A5" s="28">
        <v>40877</v>
      </c>
      <c r="B5">
        <v>1324</v>
      </c>
    </row>
    <row r="6" spans="1:4" x14ac:dyDescent="0.25">
      <c r="A6" s="28">
        <v>40908</v>
      </c>
      <c r="B6">
        <v>1332</v>
      </c>
      <c r="D6" s="7">
        <f>SUM(B3:B6)/7</f>
        <v>760.57142857142856</v>
      </c>
    </row>
    <row r="7" spans="1:4" x14ac:dyDescent="0.25">
      <c r="A7" s="28">
        <v>40939</v>
      </c>
      <c r="B7">
        <v>1325</v>
      </c>
    </row>
    <row r="8" spans="1:4" x14ac:dyDescent="0.25">
      <c r="A8" s="28">
        <v>40968</v>
      </c>
      <c r="B8">
        <v>1292</v>
      </c>
    </row>
    <row r="9" spans="1:4" x14ac:dyDescent="0.25">
      <c r="A9" s="28">
        <v>40999</v>
      </c>
      <c r="B9">
        <v>1313</v>
      </c>
    </row>
    <row r="10" spans="1:4" x14ac:dyDescent="0.25">
      <c r="A10" s="28">
        <v>41029</v>
      </c>
      <c r="B10">
        <v>1294</v>
      </c>
      <c r="D10" s="7">
        <f>SUM(B7:B10)/7</f>
        <v>746.28571428571433</v>
      </c>
    </row>
    <row r="11" spans="1:4" x14ac:dyDescent="0.25">
      <c r="A11" s="28">
        <v>41060</v>
      </c>
      <c r="B11">
        <v>1301</v>
      </c>
    </row>
    <row r="12" spans="1:4" x14ac:dyDescent="0.25">
      <c r="A12" s="28">
        <v>41090</v>
      </c>
      <c r="B12">
        <v>1283</v>
      </c>
    </row>
    <row r="13" spans="1:4" x14ac:dyDescent="0.25">
      <c r="A13" s="28">
        <v>41121</v>
      </c>
      <c r="B13">
        <v>1290</v>
      </c>
    </row>
    <row r="14" spans="1:4" x14ac:dyDescent="0.25">
      <c r="A14" s="28">
        <v>41152</v>
      </c>
      <c r="B14">
        <v>1284</v>
      </c>
      <c r="D14" s="7">
        <f>SUM(B11:B14)/7</f>
        <v>736.85714285714289</v>
      </c>
    </row>
    <row r="15" spans="1:4" x14ac:dyDescent="0.25">
      <c r="A15" s="28">
        <v>41182</v>
      </c>
      <c r="B15">
        <v>1265</v>
      </c>
    </row>
    <row r="16" spans="1:4" x14ac:dyDescent="0.25">
      <c r="A16" s="28">
        <v>41213</v>
      </c>
      <c r="B16">
        <v>1272</v>
      </c>
    </row>
    <row r="17" spans="1:4" x14ac:dyDescent="0.25">
      <c r="A17" s="28">
        <v>41243</v>
      </c>
      <c r="B17">
        <v>1254</v>
      </c>
    </row>
    <row r="18" spans="1:4" x14ac:dyDescent="0.25">
      <c r="A18" s="28">
        <v>41274</v>
      </c>
      <c r="B18">
        <v>1260</v>
      </c>
      <c r="D18" s="7">
        <f t="shared" ref="D18:D62" si="0">SUM(B15:B18)/7</f>
        <v>721.57142857142856</v>
      </c>
    </row>
    <row r="19" spans="1:4" x14ac:dyDescent="0.25">
      <c r="A19" s="28">
        <v>41305</v>
      </c>
      <c r="B19">
        <v>1255</v>
      </c>
    </row>
    <row r="20" spans="1:4" x14ac:dyDescent="0.25">
      <c r="A20" s="28" t="s">
        <v>0</v>
      </c>
      <c r="B20">
        <v>1215</v>
      </c>
    </row>
    <row r="21" spans="1:4" x14ac:dyDescent="0.25">
      <c r="A21" s="28">
        <v>41364</v>
      </c>
      <c r="B21">
        <v>1243</v>
      </c>
    </row>
    <row r="22" spans="1:4" x14ac:dyDescent="0.25">
      <c r="A22" s="28">
        <v>41394</v>
      </c>
      <c r="B22">
        <v>1226</v>
      </c>
      <c r="D22" s="7">
        <f t="shared" si="0"/>
        <v>705.57142857142856</v>
      </c>
    </row>
    <row r="23" spans="1:4" x14ac:dyDescent="0.25">
      <c r="A23" s="28">
        <v>41425</v>
      </c>
      <c r="B23">
        <v>1231</v>
      </c>
    </row>
    <row r="24" spans="1:4" x14ac:dyDescent="0.25">
      <c r="A24" s="28">
        <v>41455</v>
      </c>
      <c r="B24">
        <v>1215</v>
      </c>
    </row>
    <row r="25" spans="1:4" x14ac:dyDescent="0.25">
      <c r="A25" s="28">
        <v>41486</v>
      </c>
      <c r="B25">
        <v>1219</v>
      </c>
    </row>
    <row r="26" spans="1:4" x14ac:dyDescent="0.25">
      <c r="A26" s="28">
        <v>41517</v>
      </c>
      <c r="B26">
        <v>1213</v>
      </c>
      <c r="D26" s="7">
        <f t="shared" si="0"/>
        <v>696.85714285714289</v>
      </c>
    </row>
    <row r="27" spans="1:4" x14ac:dyDescent="0.25">
      <c r="A27" s="28">
        <v>41547</v>
      </c>
      <c r="B27">
        <v>1198</v>
      </c>
    </row>
    <row r="28" spans="1:4" x14ac:dyDescent="0.25">
      <c r="A28" s="28">
        <v>41578</v>
      </c>
      <c r="B28">
        <v>1202</v>
      </c>
    </row>
    <row r="29" spans="1:4" x14ac:dyDescent="0.25">
      <c r="A29" s="28">
        <v>41608</v>
      </c>
      <c r="B29">
        <v>1186</v>
      </c>
    </row>
    <row r="30" spans="1:4" x14ac:dyDescent="0.25">
      <c r="A30" s="28">
        <v>41639</v>
      </c>
      <c r="B30">
        <v>1190</v>
      </c>
      <c r="D30" s="7">
        <f t="shared" si="0"/>
        <v>682.28571428571433</v>
      </c>
    </row>
    <row r="31" spans="1:4" x14ac:dyDescent="0.25">
      <c r="A31" s="29">
        <v>41670</v>
      </c>
      <c r="B31" s="24">
        <v>1184</v>
      </c>
      <c r="C31" s="25"/>
    </row>
    <row r="32" spans="1:4" x14ac:dyDescent="0.25">
      <c r="A32" s="29">
        <v>41698</v>
      </c>
      <c r="B32" s="24">
        <v>1151</v>
      </c>
      <c r="C32" s="25"/>
    </row>
    <row r="33" spans="1:19" x14ac:dyDescent="0.25">
      <c r="A33" s="29">
        <v>41729</v>
      </c>
      <c r="B33" s="24">
        <v>1172</v>
      </c>
      <c r="C33" s="25"/>
    </row>
    <row r="34" spans="1:19" x14ac:dyDescent="0.25">
      <c r="A34" s="29">
        <v>41759</v>
      </c>
      <c r="B34" s="24">
        <v>1157</v>
      </c>
      <c r="C34" s="25"/>
      <c r="D34" s="7">
        <f t="shared" si="0"/>
        <v>666.28571428571433</v>
      </c>
    </row>
    <row r="35" spans="1:19" x14ac:dyDescent="0.25">
      <c r="A35" s="28">
        <v>41790</v>
      </c>
      <c r="B35">
        <v>1160</v>
      </c>
    </row>
    <row r="36" spans="1:19" x14ac:dyDescent="0.25">
      <c r="A36" s="28">
        <v>41820</v>
      </c>
      <c r="B36">
        <v>1146</v>
      </c>
    </row>
    <row r="37" spans="1:19" x14ac:dyDescent="0.25">
      <c r="A37" s="28">
        <v>41851</v>
      </c>
      <c r="B37">
        <v>1148</v>
      </c>
    </row>
    <row r="38" spans="1:19" x14ac:dyDescent="0.25">
      <c r="A38" s="28">
        <v>41881</v>
      </c>
      <c r="B38">
        <v>1142</v>
      </c>
      <c r="D38" s="7">
        <f t="shared" si="0"/>
        <v>656.57142857142856</v>
      </c>
    </row>
    <row r="39" spans="1:19" x14ac:dyDescent="0.25">
      <c r="A39" s="30">
        <v>41912</v>
      </c>
      <c r="B39">
        <v>1129</v>
      </c>
    </row>
    <row r="40" spans="1:19" x14ac:dyDescent="0.25">
      <c r="A40" s="30">
        <v>41943</v>
      </c>
      <c r="B40">
        <v>1130</v>
      </c>
    </row>
    <row r="41" spans="1:19" x14ac:dyDescent="0.25">
      <c r="A41" s="30">
        <v>41973</v>
      </c>
      <c r="B41">
        <v>1117</v>
      </c>
    </row>
    <row r="42" spans="1:19" x14ac:dyDescent="0.25">
      <c r="A42" s="28">
        <v>42004</v>
      </c>
      <c r="B42">
        <v>1118</v>
      </c>
      <c r="D42" s="7">
        <f t="shared" si="0"/>
        <v>642</v>
      </c>
    </row>
    <row r="43" spans="1:19" x14ac:dyDescent="0.25">
      <c r="A43" s="29">
        <v>42035</v>
      </c>
      <c r="B43" s="24">
        <v>1113</v>
      </c>
      <c r="C43" s="25"/>
    </row>
    <row r="44" spans="1:19" x14ac:dyDescent="0.25">
      <c r="A44" s="29">
        <v>42063</v>
      </c>
      <c r="B44" s="24">
        <v>1087</v>
      </c>
      <c r="C44" s="25"/>
      <c r="R44" s="21"/>
      <c r="S44" s="20" t="s">
        <v>1</v>
      </c>
    </row>
    <row r="45" spans="1:19" x14ac:dyDescent="0.25">
      <c r="A45" s="29">
        <v>42094</v>
      </c>
      <c r="B45" s="24">
        <v>1101</v>
      </c>
      <c r="C45" s="25"/>
      <c r="Q45" s="17"/>
      <c r="R45" s="22"/>
      <c r="S45" s="18" t="s">
        <v>2</v>
      </c>
    </row>
    <row r="46" spans="1:19" x14ac:dyDescent="0.25">
      <c r="A46" s="29">
        <v>42124</v>
      </c>
      <c r="B46" s="24">
        <v>1088</v>
      </c>
      <c r="C46" s="25"/>
      <c r="D46" s="7">
        <f t="shared" si="0"/>
        <v>627</v>
      </c>
      <c r="Q46" s="19"/>
      <c r="R46" s="23"/>
      <c r="S46" s="20" t="s">
        <v>3</v>
      </c>
    </row>
    <row r="47" spans="1:19" x14ac:dyDescent="0.25">
      <c r="A47" s="28">
        <v>42155</v>
      </c>
      <c r="B47" s="24">
        <v>1089</v>
      </c>
      <c r="Q47" s="17"/>
      <c r="R47" s="22"/>
      <c r="S47" s="18" t="s">
        <v>4</v>
      </c>
    </row>
    <row r="48" spans="1:19" x14ac:dyDescent="0.25">
      <c r="A48" s="28">
        <v>42185</v>
      </c>
      <c r="B48" s="24">
        <v>1077</v>
      </c>
    </row>
    <row r="49" spans="1:4" x14ac:dyDescent="0.25">
      <c r="A49" s="28">
        <v>42216</v>
      </c>
      <c r="B49" s="24">
        <v>1077</v>
      </c>
    </row>
    <row r="50" spans="1:4" x14ac:dyDescent="0.25">
      <c r="A50" s="28">
        <v>42246</v>
      </c>
      <c r="B50" s="24">
        <v>1071</v>
      </c>
      <c r="D50" s="7">
        <f t="shared" si="0"/>
        <v>616.28571428571433</v>
      </c>
    </row>
    <row r="51" spans="1:4" x14ac:dyDescent="0.25">
      <c r="A51" s="30">
        <v>42277</v>
      </c>
      <c r="B51" s="24">
        <v>1060</v>
      </c>
    </row>
    <row r="52" spans="1:4" x14ac:dyDescent="0.25">
      <c r="A52" s="30">
        <v>42308</v>
      </c>
      <c r="B52" s="24">
        <v>1059</v>
      </c>
    </row>
    <row r="53" spans="1:4" x14ac:dyDescent="0.25">
      <c r="A53" s="30">
        <v>42338</v>
      </c>
      <c r="B53" s="24">
        <v>1048</v>
      </c>
    </row>
    <row r="54" spans="1:4" x14ac:dyDescent="0.25">
      <c r="A54" s="28">
        <v>42369</v>
      </c>
      <c r="B54" s="24">
        <v>1031</v>
      </c>
      <c r="D54" s="7">
        <f t="shared" si="0"/>
        <v>599.71428571428567</v>
      </c>
    </row>
    <row r="55" spans="1:4" x14ac:dyDescent="0.25">
      <c r="A55" s="28">
        <v>42400</v>
      </c>
      <c r="B55">
        <v>1023</v>
      </c>
    </row>
    <row r="56" spans="1:4" x14ac:dyDescent="0.25">
      <c r="A56" s="28">
        <v>42429</v>
      </c>
      <c r="B56">
        <v>1010</v>
      </c>
    </row>
    <row r="57" spans="1:4" x14ac:dyDescent="0.25">
      <c r="A57" s="28">
        <v>42460</v>
      </c>
      <c r="B57">
        <v>1013</v>
      </c>
    </row>
    <row r="58" spans="1:4" x14ac:dyDescent="0.25">
      <c r="A58" s="28">
        <v>42490</v>
      </c>
      <c r="B58">
        <v>1004</v>
      </c>
      <c r="D58" s="7">
        <f t="shared" si="0"/>
        <v>578.57142857142856</v>
      </c>
    </row>
    <row r="59" spans="1:4" x14ac:dyDescent="0.25">
      <c r="A59" s="28">
        <v>42521</v>
      </c>
      <c r="B59">
        <v>1002</v>
      </c>
    </row>
    <row r="60" spans="1:4" x14ac:dyDescent="0.25">
      <c r="A60" s="28">
        <v>42551</v>
      </c>
      <c r="B60">
        <v>994</v>
      </c>
    </row>
    <row r="61" spans="1:4" x14ac:dyDescent="0.25">
      <c r="A61" s="28">
        <v>42582</v>
      </c>
      <c r="B61">
        <v>999</v>
      </c>
    </row>
    <row r="62" spans="1:4" x14ac:dyDescent="0.25">
      <c r="A62" s="28">
        <v>42613</v>
      </c>
      <c r="B62">
        <v>985</v>
      </c>
      <c r="D62" s="7">
        <f t="shared" si="0"/>
        <v>568.57142857142856</v>
      </c>
    </row>
    <row r="63" spans="1:4" x14ac:dyDescent="0.25">
      <c r="A63" s="28">
        <v>42674</v>
      </c>
      <c r="B63">
        <v>982</v>
      </c>
    </row>
    <row r="64" spans="1:4" x14ac:dyDescent="0.25">
      <c r="A64" s="28">
        <v>42704</v>
      </c>
      <c r="B64">
        <v>974</v>
      </c>
    </row>
    <row r="65" spans="1:24" x14ac:dyDescent="0.25">
      <c r="A65" s="28">
        <v>42735</v>
      </c>
      <c r="B65">
        <v>971</v>
      </c>
    </row>
    <row r="66" spans="1:24" x14ac:dyDescent="0.25">
      <c r="A66" s="28">
        <v>42766</v>
      </c>
      <c r="B66">
        <v>966</v>
      </c>
      <c r="D66" s="7">
        <f>SUM(B63:B66)/7</f>
        <v>556.14285714285711</v>
      </c>
    </row>
    <row r="67" spans="1:24" x14ac:dyDescent="0.25">
      <c r="A67" s="28">
        <v>42794</v>
      </c>
      <c r="B67">
        <v>954</v>
      </c>
    </row>
    <row r="68" spans="1:24" x14ac:dyDescent="0.25">
      <c r="A68" s="28">
        <v>42825</v>
      </c>
      <c r="B68">
        <v>955</v>
      </c>
    </row>
    <row r="69" spans="1:24" x14ac:dyDescent="0.25">
      <c r="A69" s="28">
        <v>42855</v>
      </c>
      <c r="B69">
        <v>951</v>
      </c>
    </row>
    <row r="70" spans="1:24" x14ac:dyDescent="0.25">
      <c r="A70" s="28">
        <v>42886</v>
      </c>
      <c r="B70">
        <v>946</v>
      </c>
      <c r="D70" s="7">
        <f>SUM(B67:B70)/7</f>
        <v>543.71428571428567</v>
      </c>
    </row>
    <row r="71" spans="1:24" x14ac:dyDescent="0.25">
      <c r="A71" s="28">
        <v>42916</v>
      </c>
      <c r="B71">
        <v>939</v>
      </c>
    </row>
    <row r="72" spans="1:24" x14ac:dyDescent="0.25">
      <c r="A72" s="28">
        <v>42947</v>
      </c>
      <c r="B72">
        <v>934</v>
      </c>
    </row>
    <row r="73" spans="1:24" x14ac:dyDescent="0.25">
      <c r="A73" s="28">
        <v>42978</v>
      </c>
      <c r="B73">
        <v>929</v>
      </c>
    </row>
    <row r="74" spans="1:24" x14ac:dyDescent="0.25">
      <c r="A74" s="28">
        <v>43008</v>
      </c>
      <c r="B74">
        <v>922</v>
      </c>
      <c r="D74" s="7">
        <f>(SUM(B71:B74)/7)-5</f>
        <v>527</v>
      </c>
    </row>
    <row r="75" spans="1:24" x14ac:dyDescent="0.25">
      <c r="A75" s="28">
        <v>43039</v>
      </c>
      <c r="B75">
        <v>917</v>
      </c>
    </row>
    <row r="76" spans="1:24" x14ac:dyDescent="0.25">
      <c r="A76" s="28">
        <v>43069</v>
      </c>
      <c r="B76">
        <v>910</v>
      </c>
    </row>
    <row r="77" spans="1:24" x14ac:dyDescent="0.25">
      <c r="A77" s="28">
        <v>43100</v>
      </c>
      <c r="B77">
        <v>886</v>
      </c>
      <c r="V77" s="19">
        <v>42766</v>
      </c>
      <c r="W77" s="23" t="s">
        <v>5</v>
      </c>
      <c r="X77" s="20">
        <v>966</v>
      </c>
    </row>
    <row r="78" spans="1:24" x14ac:dyDescent="0.25">
      <c r="D78" s="7">
        <f>(SUM(B75:B77)/7)</f>
        <v>387.57142857142856</v>
      </c>
      <c r="V78" s="17">
        <v>42794</v>
      </c>
      <c r="W78" s="22" t="s">
        <v>5</v>
      </c>
      <c r="X78" s="18">
        <v>954</v>
      </c>
    </row>
    <row r="79" spans="1:24" x14ac:dyDescent="0.25">
      <c r="V79" s="19">
        <v>42825</v>
      </c>
      <c r="W79" s="23" t="s">
        <v>5</v>
      </c>
      <c r="X79" s="20">
        <v>955</v>
      </c>
    </row>
    <row r="80" spans="1:24" x14ac:dyDescent="0.25">
      <c r="V80" s="17">
        <v>42855</v>
      </c>
      <c r="W80" s="22" t="s">
        <v>5</v>
      </c>
      <c r="X80" s="18">
        <v>951</v>
      </c>
    </row>
    <row r="81" spans="22:24" x14ac:dyDescent="0.25">
      <c r="V81" s="19">
        <v>42886</v>
      </c>
      <c r="W81" s="23" t="s">
        <v>5</v>
      </c>
      <c r="X81" s="20">
        <v>946</v>
      </c>
    </row>
    <row r="82" spans="22:24" x14ac:dyDescent="0.25">
      <c r="V82" s="17">
        <v>42916</v>
      </c>
      <c r="W82" s="22" t="s">
        <v>5</v>
      </c>
      <c r="X82" s="18">
        <v>939</v>
      </c>
    </row>
    <row r="83" spans="22:24" x14ac:dyDescent="0.25">
      <c r="V83" s="19">
        <v>42947</v>
      </c>
      <c r="W83" s="23" t="s">
        <v>5</v>
      </c>
      <c r="X83" s="20">
        <v>934</v>
      </c>
    </row>
    <row r="84" spans="22:24" x14ac:dyDescent="0.25">
      <c r="V84" s="17">
        <v>42978</v>
      </c>
      <c r="W84" s="22" t="s">
        <v>5</v>
      </c>
      <c r="X84" s="18">
        <v>929</v>
      </c>
    </row>
    <row r="85" spans="22:24" x14ac:dyDescent="0.25">
      <c r="V85" s="19">
        <v>43008</v>
      </c>
      <c r="W85" s="23" t="s">
        <v>5</v>
      </c>
      <c r="X85" s="20">
        <v>922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Blad10"/>
  <dimension ref="A1:L60"/>
  <sheetViews>
    <sheetView workbookViewId="0">
      <selection activeCell="B49" sqref="B49"/>
    </sheetView>
  </sheetViews>
  <sheetFormatPr defaultRowHeight="15" x14ac:dyDescent="0.25"/>
  <cols>
    <col min="1" max="1" width="20.28515625" customWidth="1"/>
    <col min="2" max="2" width="13" bestFit="1" customWidth="1"/>
    <col min="3" max="3" width="13.85546875" bestFit="1" customWidth="1"/>
    <col min="4" max="5" width="15.140625" customWidth="1"/>
    <col min="6" max="6" width="11.140625" customWidth="1"/>
    <col min="7" max="7" width="21" bestFit="1" customWidth="1"/>
    <col min="8" max="8" width="10.28515625" bestFit="1" customWidth="1"/>
    <col min="9" max="9" width="15.140625" bestFit="1" customWidth="1"/>
    <col min="10" max="10" width="10.140625" bestFit="1" customWidth="1"/>
    <col min="11" max="11" width="12" bestFit="1" customWidth="1"/>
  </cols>
  <sheetData>
    <row r="1" spans="1:12" x14ac:dyDescent="0.25">
      <c r="A1">
        <v>20</v>
      </c>
      <c r="J1" s="6" t="s">
        <v>31</v>
      </c>
    </row>
    <row r="2" spans="1:12" x14ac:dyDescent="0.25">
      <c r="A2">
        <v>41029</v>
      </c>
      <c r="J2" s="5" t="s">
        <v>42</v>
      </c>
    </row>
    <row r="3" spans="1:12" x14ac:dyDescent="0.25">
      <c r="A3">
        <f>VLOOKUP(A2,Tabell410111213141516[],7)</f>
        <v>1379.6500000000003</v>
      </c>
      <c r="B3">
        <f>VLOOKUP('Huvud mätare'!$A1,$A5:$K87,2)</f>
        <v>4292</v>
      </c>
      <c r="C3">
        <f>VLOOKUP('Huvud mätare'!$A1,$A5:$K87,3)</f>
        <v>4270</v>
      </c>
      <c r="D3">
        <f>VLOOKUP('Huvud mätare'!$A1,$A5:$K87,4)</f>
        <v>22</v>
      </c>
      <c r="E3">
        <f>VLOOKUP('Huvud mätare'!$A1,$A5:$K87,5)</f>
        <v>-1.5</v>
      </c>
      <c r="F3">
        <f>VLOOKUP('Huvud mätare'!$A1,$A5:$K87,6)</f>
        <v>24</v>
      </c>
      <c r="G3">
        <f>VLOOKUP('Huvud mätare'!$A1,$A5:$K87,7)</f>
        <v>492</v>
      </c>
      <c r="H3">
        <f>VLOOKUP('Huvud mätare'!$A1,$A5:$K87,8)</f>
        <v>879.14738095238101</v>
      </c>
      <c r="I3">
        <f>VLOOKUP('Huvud mätare'!$A1,$A5:$K87,9)</f>
        <v>1000</v>
      </c>
      <c r="J3">
        <f>VLOOKUP('Huvud mätare'!$A1,$A5:$K87,10)</f>
        <v>0</v>
      </c>
      <c r="K3">
        <f>VLOOKUP('Huvud mätare'!$A1,$A5:$K87,11)</f>
        <v>2371.1473809523809</v>
      </c>
      <c r="L3">
        <f>VLOOKUP('Huvud mätare'!$A1,$A5:$L87,12)</f>
        <v>0</v>
      </c>
    </row>
    <row r="4" spans="1:12" ht="15" customHeight="1" x14ac:dyDescent="0.25">
      <c r="A4" t="s">
        <v>12</v>
      </c>
      <c r="B4" s="1" t="s">
        <v>33</v>
      </c>
      <c r="C4" s="1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25</v>
      </c>
      <c r="I4" t="s">
        <v>30</v>
      </c>
      <c r="J4" t="s">
        <v>39</v>
      </c>
      <c r="K4" t="s">
        <v>40</v>
      </c>
      <c r="L4" t="s">
        <v>41</v>
      </c>
    </row>
    <row r="5" spans="1:12" x14ac:dyDescent="0.25">
      <c r="A5" s="4">
        <f>Tabell6[[#This Row],[Avläsnings datum]]</f>
        <v>40543</v>
      </c>
      <c r="B5">
        <v>2126</v>
      </c>
      <c r="C5">
        <v>2021</v>
      </c>
      <c r="D5">
        <f t="shared" ref="D5:D21" si="0">IF(B5-C5&lt;0,0,B5-C5)</f>
        <v>105</v>
      </c>
      <c r="E5" s="3">
        <f>Tabell6[[#This Row],[Att fördela]]</f>
        <v>0.15714285714286039</v>
      </c>
      <c r="F5">
        <f>Tabell6[[#This Row],[Pris/m3 ink.moms]]</f>
        <v>16.88</v>
      </c>
      <c r="G5" s="2">
        <f>(Tabell410111213141516[[#This Row],[Förbrukning]]+Tabell410111213141516[[#This Row],[Utjämning]])*Tabell410111213141516[[#This Row],[Kr/m3]]</f>
        <v>1775.0525714285714</v>
      </c>
      <c r="H5" s="8">
        <f>Tabell6[[#This Row],[Summa fast avg/hushåll]]</f>
        <v>378.07142857142856</v>
      </c>
      <c r="I5" s="2">
        <f>Tabell6[[#This Row],[Medlems avg]]/14</f>
        <v>0</v>
      </c>
      <c r="J5" s="8"/>
      <c r="K5" s="8">
        <f>IF(Tabell410111213141516[[#This Row],[Nuvarande]], SUM(Tabell410111213141516[[#This Row],[Summa förbrukning]:[Lån]])+Tabell410111213141516[[#This Row],[Korr]],0)</f>
        <v>2153.1239999999998</v>
      </c>
      <c r="L5" s="8"/>
    </row>
    <row r="6" spans="1:12" x14ac:dyDescent="0.25">
      <c r="A6" s="4">
        <f>Tabell6[[#This Row],[Avläsnings datum]]</f>
        <v>40664</v>
      </c>
      <c r="B6">
        <v>2210</v>
      </c>
      <c r="C6">
        <f t="shared" ref="C6:C21" si="1">B5</f>
        <v>2126</v>
      </c>
      <c r="D6">
        <f t="shared" si="0"/>
        <v>84</v>
      </c>
      <c r="E6" s="3">
        <f>Tabell6[[#This Row],[Att fördela]]</f>
        <v>2.8571428571418828E-2</v>
      </c>
      <c r="F6">
        <f>Tabell6[[#This Row],[Pris/m3 ink.moms]]</f>
        <v>16.88</v>
      </c>
      <c r="G6" s="2">
        <f>(Tabell410111213141516[[#This Row],[Förbrukning]]+Tabell410111213141516[[#This Row],[Utjämning]])*Tabell410111213141516[[#This Row],[Kr/m3]]</f>
        <v>1418.4022857142857</v>
      </c>
      <c r="H6" s="8">
        <f>Tabell6[[#This Row],[Summa fast avg/hushåll]]</f>
        <v>378.07142857142856</v>
      </c>
      <c r="I6" s="8">
        <f>Tabell6[[#This Row],[Medlems avg]]/14</f>
        <v>0</v>
      </c>
      <c r="J6" s="8"/>
      <c r="K6" s="8">
        <f>IF(Tabell410111213141516[[#This Row],[Nuvarande]], SUM(Tabell410111213141516[[#This Row],[Summa förbrukning]:[Lån]])+Tabell410111213141516[[#This Row],[Korr]],0)</f>
        <v>1796.4737142857143</v>
      </c>
      <c r="L6" s="8"/>
    </row>
    <row r="7" spans="1:12" x14ac:dyDescent="0.25">
      <c r="A7" s="4">
        <f>Tabell6[[#This Row],[Avläsnings datum]]</f>
        <v>40786</v>
      </c>
      <c r="B7">
        <v>2291</v>
      </c>
      <c r="C7">
        <f t="shared" si="1"/>
        <v>2210</v>
      </c>
      <c r="D7">
        <f t="shared" si="0"/>
        <v>81</v>
      </c>
      <c r="E7" s="3">
        <f>Tabell6[[#This Row],[Att fördela]]</f>
        <v>-2.8571428571426947E-2</v>
      </c>
      <c r="F7">
        <f>Tabell6[[#This Row],[Pris/m3 ink.moms]]</f>
        <v>16.88</v>
      </c>
      <c r="G7" s="2">
        <f>(Tabell410111213141516[[#This Row],[Förbrukning]]+Tabell410111213141516[[#This Row],[Utjämning]])*Tabell410111213141516[[#This Row],[Kr/m3]]</f>
        <v>1366.7977142857142</v>
      </c>
      <c r="H7" s="8">
        <f>Tabell6[[#This Row],[Summa fast avg/hushåll]]</f>
        <v>378.07142857142856</v>
      </c>
      <c r="I7" s="8">
        <f>Tabell6[[#This Row],[Medlems avg]]/14</f>
        <v>0</v>
      </c>
      <c r="J7" s="8"/>
      <c r="K7" s="8">
        <f>IF(Tabell410111213141516[[#This Row],[Nuvarande]], SUM(Tabell410111213141516[[#This Row],[Summa förbrukning]:[Lån]])+Tabell410111213141516[[#This Row],[Korr]],0)</f>
        <v>1744.8691428571428</v>
      </c>
      <c r="L7" s="8"/>
    </row>
    <row r="8" spans="1:12" x14ac:dyDescent="0.25">
      <c r="A8" s="4">
        <f>Tabell6[[#This Row],[Avläsnings datum]]</f>
        <v>40908</v>
      </c>
      <c r="B8">
        <v>2374</v>
      </c>
      <c r="C8">
        <f t="shared" si="1"/>
        <v>2291</v>
      </c>
      <c r="D8">
        <f t="shared" si="0"/>
        <v>83</v>
      </c>
      <c r="E8" s="3">
        <f>Tabell6[[#This Row],[Att fördela]]</f>
        <v>-0.22857142857142371</v>
      </c>
      <c r="F8">
        <f>Tabell6[[#This Row],[Pris/m3 ink.moms]]</f>
        <v>16.825000000000003</v>
      </c>
      <c r="G8" s="2">
        <f>(Tabell410111213141516[[#This Row],[Förbrukning]]+Tabell410111213141516[[#This Row],[Utjämning]])*Tabell410111213141516[[#This Row],[Kr/m3]]</f>
        <v>1392.629285714286</v>
      </c>
      <c r="H8" s="8">
        <f>Tabell6[[#This Row],[Summa fast avg/hushåll]]</f>
        <v>378.07142857142856</v>
      </c>
      <c r="I8" s="8">
        <f>Tabell6[[#This Row],[Medlems avg]]/14</f>
        <v>1000</v>
      </c>
      <c r="J8" s="8">
        <v>760</v>
      </c>
      <c r="K8" s="8">
        <f>IF(Tabell410111213141516[[#This Row],[Nuvarande]], SUM(Tabell410111213141516[[#This Row],[Summa förbrukning]:[Lån]])+Tabell410111213141516[[#This Row],[Korr]],0)</f>
        <v>3530.7007142857146</v>
      </c>
      <c r="L8" s="8"/>
    </row>
    <row r="9" spans="1:12" x14ac:dyDescent="0.25">
      <c r="A9" s="4">
        <f>Tabell6[[#This Row],[Avläsnings datum]]</f>
        <v>41029</v>
      </c>
      <c r="B9">
        <v>2457</v>
      </c>
      <c r="C9">
        <f t="shared" si="1"/>
        <v>2374</v>
      </c>
      <c r="D9">
        <f t="shared" si="0"/>
        <v>83</v>
      </c>
      <c r="E9" s="3">
        <f>Tabell6[[#This Row],[Att fördela]]</f>
        <v>-1</v>
      </c>
      <c r="F9">
        <f>Tabell6[[#This Row],[Pris/m3 ink.moms]]</f>
        <v>16.825000000000003</v>
      </c>
      <c r="G9" s="2">
        <f>(Tabell410111213141516[[#This Row],[Förbrukning]]+Tabell410111213141516[[#This Row],[Utjämning]])*Tabell410111213141516[[#This Row],[Kr/m3]]</f>
        <v>1379.6500000000003</v>
      </c>
      <c r="H9" s="8">
        <f>Tabell6[[#This Row],[Summa fast avg/hushåll]]</f>
        <v>378.07142857142856</v>
      </c>
      <c r="I9" s="8">
        <f>Tabell6[[#This Row],[Medlems avg]]/14</f>
        <v>1000</v>
      </c>
      <c r="J9" s="8">
        <f>Lån!D10</f>
        <v>746.28571428571433</v>
      </c>
      <c r="K9" s="8">
        <f>IF(Tabell410111213141516[[#This Row],[Nuvarande]], SUM(Tabell410111213141516[[#This Row],[Summa förbrukning]:[Lån]])+Tabell410111213141516[[#This Row],[Korr]],0)</f>
        <v>3504.0071428571432</v>
      </c>
      <c r="L9" s="8"/>
    </row>
    <row r="10" spans="1:12" x14ac:dyDescent="0.25">
      <c r="A10" s="4">
        <f>Tabell6[[#This Row],[Avläsnings datum]]</f>
        <v>41152</v>
      </c>
      <c r="B10">
        <v>2552</v>
      </c>
      <c r="C10">
        <f t="shared" si="1"/>
        <v>2457</v>
      </c>
      <c r="D10">
        <f t="shared" si="0"/>
        <v>95</v>
      </c>
      <c r="E10" s="3">
        <f>Tabell6[[#This Row],[Att fördela]]</f>
        <v>-0.14285714285714285</v>
      </c>
      <c r="F10">
        <f>Tabell6[[#This Row],[Pris/m3 ink.moms]]</f>
        <v>16.825000000000003</v>
      </c>
      <c r="G10" s="2">
        <f>(Tabell410111213141516[[#This Row],[Förbrukning]]+Tabell410111213141516[[#This Row],[Utjämning]])*Tabell410111213141516[[#This Row],[Kr/m3]]</f>
        <v>1595.971428571429</v>
      </c>
      <c r="H10" s="8">
        <f>Tabell6[[#This Row],[Summa fast avg/hushåll]]</f>
        <v>378.07142857142856</v>
      </c>
      <c r="I10" s="8">
        <f>Tabell6[[#This Row],[Medlems avg]]/14</f>
        <v>1000</v>
      </c>
      <c r="J10" s="8">
        <f>Lån!D14</f>
        <v>736.85714285714289</v>
      </c>
      <c r="K10" s="8">
        <f>IF(Tabell410111213141516[[#This Row],[Nuvarande]], SUM(Tabell410111213141516[[#This Row],[Summa förbrukning]:[Lån]])+Tabell410111213141516[[#This Row],[Korr]],0)</f>
        <v>3710.9000000000005</v>
      </c>
      <c r="L10" s="8"/>
    </row>
    <row r="11" spans="1:12" x14ac:dyDescent="0.25">
      <c r="A11" s="4">
        <f>Tabell6[[#This Row],[Avläsnings datum]]</f>
        <v>41274</v>
      </c>
      <c r="B11">
        <v>2620</v>
      </c>
      <c r="C11">
        <f t="shared" si="1"/>
        <v>2552</v>
      </c>
      <c r="D11">
        <f t="shared" si="0"/>
        <v>68</v>
      </c>
      <c r="E11" s="3">
        <f>Tabell6[[#This Row],[Att fördela]]</f>
        <v>-0.9285714285714286</v>
      </c>
      <c r="F11">
        <f>Tabell6[[#This Row],[Pris/m3 ink.moms]]</f>
        <v>14.8125</v>
      </c>
      <c r="G11" s="2">
        <f>(Tabell410111213141516[[#This Row],[Förbrukning]]+Tabell410111213141516[[#This Row],[Utjämning]])*Tabell410111213141516[[#This Row],[Kr/m3]]</f>
        <v>993.49553571428567</v>
      </c>
      <c r="H11" s="8">
        <f>Tabell6[[#This Row],[Summa fast avg/hushåll]]</f>
        <v>542.26190476190482</v>
      </c>
      <c r="I11" s="8">
        <f>Tabell6[[#This Row],[Medlems avg]]/14</f>
        <v>1000</v>
      </c>
      <c r="J11" s="8">
        <f>Lån!D18</f>
        <v>721.57142857142856</v>
      </c>
      <c r="K11" s="8">
        <f>IF(Tabell410111213141516[[#This Row],[Nuvarande]], SUM(Tabell410111213141516[[#This Row],[Summa förbrukning]:[Lån]])+Tabell410111213141516[[#This Row],[Korr]],0)</f>
        <v>3257.3288690476188</v>
      </c>
      <c r="L11" s="8"/>
    </row>
    <row r="12" spans="1:12" x14ac:dyDescent="0.25">
      <c r="A12" s="4">
        <f>Tabell6[[#This Row],[Avläsnings datum]]</f>
        <v>41394</v>
      </c>
      <c r="B12">
        <v>2669</v>
      </c>
      <c r="C12">
        <f t="shared" si="1"/>
        <v>2620</v>
      </c>
      <c r="D12">
        <f t="shared" si="0"/>
        <v>49</v>
      </c>
      <c r="E12" s="3">
        <f>Tabell6[[#This Row],[Att fördela]]</f>
        <v>-1.5714285714285714</v>
      </c>
      <c r="F12">
        <f>Tabell6[[#This Row],[Pris/m3 ink.moms]]</f>
        <v>14.8125</v>
      </c>
      <c r="G12" s="2">
        <f>(Tabell410111213141516[[#This Row],[Förbrukning]]+Tabell410111213141516[[#This Row],[Utjämning]])*Tabell410111213141516[[#This Row],[Kr/m3]]</f>
        <v>702.53571428571433</v>
      </c>
      <c r="H12" s="8">
        <f>Tabell6[[#This Row],[Summa fast avg/hushåll]]</f>
        <v>542.26190476190482</v>
      </c>
      <c r="I12" s="8">
        <f>Tabell6[[#This Row],[Medlems avg]]/14</f>
        <v>1000</v>
      </c>
      <c r="J12" s="8">
        <f>Lån!D22</f>
        <v>705.57142857142856</v>
      </c>
      <c r="K12" s="8">
        <f>IF(Tabell410111213141516[[#This Row],[Nuvarande]], SUM(Tabell410111213141516[[#This Row],[Summa förbrukning]:[Lån]])+Tabell410111213141516[[#This Row],[Korr]],0)</f>
        <v>2950.3690476190477</v>
      </c>
      <c r="L12" s="8"/>
    </row>
    <row r="13" spans="1:12" x14ac:dyDescent="0.25">
      <c r="A13" s="4">
        <f>Tabell6[[#This Row],[Avläsnings datum]]</f>
        <v>41517</v>
      </c>
      <c r="B13">
        <v>2716</v>
      </c>
      <c r="C13">
        <f t="shared" si="1"/>
        <v>2669</v>
      </c>
      <c r="D13">
        <f t="shared" si="0"/>
        <v>47</v>
      </c>
      <c r="E13" s="3">
        <f>Tabell6[[#This Row],[Att fördela]]</f>
        <v>-0.8571428571428571</v>
      </c>
      <c r="F13">
        <f>Tabell6[[#This Row],[Pris/m3 ink.moms]]</f>
        <v>14.8125</v>
      </c>
      <c r="G13" s="2">
        <f>(Tabell410111213141516[[#This Row],[Förbrukning]]+Tabell410111213141516[[#This Row],[Utjämning]])*Tabell410111213141516[[#This Row],[Kr/m3]]</f>
        <v>683.49107142857144</v>
      </c>
      <c r="H13" s="8">
        <f>Tabell6[[#This Row],[Summa fast avg/hushåll]]</f>
        <v>542.26190476190482</v>
      </c>
      <c r="I13" s="8">
        <f>Tabell6[[#This Row],[Medlems avg]]/14</f>
        <v>1000</v>
      </c>
      <c r="J13" s="8">
        <f>Lån!D26</f>
        <v>696.85714285714289</v>
      </c>
      <c r="K13" s="8">
        <f>IF(Tabell410111213141516[[#This Row],[Nuvarande]], SUM(Tabell410111213141516[[#This Row],[Summa förbrukning]:[Lån]])+Tabell410111213141516[[#This Row],[Korr]],0)</f>
        <v>2922.6101190476193</v>
      </c>
      <c r="L13" s="8"/>
    </row>
    <row r="14" spans="1:12" x14ac:dyDescent="0.25">
      <c r="A14" s="4">
        <f>Tabell6[[#This Row],[Avläsnings datum]]</f>
        <v>41639</v>
      </c>
      <c r="B14">
        <v>2760</v>
      </c>
      <c r="C14">
        <f t="shared" si="1"/>
        <v>2716</v>
      </c>
      <c r="D14">
        <f t="shared" si="0"/>
        <v>44</v>
      </c>
      <c r="E14" s="3">
        <f>Tabell6[[#This Row],[Att fördela]]</f>
        <v>-2.5</v>
      </c>
      <c r="F14">
        <f>Tabell6[[#This Row],[Pris/m3 ink.moms]]</f>
        <v>14.8125</v>
      </c>
      <c r="G14" s="2">
        <f>(Tabell410111213141516[[#This Row],[Förbrukning]]+Tabell410111213141516[[#This Row],[Utjämning]])*Tabell410111213141516[[#This Row],[Kr/m3]]</f>
        <v>614.71875</v>
      </c>
      <c r="H14" s="8">
        <f>Tabell6[[#This Row],[Summa fast avg/hushåll]]</f>
        <v>547.85714285714289</v>
      </c>
      <c r="I14" s="8">
        <f>Tabell6[[#This Row],[Medlems avg]]/14</f>
        <v>1000</v>
      </c>
      <c r="J14" s="8">
        <f>Lån!D30</f>
        <v>682.28571428571433</v>
      </c>
      <c r="K14" s="8">
        <f>IF(Tabell410111213141516[[#This Row],[Nuvarande]], SUM(Tabell410111213141516[[#This Row],[Summa förbrukning]:[Lån]])+Tabell410111213141516[[#This Row],[Korr]],0)</f>
        <v>2844.8616071428573</v>
      </c>
      <c r="L14" s="8"/>
    </row>
    <row r="15" spans="1:12" x14ac:dyDescent="0.25">
      <c r="A15" s="4">
        <f>Tabell6[[#This Row],[Avläsnings datum]]</f>
        <v>41759</v>
      </c>
      <c r="B15">
        <v>2800</v>
      </c>
      <c r="C15">
        <f t="shared" si="1"/>
        <v>2760</v>
      </c>
      <c r="D15">
        <f t="shared" si="0"/>
        <v>40</v>
      </c>
      <c r="E15" s="3">
        <f>Tabell6[[#This Row],[Att fördela]]</f>
        <v>-1.5714285714285714</v>
      </c>
      <c r="F15">
        <f>Tabell6[[#This Row],[Pris/m3 ink.moms]]</f>
        <v>14.9625</v>
      </c>
      <c r="G15" s="2">
        <f>(Tabell410111213141516[[#This Row],[Förbrukning]]+Tabell410111213141516[[#This Row],[Utjämning]])*Tabell410111213141516[[#This Row],[Kr/m3]]</f>
        <v>574.98750000000007</v>
      </c>
      <c r="H15" s="8">
        <f>Tabell6[[#This Row],[Summa fast avg/hushåll]]</f>
        <v>547.85714285714289</v>
      </c>
      <c r="I15" s="8">
        <f>Tabell6[[#This Row],[Medlems avg]]/14</f>
        <v>1000</v>
      </c>
      <c r="J15" s="8">
        <v>666</v>
      </c>
      <c r="K15" s="8">
        <f>IF(Tabell410111213141516[[#This Row],[Nuvarande]], SUM(Tabell410111213141516[[#This Row],[Summa förbrukning]:[Lån]])+Tabell410111213141516[[#This Row],[Korr]],0)</f>
        <v>2761.0857142857144</v>
      </c>
      <c r="L15" s="8">
        <f t="shared" ref="L15" si="2">K13-K12</f>
        <v>-27.758928571428442</v>
      </c>
    </row>
    <row r="16" spans="1:12" x14ac:dyDescent="0.25">
      <c r="A16" s="4">
        <f>Tabell6[[#This Row],[Avläsnings datum]]</f>
        <v>41882</v>
      </c>
      <c r="B16">
        <v>2827</v>
      </c>
      <c r="C16">
        <f t="shared" si="1"/>
        <v>2800</v>
      </c>
      <c r="D16">
        <f t="shared" si="0"/>
        <v>27</v>
      </c>
      <c r="E16" s="3">
        <f>Tabell6[[#This Row],[Att fördela]]</f>
        <v>-1.7857142857142858</v>
      </c>
      <c r="F16">
        <f>Tabell6[[#This Row],[Pris/m3 ink.moms]]</f>
        <v>14.9625</v>
      </c>
      <c r="G16" s="2">
        <f>(Tabell410111213141516[[#This Row],[Förbrukning]]+Tabell410111213141516[[#This Row],[Utjämning]])*Tabell410111213141516[[#This Row],[Kr/m3]]</f>
        <v>377.26875000000001</v>
      </c>
      <c r="H16" s="8">
        <f>Tabell6[[#This Row],[Summa fast avg/hushåll]]</f>
        <v>547.85714285714289</v>
      </c>
      <c r="I16" s="8">
        <f>Tabell6[[#This Row],[Medlems avg]]/14</f>
        <v>1000</v>
      </c>
      <c r="J16" s="8">
        <v>657</v>
      </c>
      <c r="K16" s="8">
        <f>IF(Tabell410111213141516[[#This Row],[Nuvarande]], SUM(Tabell410111213141516[[#This Row],[Summa förbrukning]:[Lån]])+Tabell410111213141516[[#This Row],[Korr]],0)</f>
        <v>2582.1258928571428</v>
      </c>
      <c r="L16" s="8"/>
    </row>
    <row r="17" spans="1:12" x14ac:dyDescent="0.25">
      <c r="A17" s="4">
        <f>Tabell6[[#This Row],[Avläsnings datum]]</f>
        <v>42004</v>
      </c>
      <c r="B17">
        <v>2868</v>
      </c>
      <c r="C17">
        <f t="shared" si="1"/>
        <v>2827</v>
      </c>
      <c r="D17">
        <f t="shared" si="0"/>
        <v>41</v>
      </c>
      <c r="E17" s="3">
        <f>Tabell6[[#This Row],[Att fördela]]</f>
        <v>-2.0714285714285716</v>
      </c>
      <c r="F17">
        <f>Tabell6[[#This Row],[Pris/m3 ink.moms]]</f>
        <v>14.9625</v>
      </c>
      <c r="G17" s="2">
        <f>(Tabell410111213141516[[#This Row],[Förbrukning]]+Tabell410111213141516[[#This Row],[Utjämning]])*Tabell410111213141516[[#This Row],[Kr/m3]]</f>
        <v>582.46875</v>
      </c>
      <c r="H17" s="8">
        <f>Tabell6[[#This Row],[Summa fast avg/hushåll]]</f>
        <v>547.85714285714289</v>
      </c>
      <c r="I17" s="8">
        <f>Tabell6[[#This Row],[Medlems avg]]/14</f>
        <v>1000</v>
      </c>
      <c r="J17" s="8">
        <v>642</v>
      </c>
      <c r="K17" s="8">
        <f>IF(Tabell410111213141516[[#This Row],[Nuvarande]], SUM(Tabell410111213141516[[#This Row],[Summa förbrukning]:[Lån]])+Tabell410111213141516[[#This Row],[Korr]],0)</f>
        <v>2772.3258928571431</v>
      </c>
      <c r="L17" s="8"/>
    </row>
    <row r="18" spans="1:12" x14ac:dyDescent="0.25">
      <c r="A18" s="4">
        <f>Tabell6[[#This Row],[Avläsnings datum]]</f>
        <v>42124</v>
      </c>
      <c r="B18">
        <v>2909</v>
      </c>
      <c r="C18">
        <f t="shared" si="1"/>
        <v>2868</v>
      </c>
      <c r="D18">
        <f t="shared" si="0"/>
        <v>41</v>
      </c>
      <c r="E18" s="3">
        <f>Tabell6[[#This Row],[Att fördela]]</f>
        <v>-2.5</v>
      </c>
      <c r="F18">
        <f>Tabell6[[#This Row],[Pris/m3 ink.moms]]</f>
        <v>14.9625</v>
      </c>
      <c r="G18" s="2">
        <f>(Tabell410111213141516[[#This Row],[Förbrukning]]+Tabell410111213141516[[#This Row],[Utjämning]])*Tabell410111213141516[[#This Row],[Kr/m3]]</f>
        <v>576.05624999999998</v>
      </c>
      <c r="H18" s="8">
        <f>Tabell6[[#This Row],[Summa fast avg/hushåll]]</f>
        <v>547.85714285714289</v>
      </c>
      <c r="I18" s="8">
        <f>Tabell6[[#This Row],[Medlems avg]]/14</f>
        <v>600</v>
      </c>
      <c r="J18" s="8">
        <f>Lån!D46</f>
        <v>627</v>
      </c>
      <c r="K18" s="8">
        <f>IF(Tabell410111213141516[[#This Row],[Nuvarande]], SUM(Tabell410111213141516[[#This Row],[Summa förbrukning]:[Lån]])+Tabell410111213141516[[#This Row],[Korr]],0)</f>
        <v>2350.9133928571428</v>
      </c>
      <c r="L18" s="8"/>
    </row>
    <row r="19" spans="1:12" x14ac:dyDescent="0.25">
      <c r="A19" s="4">
        <f>Tabell6[[#This Row],[Avläsnings datum]]</f>
        <v>42247</v>
      </c>
      <c r="B19">
        <v>2955</v>
      </c>
      <c r="C19">
        <f t="shared" si="1"/>
        <v>2909</v>
      </c>
      <c r="D19">
        <f t="shared" si="0"/>
        <v>46</v>
      </c>
      <c r="E19" s="3">
        <f>Tabell6[[#This Row],[Att fördela]]</f>
        <v>-2.2857142857142856</v>
      </c>
      <c r="F19">
        <f>Tabell6[[#This Row],[Pris/m3 ink.moms]]</f>
        <v>14.9625</v>
      </c>
      <c r="G19" s="2">
        <f>(Tabell410111213141516[[#This Row],[Förbrukning]]+Tabell410111213141516[[#This Row],[Utjämning]])*Tabell410111213141516[[#This Row],[Kr/m3]]</f>
        <v>654.07500000000005</v>
      </c>
      <c r="H19" s="8">
        <f>Tabell6[[#This Row],[Summa fast avg/hushåll]]</f>
        <v>547.85714285714289</v>
      </c>
      <c r="I19" s="8">
        <f>Tabell6[[#This Row],[Medlems avg]]/14</f>
        <v>600</v>
      </c>
      <c r="J19" s="8">
        <f>Lån!D50</f>
        <v>616.28571428571433</v>
      </c>
      <c r="K19" s="8">
        <f>IF(Tabell410111213141516[[#This Row],[Nuvarande]], SUM(Tabell410111213141516[[#This Row],[Summa förbrukning]:[Lån]])+Tabell410111213141516[[#This Row],[Korr]],0)</f>
        <v>2418.2178571428572</v>
      </c>
      <c r="L19" s="8"/>
    </row>
    <row r="20" spans="1:12" x14ac:dyDescent="0.25">
      <c r="A20" s="4">
        <f>Tabell6[[#This Row],[Avläsnings datum]]</f>
        <v>42369</v>
      </c>
      <c r="B20">
        <v>3005</v>
      </c>
      <c r="C20">
        <f t="shared" si="1"/>
        <v>2955</v>
      </c>
      <c r="D20">
        <f t="shared" si="0"/>
        <v>50</v>
      </c>
      <c r="E20" s="3">
        <f>Tabell6[[#This Row],[Att fördela]]</f>
        <v>-2.8571428571428572</v>
      </c>
      <c r="F20">
        <f>Tabell6[[#This Row],[Pris/m3 ink.moms]]</f>
        <v>14.9625</v>
      </c>
      <c r="G20" s="2">
        <f>(Tabell410111213141516[[#This Row],[Förbrukning]]+Tabell410111213141516[[#This Row],[Utjämning]])*Tabell410111213141516[[#This Row],[Kr/m3]]</f>
        <v>705.37500000000011</v>
      </c>
      <c r="H20" s="8">
        <f>Tabell6[[#This Row],[Summa fast avg/hushåll]]</f>
        <v>547.85714285714289</v>
      </c>
      <c r="I20" s="8">
        <f>Tabell6[[#This Row],[Medlems avg]]/14</f>
        <v>600</v>
      </c>
      <c r="J20" s="8">
        <f>Lån!D54</f>
        <v>599.71428571428567</v>
      </c>
      <c r="K20" s="8">
        <f>IF(Tabell410111213141516[[#This Row],[Nuvarande]], SUM(Tabell410111213141516[[#This Row],[Summa förbrukning]:[Lån]])+Tabell410111213141516[[#This Row],[Korr]],0)</f>
        <v>2452.9464285714289</v>
      </c>
      <c r="L20" s="8"/>
    </row>
    <row r="21" spans="1:12" x14ac:dyDescent="0.25">
      <c r="A21" s="4">
        <v>42490</v>
      </c>
      <c r="B21">
        <v>3070</v>
      </c>
      <c r="C21">
        <f t="shared" si="1"/>
        <v>3005</v>
      </c>
      <c r="D21">
        <f t="shared" si="0"/>
        <v>65</v>
      </c>
      <c r="E21" s="3">
        <f>Tabell6[[#This Row],[Att fördela]]</f>
        <v>-3.5</v>
      </c>
      <c r="F21">
        <f>Tabell6[[#This Row],[Pris/m3 ink.moms]]</f>
        <v>14.9625</v>
      </c>
      <c r="G21" s="2">
        <f>(Tabell410111213141516[[#This Row],[Förbrukning]]+Tabell410111213141516[[#This Row],[Utjämning]])*Tabell410111213141516[[#This Row],[Kr/m3]]</f>
        <v>920.19375000000002</v>
      </c>
      <c r="H21" s="8">
        <f>Tabell6[[#This Row],[Summa fast avg/hushåll]]</f>
        <v>547.85714285714289</v>
      </c>
      <c r="I21" s="8">
        <f>Tabell6[[#This Row],[Medlems avg]]/14</f>
        <v>600</v>
      </c>
      <c r="J21" s="8">
        <f>Lån!D58</f>
        <v>578.57142857142856</v>
      </c>
      <c r="K21" s="8">
        <f>IF(Tabell410111213141516[[#This Row],[Nuvarande]], SUM(Tabell410111213141516[[#This Row],[Summa förbrukning]:[Lån]])+Tabell410111213141516[[#This Row],[Korr]],0)</f>
        <v>2713.9267857142859</v>
      </c>
      <c r="L21" s="2">
        <f>K19-K18</f>
        <v>67.304464285714403</v>
      </c>
    </row>
    <row r="22" spans="1:12" x14ac:dyDescent="0.25">
      <c r="A22" s="4">
        <v>42613</v>
      </c>
      <c r="B22">
        <v>3100</v>
      </c>
      <c r="C22">
        <f t="shared" ref="C22:C36" si="3">B21</f>
        <v>3070</v>
      </c>
      <c r="D22">
        <f t="shared" ref="D22:D36" si="4">IF(B22-C22&lt;0,0,B22-C22)</f>
        <v>30</v>
      </c>
      <c r="E22" s="3">
        <f>Tabell6[[#This Row],[Att fördela]]</f>
        <v>-1.0714285714285714</v>
      </c>
      <c r="F22">
        <f>Tabell6[[#This Row],[Pris/m3 ink.moms]]</f>
        <v>14.9625</v>
      </c>
      <c r="G22" s="2">
        <f>(Tabell410111213141516[[#This Row],[Förbrukning]]+Tabell410111213141516[[#This Row],[Utjämning]])*Tabell410111213141516[[#This Row],[Kr/m3]]</f>
        <v>432.84375</v>
      </c>
      <c r="H22" s="8">
        <f>Tabell6[[#This Row],[Summa fast avg/hushåll]]</f>
        <v>547.85714285714289</v>
      </c>
      <c r="I22" s="8">
        <f>Tabell6[[#This Row],[Medlems avg]]/14</f>
        <v>600</v>
      </c>
      <c r="J22" s="8">
        <f>Lån!D62</f>
        <v>568.57142857142856</v>
      </c>
      <c r="K22" s="8">
        <f>IF(Tabell410111213141516[[#This Row],[Nuvarande]], SUM(Tabell410111213141516[[#This Row],[Summa förbrukning]:[Lån]])+Tabell410111213141516[[#This Row],[Korr]],0)</f>
        <v>2149.2723214285716</v>
      </c>
      <c r="L22" s="2"/>
    </row>
    <row r="23" spans="1:12" x14ac:dyDescent="0.25">
      <c r="A23" s="4">
        <v>42735</v>
      </c>
      <c r="B23">
        <v>3150</v>
      </c>
      <c r="C23">
        <f t="shared" si="3"/>
        <v>3100</v>
      </c>
      <c r="D23">
        <f t="shared" si="4"/>
        <v>50</v>
      </c>
      <c r="E23" s="3">
        <f>Tabell6[[#This Row],[Att fördela]]</f>
        <v>-3.7142857142857144</v>
      </c>
      <c r="F23">
        <f>Tabell6[[#This Row],[Pris/m3 ink.moms]]</f>
        <v>14.9625</v>
      </c>
      <c r="G23" s="2">
        <f>(Tabell410111213141516[[#This Row],[Förbrukning]]+Tabell410111213141516[[#This Row],[Utjämning]])*Tabell410111213141516[[#This Row],[Kr/m3]]</f>
        <v>692.55</v>
      </c>
      <c r="H23" s="8">
        <f>Tabell6[[#This Row],[Summa fast avg/hushåll]]</f>
        <v>547.85714285714289</v>
      </c>
      <c r="I23" s="8">
        <f>Tabell6[[#This Row],[Medlems avg]]/14</f>
        <v>600</v>
      </c>
      <c r="J23" s="26">
        <f>Lån!D66</f>
        <v>556.14285714285711</v>
      </c>
      <c r="K23" s="8">
        <f>IF(Tabell410111213141516[[#This Row],[Nuvarande]], SUM(Tabell410111213141516[[#This Row],[Summa förbrukning]:[Lån]])+Tabell410111213141516[[#This Row],[Korr]],0)</f>
        <v>2396.5500000000002</v>
      </c>
      <c r="L23" s="2"/>
    </row>
    <row r="24" spans="1:12" x14ac:dyDescent="0.25">
      <c r="A24" s="4">
        <v>42855</v>
      </c>
      <c r="B24">
        <v>3194</v>
      </c>
      <c r="C24">
        <f t="shared" si="3"/>
        <v>3150</v>
      </c>
      <c r="D24">
        <f t="shared" si="4"/>
        <v>44</v>
      </c>
      <c r="E24" s="3">
        <f>Tabell6[[#This Row],[Att fördela]]</f>
        <v>-2</v>
      </c>
      <c r="F24">
        <f>Tabell6[[#This Row],[Pris/m3 ink.moms]]</f>
        <v>14.9625</v>
      </c>
      <c r="G24" s="2">
        <f>(Tabell410111213141516[[#This Row],[Förbrukning]]+Tabell410111213141516[[#This Row],[Utjämning]])*Tabell410111213141516[[#This Row],[Kr/m3]]</f>
        <v>628.42500000000007</v>
      </c>
      <c r="H24" s="8">
        <f>Tabell6[[#This Row],[Summa fast avg/hushåll]]</f>
        <v>547.85714285714289</v>
      </c>
      <c r="I24" s="8">
        <f>Tabell6[[#This Row],[Medlems avg]]/14</f>
        <v>700</v>
      </c>
      <c r="J24" s="26">
        <f>Lån!D70</f>
        <v>543.71428571428567</v>
      </c>
      <c r="K24" s="8">
        <f>IF(Tabell410111213141516[[#This Row],[Nuvarande]], SUM(Tabell410111213141516[[#This Row],[Summa förbrukning]:[Lån]])+Tabell410111213141516[[#This Row],[Korr]],0)</f>
        <v>2419.9964285714286</v>
      </c>
      <c r="L24" s="2"/>
    </row>
    <row r="25" spans="1:12" x14ac:dyDescent="0.25">
      <c r="A25" s="4">
        <v>42978</v>
      </c>
      <c r="B25">
        <v>3245</v>
      </c>
      <c r="C25">
        <f t="shared" si="3"/>
        <v>3194</v>
      </c>
      <c r="D25">
        <f t="shared" si="4"/>
        <v>51</v>
      </c>
      <c r="E25" s="3">
        <f>Tabell6[[#This Row],[Att fördela]]</f>
        <v>-3.3571428571428572</v>
      </c>
      <c r="F25">
        <f>Tabell6[[#This Row],[Pris/m3 ink.moms]]</f>
        <v>14.9625</v>
      </c>
      <c r="G25" s="2">
        <f>(Tabell410111213141516[[#This Row],[Förbrukning]]+Tabell410111213141516[[#This Row],[Utjämning]])*Tabell410111213141516[[#This Row],[Kr/m3]]</f>
        <v>712.85625000000005</v>
      </c>
      <c r="H25" s="8">
        <f>Tabell6[[#This Row],[Summa fast avg/hushåll]]</f>
        <v>547.85714285714289</v>
      </c>
      <c r="I25" s="8">
        <f>Tabell6[[#This Row],[Medlems avg]]/14</f>
        <v>700</v>
      </c>
      <c r="J25" s="26">
        <f>Lån!D74</f>
        <v>527</v>
      </c>
      <c r="K25" s="8">
        <f>IF(Tabell410111213141516[[#This Row],[Nuvarande]], SUM(Tabell410111213141516[[#This Row],[Summa förbrukning]:[Lån]])+Tabell410111213141516[[#This Row],[Korr]],0)</f>
        <v>2487.7133928571429</v>
      </c>
      <c r="L25" s="2"/>
    </row>
    <row r="26" spans="1:12" x14ac:dyDescent="0.25">
      <c r="A26" s="4">
        <v>43100</v>
      </c>
      <c r="B26">
        <v>3294</v>
      </c>
      <c r="C26">
        <f t="shared" si="3"/>
        <v>3245</v>
      </c>
      <c r="D26">
        <f t="shared" si="4"/>
        <v>49</v>
      </c>
      <c r="E26" s="3">
        <f>Tabell6[[#This Row],[Att fördela]]</f>
        <v>-1.8571428571428572</v>
      </c>
      <c r="F26">
        <f>Tabell6[[#This Row],[Pris/m3 ink.moms]]</f>
        <v>14.9625</v>
      </c>
      <c r="G26" s="2">
        <f>(Tabell410111213141516[[#This Row],[Förbrukning]]+Tabell410111213141516[[#This Row],[Utjämning]])*Tabell410111213141516[[#This Row],[Kr/m3]]</f>
        <v>705.37500000000011</v>
      </c>
      <c r="H26" s="8">
        <f>Tabell6[[#This Row],[Summa fast avg/hushåll]]</f>
        <v>547.85714285714289</v>
      </c>
      <c r="I26" s="8">
        <f>Tabell6[[#This Row],[Medlems avg]]/14</f>
        <v>700</v>
      </c>
      <c r="J26" s="26">
        <f>Lån!D78</f>
        <v>387.57142857142856</v>
      </c>
      <c r="K26" s="8">
        <f>IF(Tabell410111213141516[[#This Row],[Nuvarande]], SUM(Tabell410111213141516[[#This Row],[Summa förbrukning]:[Lån]])+Tabell410111213141516[[#This Row],[Korr]],0)</f>
        <v>2340.8035714285716</v>
      </c>
      <c r="L26" s="2"/>
    </row>
    <row r="27" spans="1:12" x14ac:dyDescent="0.25">
      <c r="A27" s="4">
        <v>43220</v>
      </c>
      <c r="B27">
        <v>3350</v>
      </c>
      <c r="C27">
        <f t="shared" si="3"/>
        <v>3294</v>
      </c>
      <c r="D27">
        <f t="shared" si="4"/>
        <v>56</v>
      </c>
      <c r="E27" s="3">
        <f>Tabell6[[#This Row],[Att fördela]]</f>
        <v>-2.5714285714285716</v>
      </c>
      <c r="F27">
        <f>Tabell6[[#This Row],[Pris/m3 ink.moms]]</f>
        <v>14.9625</v>
      </c>
      <c r="G27" s="2">
        <f>(Tabell410111213141516[[#This Row],[Förbrukning]]+Tabell410111213141516[[#This Row],[Utjämning]])*Tabell410111213141516[[#This Row],[Kr/m3]]</f>
        <v>799.42500000000007</v>
      </c>
      <c r="H27" s="8">
        <f>Tabell6[[#This Row],[Summa fast avg/hushåll]]</f>
        <v>547.85714285714289</v>
      </c>
      <c r="I27" s="8">
        <f>Tabell6[[#This Row],[Medlems avg]]/14</f>
        <v>1000</v>
      </c>
      <c r="J27" s="8"/>
      <c r="K27" s="8">
        <f>IF(Tabell410111213141516[[#This Row],[Nuvarande]], SUM(Tabell410111213141516[[#This Row],[Summa förbrukning]:[Lån]])+Tabell410111213141516[[#This Row],[Korr]],0)</f>
        <v>2347.2821428571428</v>
      </c>
      <c r="L27" s="2"/>
    </row>
    <row r="28" spans="1:12" x14ac:dyDescent="0.25">
      <c r="A28" s="4">
        <v>43343</v>
      </c>
      <c r="B28">
        <v>3405</v>
      </c>
      <c r="C28">
        <f t="shared" si="3"/>
        <v>3350</v>
      </c>
      <c r="D28">
        <f t="shared" si="4"/>
        <v>55</v>
      </c>
      <c r="E28" s="3">
        <f>Tabell6[[#This Row],[Att fördela]]</f>
        <v>-2.2142857142857144</v>
      </c>
      <c r="F28">
        <f>Tabell6[[#This Row],[Pris/m3 ink.moms]]</f>
        <v>14.9625</v>
      </c>
      <c r="G28" s="2">
        <f>(Tabell410111213141516[[#This Row],[Förbrukning]]+Tabell410111213141516[[#This Row],[Utjämning]])*Tabell410111213141516[[#This Row],[Kr/m3]]</f>
        <v>789.80624999999998</v>
      </c>
      <c r="H28" s="8">
        <f>Tabell6[[#This Row],[Summa fast avg/hushåll]]</f>
        <v>547.85714285714289</v>
      </c>
      <c r="I28" s="8">
        <f>Tabell6[[#This Row],[Medlems avg]]/14</f>
        <v>1000</v>
      </c>
      <c r="J28" s="8"/>
      <c r="K28" s="8">
        <f>IF(Tabell410111213141516[[#This Row],[Nuvarande]], SUM(Tabell410111213141516[[#This Row],[Summa förbrukning]:[Lån]])+Tabell410111213141516[[#This Row],[Korr]],0)</f>
        <v>2337.6633928571428</v>
      </c>
      <c r="L28" s="2"/>
    </row>
    <row r="29" spans="1:12" x14ac:dyDescent="0.25">
      <c r="A29" s="4">
        <v>43465</v>
      </c>
      <c r="B29">
        <v>3465</v>
      </c>
      <c r="C29">
        <f t="shared" si="3"/>
        <v>3405</v>
      </c>
      <c r="D29">
        <f t="shared" si="4"/>
        <v>60</v>
      </c>
      <c r="E29" s="3">
        <f>Tabell6[[#This Row],[Att fördela]]</f>
        <v>-1.5</v>
      </c>
      <c r="F29">
        <f>Tabell6[[#This Row],[Pris/m3 ink.moms]]</f>
        <v>15.780000000000001</v>
      </c>
      <c r="G29" s="2">
        <f>(Tabell410111213141516[[#This Row],[Förbrukning]]+Tabell410111213141516[[#This Row],[Utjämning]])*Tabell410111213141516[[#This Row],[Kr/m3]]</f>
        <v>923.13000000000011</v>
      </c>
      <c r="H29" s="8">
        <f>Tabell6[[#This Row],[Summa fast avg/hushåll]]</f>
        <v>547.85714285714289</v>
      </c>
      <c r="I29" s="8">
        <f>Tabell6[[#This Row],[Medlems avg]]/14</f>
        <v>1000</v>
      </c>
      <c r="J29" s="8"/>
      <c r="K29" s="8">
        <f>IF(Tabell410111213141516[[#This Row],[Nuvarande]], SUM(Tabell410111213141516[[#This Row],[Summa förbrukning]:[Lån]])+Tabell410111213141516[[#This Row],[Korr]],0)</f>
        <v>2470.9871428571432</v>
      </c>
      <c r="L29" s="2"/>
    </row>
    <row r="30" spans="1:12" x14ac:dyDescent="0.25">
      <c r="A30" s="4">
        <v>43585</v>
      </c>
      <c r="B30">
        <v>3516</v>
      </c>
      <c r="C30">
        <f t="shared" si="3"/>
        <v>3465</v>
      </c>
      <c r="D30">
        <f t="shared" si="4"/>
        <v>51</v>
      </c>
      <c r="E30" s="3">
        <f>Tabell6[[#This Row],[Att fördela]]</f>
        <v>-7.2857142857142856</v>
      </c>
      <c r="F30">
        <f>Tabell6[[#This Row],[Pris/m3 ink.moms]]</f>
        <v>15.780000000000001</v>
      </c>
      <c r="G30" s="2">
        <f>(Tabell410111213141516[[#This Row],[Förbrukning]]+Tabell410111213141516[[#This Row],[Utjämning]])*Tabell410111213141516[[#This Row],[Kr/m3]]</f>
        <v>689.81142857142868</v>
      </c>
      <c r="H30" s="8">
        <f>Tabell6[[#This Row],[Summa fast avg/hushåll]]</f>
        <v>578.16714285714284</v>
      </c>
      <c r="I30" s="8">
        <f>Tabell6[[#This Row],[Medlems avg]]/14</f>
        <v>1000</v>
      </c>
      <c r="J30" s="8"/>
      <c r="K30" s="8">
        <f>IF(Tabell410111213141516[[#This Row],[Nuvarande]], SUM(Tabell410111213141516[[#This Row],[Summa förbrukning]:[Lån]])+Tabell410111213141516[[#This Row],[Korr]],0)</f>
        <v>2267.9785714285717</v>
      </c>
      <c r="L30" s="2"/>
    </row>
    <row r="31" spans="1:12" x14ac:dyDescent="0.25">
      <c r="A31" s="4">
        <v>43708</v>
      </c>
      <c r="B31">
        <v>3575</v>
      </c>
      <c r="C31">
        <f t="shared" si="3"/>
        <v>3516</v>
      </c>
      <c r="D31">
        <f t="shared" si="4"/>
        <v>59</v>
      </c>
      <c r="E31" s="3">
        <f>Tabell6[[#This Row],[Att fördela]]</f>
        <v>-3.4285714285714284</v>
      </c>
      <c r="F31">
        <f>Tabell6[[#This Row],[Pris/m3 ink.moms]]</f>
        <v>15.780000000000001</v>
      </c>
      <c r="G31" s="2">
        <f>(Tabell410111213141516[[#This Row],[Förbrukning]]+Tabell410111213141516[[#This Row],[Utjämning]])*Tabell410111213141516[[#This Row],[Kr/m3]]</f>
        <v>876.91714285714284</v>
      </c>
      <c r="H31" s="8">
        <f>Tabell6[[#This Row],[Summa fast avg/hushåll]]</f>
        <v>578.16714285714284</v>
      </c>
      <c r="I31" s="8">
        <f>Tabell6[[#This Row],[Medlems avg]]/14</f>
        <v>1000</v>
      </c>
      <c r="J31" s="8"/>
      <c r="K31" s="8">
        <f>IF(Tabell410111213141516[[#This Row],[Nuvarande]], SUM(Tabell410111213141516[[#This Row],[Summa förbrukning]:[Lån]])+Tabell410111213141516[[#This Row],[Korr]],0)</f>
        <v>2455.0842857142857</v>
      </c>
      <c r="L31" s="2"/>
    </row>
    <row r="32" spans="1:12" x14ac:dyDescent="0.25">
      <c r="A32" s="4">
        <v>43830</v>
      </c>
      <c r="B32">
        <v>3625</v>
      </c>
      <c r="C32">
        <f t="shared" si="3"/>
        <v>3575</v>
      </c>
      <c r="D32">
        <f t="shared" si="4"/>
        <v>50</v>
      </c>
      <c r="E32" s="3">
        <f>Tabell6[[#This Row],[Att fördela]]</f>
        <v>-3</v>
      </c>
      <c r="F32">
        <f>Tabell6[[#This Row],[Pris/m3 ink.moms]]</f>
        <v>15.780000000000001</v>
      </c>
      <c r="G32" s="2">
        <f>(Tabell410111213141516[[#This Row],[Förbrukning]]+Tabell410111213141516[[#This Row],[Utjämning]])*Tabell410111213141516[[#This Row],[Kr/m3]]</f>
        <v>741.66000000000008</v>
      </c>
      <c r="H32" s="8">
        <f>Tabell6[[#This Row],[Summa fast avg/hushåll]]</f>
        <v>578.16714285714284</v>
      </c>
      <c r="I32" s="8">
        <f>Tabell6[[#This Row],[Medlems avg]]/14</f>
        <v>1000</v>
      </c>
      <c r="J32" s="8"/>
      <c r="K32" s="8">
        <f>IF(Tabell410111213141516[[#This Row],[Nuvarande]], SUM(Tabell410111213141516[[#This Row],[Summa förbrukning]:[Lån]])+Tabell410111213141516[[#This Row],[Korr]],0)</f>
        <v>2319.8271428571429</v>
      </c>
      <c r="L32" s="2"/>
    </row>
    <row r="33" spans="1:12" x14ac:dyDescent="0.25">
      <c r="A33" s="4">
        <v>43951</v>
      </c>
      <c r="B33">
        <v>3687</v>
      </c>
      <c r="C33">
        <f t="shared" si="3"/>
        <v>3625</v>
      </c>
      <c r="D33">
        <f t="shared" si="4"/>
        <v>62</v>
      </c>
      <c r="E33" s="3">
        <f>Tabell6[[#This Row],[Att fördela]]</f>
        <v>-1.9285714285714286</v>
      </c>
      <c r="F33">
        <f>Tabell6[[#This Row],[Pris/m3 ink.moms]]</f>
        <v>15.780000000000001</v>
      </c>
      <c r="G33" s="2">
        <f>(Tabell410111213141516[[#This Row],[Förbrukning]]+Tabell410111213141516[[#This Row],[Utjämning]])*Tabell410111213141516[[#This Row],[Kr/m3]]</f>
        <v>947.92714285714294</v>
      </c>
      <c r="H33" s="8">
        <f>Tabell6[[#This Row],[Summa fast avg/hushåll]]</f>
        <v>578.16714285714284</v>
      </c>
      <c r="I33" s="8">
        <f>Tabell6[[#This Row],[Medlems avg]]/14</f>
        <v>1000</v>
      </c>
      <c r="J33" s="8"/>
      <c r="K33" s="8">
        <f>IF(Tabell410111213141516[[#This Row],[Nuvarande]], SUM(Tabell410111213141516[[#This Row],[Summa förbrukning]:[Lån]])+Tabell410111213141516[[#This Row],[Korr]],0)</f>
        <v>2526.0942857142859</v>
      </c>
      <c r="L33" s="2"/>
    </row>
    <row r="34" spans="1:12" x14ac:dyDescent="0.25">
      <c r="A34" s="4">
        <v>44074</v>
      </c>
      <c r="B34">
        <v>3755</v>
      </c>
      <c r="C34">
        <f t="shared" si="3"/>
        <v>3687</v>
      </c>
      <c r="D34">
        <f t="shared" si="4"/>
        <v>68</v>
      </c>
      <c r="E34" s="3">
        <f>Tabell6[[#This Row],[Att fördela]]</f>
        <v>-1.8571428571428572</v>
      </c>
      <c r="F34">
        <f>Tabell6[[#This Row],[Pris/m3 ink.moms]]</f>
        <v>15.780000000000001</v>
      </c>
      <c r="G34" s="2">
        <f>(Tabell410111213141516[[#This Row],[Förbrukning]]+Tabell410111213141516[[#This Row],[Utjämning]])*Tabell410111213141516[[#This Row],[Kr/m3]]</f>
        <v>1043.7342857142858</v>
      </c>
      <c r="H34" s="8">
        <f>Tabell6[[#This Row],[Summa fast avg/hushåll]]</f>
        <v>578.16714285714284</v>
      </c>
      <c r="I34" s="8">
        <f>Tabell6[[#This Row],[Medlems avg]]/14</f>
        <v>1000</v>
      </c>
      <c r="J34" s="8"/>
      <c r="K34" s="8">
        <f>IF(Tabell410111213141516[[#This Row],[Nuvarande]], SUM(Tabell410111213141516[[#This Row],[Summa förbrukning]:[Lån]])+Tabell410111213141516[[#This Row],[Korr]],0)</f>
        <v>2621.9014285714284</v>
      </c>
      <c r="L34" s="2"/>
    </row>
    <row r="35" spans="1:12" x14ac:dyDescent="0.25">
      <c r="A35" s="4">
        <v>44196</v>
      </c>
      <c r="B35">
        <v>3815</v>
      </c>
      <c r="C35">
        <f t="shared" si="3"/>
        <v>3755</v>
      </c>
      <c r="D35">
        <f t="shared" si="4"/>
        <v>60</v>
      </c>
      <c r="E35" s="3">
        <f>Tabell6[[#This Row],[Att fördela]]</f>
        <v>-2.2142857142857144</v>
      </c>
      <c r="F35">
        <f>Tabell6[[#This Row],[Pris/m3 ink.moms]]</f>
        <v>15.780000000000001</v>
      </c>
      <c r="G35" s="2">
        <f>(Tabell410111213141516[[#This Row],[Förbrukning]]+Tabell410111213141516[[#This Row],[Utjämning]])*Tabell410111213141516[[#This Row],[Kr/m3]]</f>
        <v>911.85857142857151</v>
      </c>
      <c r="H35" s="8">
        <f>Tabell6[[#This Row],[Summa fast avg/hushåll]]</f>
        <v>578.16714285714284</v>
      </c>
      <c r="I35" s="8">
        <f>Tabell6[[#This Row],[Medlems avg]]/14</f>
        <v>1000</v>
      </c>
      <c r="J35" s="8"/>
      <c r="K35" s="8">
        <f>IF(Tabell410111213141516[[#This Row],[Nuvarande]], SUM(Tabell410111213141516[[#This Row],[Summa förbrukning]:[Lån]])+Tabell410111213141516[[#This Row],[Korr]],0)</f>
        <v>2490.0257142857145</v>
      </c>
      <c r="L35" s="2"/>
    </row>
    <row r="36" spans="1:12" x14ac:dyDescent="0.25">
      <c r="A36" s="4">
        <v>44316</v>
      </c>
      <c r="B36">
        <v>3870</v>
      </c>
      <c r="C36">
        <f t="shared" si="3"/>
        <v>3815</v>
      </c>
      <c r="D36">
        <f t="shared" si="4"/>
        <v>55</v>
      </c>
      <c r="E36" s="3">
        <f>Tabell6[[#This Row],[Att fördela]]</f>
        <v>-1.0714285714285714</v>
      </c>
      <c r="F36">
        <f>Tabell6[[#This Row],[Pris/m3 ink.moms]]</f>
        <v>15.780000000000001</v>
      </c>
      <c r="G36" s="2">
        <f>(Tabell410111213141516[[#This Row],[Förbrukning]]+Tabell410111213141516[[#This Row],[Utjämning]])*Tabell410111213141516[[#This Row],[Kr/m3]]</f>
        <v>850.99285714285725</v>
      </c>
      <c r="H36" s="8">
        <f>Tabell6[[#This Row],[Summa fast avg/hushåll]]</f>
        <v>578.16714285714284</v>
      </c>
      <c r="I36" s="8">
        <f>Tabell6[[#This Row],[Medlems avg]]/14</f>
        <v>1000</v>
      </c>
      <c r="J36" s="8"/>
      <c r="K36" s="8">
        <f>IF(Tabell410111213141516[[#This Row],[Nuvarande]], SUM(Tabell410111213141516[[#This Row],[Summa förbrukning]:[Lån]])+Tabell410111213141516[[#This Row],[Korr]],0)</f>
        <v>2429.16</v>
      </c>
      <c r="L36" s="2"/>
    </row>
    <row r="37" spans="1:12" x14ac:dyDescent="0.25">
      <c r="A37" s="4">
        <f>Tabell6[[#This Row],[Avläsnings datum]]</f>
        <v>44439</v>
      </c>
      <c r="B37">
        <v>3919</v>
      </c>
      <c r="C37">
        <f t="shared" ref="C37:C60" si="5">B36</f>
        <v>3870</v>
      </c>
      <c r="D37">
        <f t="shared" ref="D37:D60" si="6">IF(B37-C37&lt;0,0,B37-C37)</f>
        <v>49</v>
      </c>
      <c r="E37" s="3">
        <f>Tabell6[[#This Row],[Att fördela]]</f>
        <v>-2.4285714285714284</v>
      </c>
      <c r="F37">
        <f>Tabell6[[#This Row],[Pris/m3 ink.moms]]</f>
        <v>15.780000000000001</v>
      </c>
      <c r="G37" s="2">
        <f>(Tabell410111213141516[[#This Row],[Förbrukning]]+Tabell410111213141516[[#This Row],[Utjämning]])*Tabell410111213141516[[#This Row],[Kr/m3]]</f>
        <v>734.89714285714285</v>
      </c>
      <c r="H37" s="8">
        <f>Tabell6[[#This Row],[Summa fast avg/hushåll]]</f>
        <v>578.16714285714284</v>
      </c>
      <c r="I37" s="8">
        <f>Tabell6[[#This Row],[Medlems avg]]/14</f>
        <v>1000</v>
      </c>
      <c r="J37" s="8"/>
      <c r="K37" s="8">
        <f>IF(Tabell410111213141516[[#This Row],[Nuvarande]], SUM(Tabell410111213141516[[#This Row],[Summa förbrukning]:[Lån]])+Tabell410111213141516[[#This Row],[Korr]],0)</f>
        <v>2313.0642857142857</v>
      </c>
      <c r="L37" s="2"/>
    </row>
    <row r="38" spans="1:12" x14ac:dyDescent="0.25">
      <c r="A38" s="4">
        <f>Tabell6[[#This Row],[Avläsnings datum]]</f>
        <v>44561</v>
      </c>
      <c r="B38">
        <v>3976</v>
      </c>
      <c r="C38">
        <f t="shared" si="5"/>
        <v>3919</v>
      </c>
      <c r="D38">
        <f t="shared" si="6"/>
        <v>57</v>
      </c>
      <c r="E38" s="3">
        <f>Tabell6[[#This Row],[Att fördela]]</f>
        <v>-1.3571428571428572</v>
      </c>
      <c r="F38">
        <f>Tabell6[[#This Row],[Pris/m3 ink.moms]]</f>
        <v>15.780000000000001</v>
      </c>
      <c r="G38" s="2">
        <f>(Tabell410111213141516[[#This Row],[Förbrukning]]+Tabell410111213141516[[#This Row],[Utjämning]])*Tabell410111213141516[[#This Row],[Kr/m3]]</f>
        <v>878.04428571428582</v>
      </c>
      <c r="H38" s="8">
        <f>Tabell6[[#This Row],[Summa fast avg/hushåll]]</f>
        <v>578.16714285714284</v>
      </c>
      <c r="I38" s="8">
        <f>Tabell6[[#This Row],[Medlems avg]]/14</f>
        <v>1000</v>
      </c>
      <c r="J38" s="8"/>
      <c r="K38" s="8">
        <f>IF(Tabell410111213141516[[#This Row],[Nuvarande]], SUM(Tabell410111213141516[[#This Row],[Summa förbrukning]:[Lån]])+Tabell410111213141516[[#This Row],[Korr]],0)</f>
        <v>2456.2114285714288</v>
      </c>
      <c r="L38" s="2"/>
    </row>
    <row r="39" spans="1:12" x14ac:dyDescent="0.25">
      <c r="A39" s="4">
        <f>Tabell6[[#This Row],[Avläsnings datum]]</f>
        <v>44681</v>
      </c>
      <c r="B39">
        <v>4033</v>
      </c>
      <c r="C39">
        <f t="shared" si="5"/>
        <v>3976</v>
      </c>
      <c r="D39">
        <f t="shared" si="6"/>
        <v>57</v>
      </c>
      <c r="E39" s="3">
        <f>Tabell6[[#This Row],[Att fördela]]</f>
        <v>-2.7142857142857144</v>
      </c>
      <c r="F39">
        <f>Tabell6[[#This Row],[Pris/m3 ink.moms]]</f>
        <v>15.780000000000001</v>
      </c>
      <c r="G39" s="2">
        <f>(Tabell410111213141516[[#This Row],[Förbrukning]]+Tabell410111213141516[[#This Row],[Utjämning]])*Tabell410111213141516[[#This Row],[Kr/m3]]</f>
        <v>856.62857142857149</v>
      </c>
      <c r="H39" s="8">
        <f>Tabell6[[#This Row],[Summa fast avg/hushåll]]</f>
        <v>578.16714285714284</v>
      </c>
      <c r="I39" s="8">
        <f>Tabell6[[#This Row],[Medlems avg]]/14</f>
        <v>1000</v>
      </c>
      <c r="J39" s="8"/>
      <c r="K39" s="8">
        <f>IF(Tabell410111213141516[[#This Row],[Nuvarande]], SUM(Tabell410111213141516[[#This Row],[Summa förbrukning]:[Lån]])+Tabell410111213141516[[#This Row],[Korr]],0)</f>
        <v>2434.7957142857144</v>
      </c>
      <c r="L39" s="2"/>
    </row>
    <row r="40" spans="1:12" x14ac:dyDescent="0.25">
      <c r="A40" s="4">
        <f>Tabell6[[#This Row],[Avläsnings datum]]</f>
        <v>44804</v>
      </c>
      <c r="B40">
        <v>4067</v>
      </c>
      <c r="C40">
        <f t="shared" si="5"/>
        <v>4033</v>
      </c>
      <c r="D40">
        <f t="shared" si="6"/>
        <v>34</v>
      </c>
      <c r="E40" s="3">
        <f>Tabell6[[#This Row],[Att fördela]]</f>
        <v>-7.1428571428571425E-2</v>
      </c>
      <c r="F40">
        <f>Tabell6[[#This Row],[Pris/m3 ink.moms]]</f>
        <v>15.780000000000001</v>
      </c>
      <c r="G40" s="2">
        <f>(Tabell410111213141516[[#This Row],[Förbrukning]]+Tabell410111213141516[[#This Row],[Utjämning]])*Tabell410111213141516[[#This Row],[Kr/m3]]</f>
        <v>535.39285714285722</v>
      </c>
      <c r="H40" s="8">
        <f>Tabell6[[#This Row],[Summa fast avg/hushåll]]</f>
        <v>578.16714285714284</v>
      </c>
      <c r="I40" s="8">
        <f>Tabell6[[#This Row],[Medlems avg]]/14</f>
        <v>1000</v>
      </c>
      <c r="J40" s="8"/>
      <c r="K40" s="8">
        <f>IF(Tabell410111213141516[[#This Row],[Nuvarande]], SUM(Tabell410111213141516[[#This Row],[Summa förbrukning]:[Lån]])+Tabell410111213141516[[#This Row],[Korr]],0)</f>
        <v>2113.56</v>
      </c>
      <c r="L40" s="2"/>
    </row>
    <row r="41" spans="1:12" x14ac:dyDescent="0.25">
      <c r="A41" s="4">
        <f>Tabell6[[#This Row],[Avläsnings datum]]</f>
        <v>44926</v>
      </c>
      <c r="B41">
        <v>4110</v>
      </c>
      <c r="C41">
        <f t="shared" si="5"/>
        <v>4067</v>
      </c>
      <c r="D41">
        <f t="shared" si="6"/>
        <v>43</v>
      </c>
      <c r="E41" s="3">
        <f>Tabell6[[#This Row],[Att fördela]]</f>
        <v>0</v>
      </c>
      <c r="F41">
        <f>Tabell6[[#This Row],[Pris/m3 ink.moms]]</f>
        <v>15.780000000000001</v>
      </c>
      <c r="G41" s="2">
        <f>(Tabell410111213141516[[#This Row],[Förbrukning]]+Tabell410111213141516[[#This Row],[Utjämning]])*Tabell410111213141516[[#This Row],[Kr/m3]]</f>
        <v>678.54000000000008</v>
      </c>
      <c r="H41" s="8">
        <f>Tabell6[[#This Row],[Summa fast avg/hushåll]]</f>
        <v>578.16714285714284</v>
      </c>
      <c r="I41" s="8">
        <f>Tabell6[[#This Row],[Medlems avg]]/14</f>
        <v>1000</v>
      </c>
      <c r="J41" s="8"/>
      <c r="K41" s="8">
        <f>IF(Tabell410111213141516[[#This Row],[Nuvarande]], SUM(Tabell410111213141516[[#This Row],[Summa förbrukning]:[Lån]])+Tabell410111213141516[[#This Row],[Korr]],0)</f>
        <v>2256.707142857143</v>
      </c>
      <c r="L41" s="2"/>
    </row>
    <row r="42" spans="1:12" x14ac:dyDescent="0.25">
      <c r="A42" s="4">
        <f>Tabell6[[#This Row],[Avläsnings datum]]</f>
        <v>45046</v>
      </c>
      <c r="B42">
        <v>4149</v>
      </c>
      <c r="C42">
        <f t="shared" si="5"/>
        <v>4110</v>
      </c>
      <c r="D42">
        <f t="shared" si="6"/>
        <v>39</v>
      </c>
      <c r="E42" s="3">
        <f>Tabell6[[#This Row],[Att fördela]]</f>
        <v>0.14285714285714285</v>
      </c>
      <c r="F42">
        <f>Tabell6[[#This Row],[Pris/m3 ink.moms]]</f>
        <v>17.829999999999998</v>
      </c>
      <c r="G42" s="2">
        <f>(Tabell410111213141516[[#This Row],[Förbrukning]]+Tabell410111213141516[[#This Row],[Utjämning]])*Tabell410111213141516[[#This Row],[Kr/m3]]</f>
        <v>697.91714285714284</v>
      </c>
      <c r="H42" s="8">
        <f>Tabell6[[#This Row],[Summa fast avg/hushåll]]</f>
        <v>652.99952380952379</v>
      </c>
      <c r="I42" s="8">
        <f>Tabell6[[#This Row],[Medlems avg]]/14</f>
        <v>1000</v>
      </c>
      <c r="J42" s="8"/>
      <c r="K42" s="8">
        <f>IF(Tabell410111213141516[[#This Row],[Nuvarande]], SUM(Tabell410111213141516[[#This Row],[Summa förbrukning]:[Lån]])+Tabell410111213141516[[#This Row],[Korr]],0)</f>
        <v>2350.9166666666665</v>
      </c>
      <c r="L42" s="2"/>
    </row>
    <row r="43" spans="1:12" x14ac:dyDescent="0.25">
      <c r="A43" s="4">
        <f>Tabell6[[#This Row],[Avläsnings datum]]</f>
        <v>45169</v>
      </c>
      <c r="B43">
        <v>4183</v>
      </c>
      <c r="C43">
        <f t="shared" si="5"/>
        <v>4149</v>
      </c>
      <c r="D43">
        <f t="shared" si="6"/>
        <v>34</v>
      </c>
      <c r="E43" s="3">
        <f>Tabell6[[#This Row],[Att fördela]]</f>
        <v>-2.2142857142857144</v>
      </c>
      <c r="F43">
        <f>Tabell6[[#This Row],[Pris/m3 ink.moms]]</f>
        <v>17.829999999999998</v>
      </c>
      <c r="G43" s="2">
        <f>(Tabell410111213141516[[#This Row],[Förbrukning]]+Tabell410111213141516[[#This Row],[Utjämning]])*Tabell410111213141516[[#This Row],[Kr/m3]]</f>
        <v>566.73928571428564</v>
      </c>
      <c r="H43" s="8">
        <f>Tabell6[[#This Row],[Summa fast avg/hushåll]]</f>
        <v>652.99952380952379</v>
      </c>
      <c r="I43" s="8">
        <f>Tabell6[[#This Row],[Medlems avg]]/14</f>
        <v>1000</v>
      </c>
      <c r="J43" s="8"/>
      <c r="K43" s="8">
        <f>IF(Tabell410111213141516[[#This Row],[Nuvarande]], SUM(Tabell410111213141516[[#This Row],[Summa förbrukning]:[Lån]])+Tabell410111213141516[[#This Row],[Korr]],0)</f>
        <v>2219.7388095238093</v>
      </c>
      <c r="L43" s="2"/>
    </row>
    <row r="44" spans="1:12" x14ac:dyDescent="0.25">
      <c r="A44" s="4">
        <f>Tabell6[[#This Row],[Avläsnings datum]]</f>
        <v>45291</v>
      </c>
      <c r="B44">
        <v>4208</v>
      </c>
      <c r="C44">
        <f t="shared" si="5"/>
        <v>4183</v>
      </c>
      <c r="D44">
        <f t="shared" si="6"/>
        <v>25</v>
      </c>
      <c r="E44" s="3">
        <f>Tabell6[[#This Row],[Att fördela]]</f>
        <v>-0.7857142857142857</v>
      </c>
      <c r="F44">
        <f>Tabell6[[#This Row],[Pris/m3 ink.moms]]</f>
        <v>17.829999999999998</v>
      </c>
      <c r="G44" s="2">
        <f>(Tabell410111213141516[[#This Row],[Förbrukning]]+Tabell410111213141516[[#This Row],[Utjämning]])*Tabell410111213141516[[#This Row],[Kr/m3]]</f>
        <v>431.74071428571426</v>
      </c>
      <c r="H44" s="8">
        <f>Tabell6[[#This Row],[Summa fast avg/hushåll]]</f>
        <v>652.99952380952379</v>
      </c>
      <c r="I44" s="8">
        <f>Tabell6[[#This Row],[Medlems avg]]/14</f>
        <v>1000</v>
      </c>
      <c r="J44" s="8"/>
      <c r="K44" s="8">
        <f>IF(Tabell410111213141516[[#This Row],[Nuvarande]], SUM(Tabell410111213141516[[#This Row],[Summa förbrukning]:[Lån]])+Tabell410111213141516[[#This Row],[Korr]],0)</f>
        <v>2084.7402380952381</v>
      </c>
      <c r="L44" s="2"/>
    </row>
    <row r="45" spans="1:12" x14ac:dyDescent="0.25">
      <c r="A45" s="4">
        <f>Tabell6[[#This Row],[Avläsnings datum]]</f>
        <v>45412</v>
      </c>
      <c r="B45">
        <v>4232</v>
      </c>
      <c r="C45">
        <f t="shared" si="5"/>
        <v>4208</v>
      </c>
      <c r="D45">
        <f t="shared" si="6"/>
        <v>24</v>
      </c>
      <c r="E45" s="3">
        <f>Tabell6[[#This Row],[Att fördela]]</f>
        <v>-7.1428571428571425E-2</v>
      </c>
      <c r="F45">
        <f>Tabell6[[#This Row],[Pris/m3 ink.moms]]</f>
        <v>17.829999999999998</v>
      </c>
      <c r="G45" s="2">
        <f>(Tabell410111213141516[[#This Row],[Förbrukning]]+Tabell410111213141516[[#This Row],[Utjämning]])*Tabell410111213141516[[#This Row],[Kr/m3]]</f>
        <v>426.64642857142849</v>
      </c>
      <c r="H45" s="8">
        <f>Tabell6[[#This Row],[Summa fast avg/hushåll]]</f>
        <v>652.99952380952379</v>
      </c>
      <c r="I45" s="8">
        <f>Tabell6[[#This Row],[Medlems avg]]/14</f>
        <v>1000</v>
      </c>
      <c r="J45" s="8"/>
      <c r="K45" s="8">
        <f>IF(Tabell410111213141516[[#This Row],[Nuvarande]], SUM(Tabell410111213141516[[#This Row],[Summa förbrukning]:[Lån]])+Tabell410111213141516[[#This Row],[Korr]],0)</f>
        <v>2079.6459523809522</v>
      </c>
      <c r="L45" s="2"/>
    </row>
    <row r="46" spans="1:12" x14ac:dyDescent="0.25">
      <c r="A46" s="4">
        <f>Tabell6[[#This Row],[Avläsnings datum]]</f>
        <v>45535</v>
      </c>
      <c r="B46">
        <v>4247</v>
      </c>
      <c r="C46">
        <f t="shared" si="5"/>
        <v>4232</v>
      </c>
      <c r="D46">
        <f t="shared" si="6"/>
        <v>15</v>
      </c>
      <c r="E46" s="3">
        <f>Tabell6[[#This Row],[Att fördela]]</f>
        <v>-1.3571428571428572</v>
      </c>
      <c r="F46">
        <f>Tabell6[[#This Row],[Pris/m3 ink.moms]]</f>
        <v>21</v>
      </c>
      <c r="G46" s="2">
        <f>(Tabell410111213141516[[#This Row],[Förbrukning]]+Tabell410111213141516[[#This Row],[Utjämning]])*Tabell410111213141516[[#This Row],[Kr/m3]]</f>
        <v>286.5</v>
      </c>
      <c r="H46" s="8">
        <f>Tabell6[[#This Row],[Summa fast avg/hushåll]]</f>
        <v>763.97428571428566</v>
      </c>
      <c r="I46" s="8">
        <f>Tabell6[[#This Row],[Medlems avg]]/14</f>
        <v>1000</v>
      </c>
      <c r="J46" s="8"/>
      <c r="K46" s="8">
        <f>IF(Tabell410111213141516[[#This Row],[Nuvarande]], SUM(Tabell410111213141516[[#This Row],[Summa förbrukning]:[Lån]])+Tabell410111213141516[[#This Row],[Korr]],0)</f>
        <v>2050.4742857142855</v>
      </c>
      <c r="L46" s="2"/>
    </row>
    <row r="47" spans="1:12" x14ac:dyDescent="0.25">
      <c r="A47" s="4">
        <f>Tabell6[[#This Row],[Avläsnings datum]]</f>
        <v>45657</v>
      </c>
      <c r="B47">
        <v>4270</v>
      </c>
      <c r="C47">
        <f t="shared" si="5"/>
        <v>4247</v>
      </c>
      <c r="D47">
        <f t="shared" si="6"/>
        <v>23</v>
      </c>
      <c r="E47" s="3">
        <f>Tabell6[[#This Row],[Att fördela]]</f>
        <v>-1.7142857142857142</v>
      </c>
      <c r="F47">
        <f>Tabell6[[#This Row],[Pris/m3 ink.moms]]</f>
        <v>21</v>
      </c>
      <c r="G47" s="2">
        <f>(Tabell410111213141516[[#This Row],[Förbrukning]]+Tabell410111213141516[[#This Row],[Utjämning]])*Tabell410111213141516[[#This Row],[Kr/m3]]</f>
        <v>447</v>
      </c>
      <c r="H47" s="8">
        <f>Tabell6[[#This Row],[Summa fast avg/hushåll]]</f>
        <v>763.97428571428566</v>
      </c>
      <c r="I47" s="8">
        <f>Tabell6[[#This Row],[Medlems avg]]/14</f>
        <v>1000</v>
      </c>
      <c r="J47" s="8"/>
      <c r="K47" s="8">
        <f>IF(Tabell410111213141516[[#This Row],[Nuvarande]], SUM(Tabell410111213141516[[#This Row],[Summa förbrukning]:[Lån]])+Tabell410111213141516[[#This Row],[Korr]],0)</f>
        <v>2210.9742857142855</v>
      </c>
      <c r="L47" s="2"/>
    </row>
    <row r="48" spans="1:12" x14ac:dyDescent="0.25">
      <c r="A48" s="4">
        <f>Tabell6[[#This Row],[Avläsnings datum]]</f>
        <v>45777</v>
      </c>
      <c r="B48">
        <v>4292</v>
      </c>
      <c r="C48">
        <f t="shared" si="5"/>
        <v>4270</v>
      </c>
      <c r="D48">
        <f t="shared" si="6"/>
        <v>22</v>
      </c>
      <c r="E48" s="3">
        <f>Tabell6[[#This Row],[Att fördela]]</f>
        <v>-1.5</v>
      </c>
      <c r="F48">
        <f>Tabell6[[#This Row],[Pris/m3 ink.moms]]</f>
        <v>24</v>
      </c>
      <c r="G48" s="2">
        <f>(Tabell410111213141516[[#This Row],[Förbrukning]]+Tabell410111213141516[[#This Row],[Utjämning]])*Tabell410111213141516[[#This Row],[Kr/m3]]</f>
        <v>492</v>
      </c>
      <c r="H48" s="8">
        <f>Tabell6[[#This Row],[Summa fast avg/hushåll]]</f>
        <v>879.14738095238101</v>
      </c>
      <c r="I48" s="8">
        <f>Tabell6[[#This Row],[Medlems avg]]/14</f>
        <v>1000</v>
      </c>
      <c r="J48" s="8"/>
      <c r="K48" s="8">
        <f>IF(Tabell410111213141516[[#This Row],[Nuvarande]], SUM(Tabell410111213141516[[#This Row],[Summa förbrukning]:[Lån]])+Tabell410111213141516[[#This Row],[Korr]],0)</f>
        <v>2371.1473809523809</v>
      </c>
      <c r="L48" s="2"/>
    </row>
    <row r="49" spans="1:12" x14ac:dyDescent="0.25">
      <c r="A49" s="4">
        <f>Tabell6[[#This Row],[Avläsnings datum]]</f>
        <v>45900</v>
      </c>
      <c r="C49">
        <f t="shared" si="5"/>
        <v>4292</v>
      </c>
      <c r="D49">
        <f t="shared" si="6"/>
        <v>0</v>
      </c>
      <c r="E49" s="3">
        <f>Tabell6[[#This Row],[Att fördela]]</f>
        <v>0</v>
      </c>
      <c r="F49">
        <f>Tabell6[[#This Row],[Pris/m3 ink.moms]]</f>
        <v>24</v>
      </c>
      <c r="G49" s="2">
        <f>(Tabell410111213141516[[#This Row],[Förbrukning]]+Tabell410111213141516[[#This Row],[Utjämning]])*Tabell410111213141516[[#This Row],[Kr/m3]]</f>
        <v>0</v>
      </c>
      <c r="H49" s="8">
        <f>Tabell6[[#This Row],[Summa fast avg/hushåll]]</f>
        <v>879.14738095238101</v>
      </c>
      <c r="I49" s="8">
        <f>Tabell6[[#This Row],[Medlems avg]]/14</f>
        <v>1000</v>
      </c>
      <c r="J49" s="8"/>
      <c r="K49" s="8">
        <f>IF(Tabell410111213141516[[#This Row],[Nuvarande]], SUM(Tabell410111213141516[[#This Row],[Summa förbrukning]:[Lån]])+Tabell410111213141516[[#This Row],[Korr]],0)</f>
        <v>0</v>
      </c>
      <c r="L49" s="2"/>
    </row>
    <row r="50" spans="1:12" x14ac:dyDescent="0.25">
      <c r="A50" s="4">
        <f>Tabell6[[#This Row],[Avläsnings datum]]</f>
        <v>46022</v>
      </c>
      <c r="C50">
        <f t="shared" si="5"/>
        <v>0</v>
      </c>
      <c r="D50">
        <f t="shared" si="6"/>
        <v>0</v>
      </c>
      <c r="E50" s="3">
        <f>Tabell6[[#This Row],[Att fördela]]</f>
        <v>0</v>
      </c>
      <c r="F50">
        <f>Tabell6[[#This Row],[Pris/m3 ink.moms]]</f>
        <v>24</v>
      </c>
      <c r="G50" s="2">
        <f>(Tabell410111213141516[[#This Row],[Förbrukning]]+Tabell410111213141516[[#This Row],[Utjämning]])*Tabell410111213141516[[#This Row],[Kr/m3]]</f>
        <v>0</v>
      </c>
      <c r="H50" s="8">
        <f>Tabell6[[#This Row],[Summa fast avg/hushåll]]</f>
        <v>879.14738095238101</v>
      </c>
      <c r="I50" s="8">
        <f>Tabell6[[#This Row],[Medlems avg]]/14</f>
        <v>1000</v>
      </c>
      <c r="J50" s="8"/>
      <c r="K50" s="8">
        <f>IF(Tabell410111213141516[[#This Row],[Nuvarande]], SUM(Tabell410111213141516[[#This Row],[Summa förbrukning]:[Lån]])+Tabell410111213141516[[#This Row],[Korr]],0)</f>
        <v>0</v>
      </c>
      <c r="L50" s="2"/>
    </row>
    <row r="51" spans="1:12" x14ac:dyDescent="0.25">
      <c r="A51" s="4">
        <f>Tabell6[[#This Row],[Avläsnings datum]]</f>
        <v>46142</v>
      </c>
      <c r="C51">
        <f t="shared" si="5"/>
        <v>0</v>
      </c>
      <c r="D51">
        <f t="shared" si="6"/>
        <v>0</v>
      </c>
      <c r="E51" s="3">
        <f>Tabell6[[#This Row],[Att fördela]]</f>
        <v>0</v>
      </c>
      <c r="F51">
        <f>Tabell6[[#This Row],[Pris/m3 ink.moms]]</f>
        <v>24</v>
      </c>
      <c r="G51" s="2">
        <f>(Tabell410111213141516[[#This Row],[Förbrukning]]+Tabell410111213141516[[#This Row],[Utjämning]])*Tabell410111213141516[[#This Row],[Kr/m3]]</f>
        <v>0</v>
      </c>
      <c r="H51" s="8">
        <f>Tabell6[[#This Row],[Summa fast avg/hushåll]]</f>
        <v>879.14738095238101</v>
      </c>
      <c r="I51" s="8">
        <f>Tabell6[[#This Row],[Medlems avg]]/14</f>
        <v>1000</v>
      </c>
      <c r="J51" s="8"/>
      <c r="K51" s="8">
        <f>IF(Tabell410111213141516[[#This Row],[Nuvarande]], SUM(Tabell410111213141516[[#This Row],[Summa förbrukning]:[Lån]])+Tabell410111213141516[[#This Row],[Korr]],0)</f>
        <v>0</v>
      </c>
      <c r="L51" s="2"/>
    </row>
    <row r="52" spans="1:12" x14ac:dyDescent="0.25">
      <c r="A52" s="4">
        <f>Tabell6[[#This Row],[Avläsnings datum]]</f>
        <v>46265</v>
      </c>
      <c r="C52">
        <f t="shared" si="5"/>
        <v>0</v>
      </c>
      <c r="D52">
        <f t="shared" si="6"/>
        <v>0</v>
      </c>
      <c r="E52" s="3">
        <f>Tabell6[[#This Row],[Att fördela]]</f>
        <v>0</v>
      </c>
      <c r="F52">
        <f>Tabell6[[#This Row],[Pris/m3 ink.moms]]</f>
        <v>24</v>
      </c>
      <c r="G52" s="2">
        <f>(Tabell410111213141516[[#This Row],[Förbrukning]]+Tabell410111213141516[[#This Row],[Utjämning]])*Tabell410111213141516[[#This Row],[Kr/m3]]</f>
        <v>0</v>
      </c>
      <c r="H52" s="8">
        <f>Tabell6[[#This Row],[Summa fast avg/hushåll]]</f>
        <v>879.14738095238101</v>
      </c>
      <c r="I52" s="8">
        <f>Tabell6[[#This Row],[Medlems avg]]/14</f>
        <v>1000</v>
      </c>
      <c r="J52" s="8"/>
      <c r="K52" s="8">
        <f>IF(Tabell410111213141516[[#This Row],[Nuvarande]], SUM(Tabell410111213141516[[#This Row],[Summa förbrukning]:[Lån]])+Tabell410111213141516[[#This Row],[Korr]],0)</f>
        <v>0</v>
      </c>
      <c r="L52" s="2"/>
    </row>
    <row r="53" spans="1:12" x14ac:dyDescent="0.25">
      <c r="A53" s="4">
        <f>Tabell6[[#This Row],[Avläsnings datum]]</f>
        <v>46387</v>
      </c>
      <c r="C53">
        <f t="shared" si="5"/>
        <v>0</v>
      </c>
      <c r="D53">
        <f t="shared" si="6"/>
        <v>0</v>
      </c>
      <c r="E53" s="3">
        <f>Tabell6[[#This Row],[Att fördela]]</f>
        <v>0</v>
      </c>
      <c r="F53">
        <f>Tabell6[[#This Row],[Pris/m3 ink.moms]]</f>
        <v>24</v>
      </c>
      <c r="G53" s="2">
        <f>(Tabell410111213141516[[#This Row],[Förbrukning]]+Tabell410111213141516[[#This Row],[Utjämning]])*Tabell410111213141516[[#This Row],[Kr/m3]]</f>
        <v>0</v>
      </c>
      <c r="H53" s="8">
        <f>Tabell6[[#This Row],[Summa fast avg/hushåll]]</f>
        <v>879.14738095238101</v>
      </c>
      <c r="I53" s="8">
        <f>Tabell6[[#This Row],[Medlems avg]]/14</f>
        <v>1000</v>
      </c>
      <c r="J53" s="8"/>
      <c r="K53" s="8">
        <f>IF(Tabell410111213141516[[#This Row],[Nuvarande]], SUM(Tabell410111213141516[[#This Row],[Summa förbrukning]:[Lån]])+Tabell410111213141516[[#This Row],[Korr]],0)</f>
        <v>0</v>
      </c>
      <c r="L53" s="2"/>
    </row>
    <row r="54" spans="1:12" x14ac:dyDescent="0.25">
      <c r="A54" s="4">
        <f>Tabell6[[#This Row],[Avläsnings datum]]</f>
        <v>46507</v>
      </c>
      <c r="C54">
        <f t="shared" si="5"/>
        <v>0</v>
      </c>
      <c r="D54">
        <f t="shared" si="6"/>
        <v>0</v>
      </c>
      <c r="E54" s="3">
        <f>Tabell6[[#This Row],[Att fördela]]</f>
        <v>0</v>
      </c>
      <c r="F54">
        <f>Tabell6[[#This Row],[Pris/m3 ink.moms]]</f>
        <v>24</v>
      </c>
      <c r="G54" s="2">
        <f>(Tabell410111213141516[[#This Row],[Förbrukning]]+Tabell410111213141516[[#This Row],[Utjämning]])*Tabell410111213141516[[#This Row],[Kr/m3]]</f>
        <v>0</v>
      </c>
      <c r="H54" s="8">
        <f>Tabell6[[#This Row],[Summa fast avg/hushåll]]</f>
        <v>879.14738095238101</v>
      </c>
      <c r="I54" s="8">
        <f>Tabell6[[#This Row],[Medlems avg]]/14</f>
        <v>1000</v>
      </c>
      <c r="J54" s="8"/>
      <c r="K54" s="8">
        <f>IF(Tabell410111213141516[[#This Row],[Nuvarande]], SUM(Tabell410111213141516[[#This Row],[Summa förbrukning]:[Lån]])+Tabell410111213141516[[#This Row],[Korr]],0)</f>
        <v>0</v>
      </c>
      <c r="L54" s="2"/>
    </row>
    <row r="55" spans="1:12" x14ac:dyDescent="0.25">
      <c r="A55" s="4">
        <f>Tabell6[[#This Row],[Avläsnings datum]]</f>
        <v>46630</v>
      </c>
      <c r="C55">
        <f t="shared" si="5"/>
        <v>0</v>
      </c>
      <c r="D55">
        <f t="shared" si="6"/>
        <v>0</v>
      </c>
      <c r="E55" s="3">
        <f>Tabell6[[#This Row],[Att fördela]]</f>
        <v>0</v>
      </c>
      <c r="F55">
        <f>Tabell6[[#This Row],[Pris/m3 ink.moms]]</f>
        <v>24</v>
      </c>
      <c r="G55" s="2">
        <f>(Tabell410111213141516[[#This Row],[Förbrukning]]+Tabell410111213141516[[#This Row],[Utjämning]])*Tabell410111213141516[[#This Row],[Kr/m3]]</f>
        <v>0</v>
      </c>
      <c r="H55" s="8">
        <f>Tabell6[[#This Row],[Summa fast avg/hushåll]]</f>
        <v>879.14738095238101</v>
      </c>
      <c r="I55" s="8">
        <f>Tabell6[[#This Row],[Medlems avg]]/14</f>
        <v>1000</v>
      </c>
      <c r="J55" s="8"/>
      <c r="K55" s="8">
        <f>IF(Tabell410111213141516[[#This Row],[Nuvarande]], SUM(Tabell410111213141516[[#This Row],[Summa förbrukning]:[Lån]])+Tabell410111213141516[[#This Row],[Korr]],0)</f>
        <v>0</v>
      </c>
      <c r="L55" s="2"/>
    </row>
    <row r="56" spans="1:12" x14ac:dyDescent="0.25">
      <c r="A56" s="4">
        <f>Tabell6[[#This Row],[Avläsnings datum]]</f>
        <v>46752</v>
      </c>
      <c r="C56">
        <f t="shared" si="5"/>
        <v>0</v>
      </c>
      <c r="D56">
        <f t="shared" si="6"/>
        <v>0</v>
      </c>
      <c r="E56" s="3">
        <f>Tabell6[[#This Row],[Att fördela]]</f>
        <v>0</v>
      </c>
      <c r="F56">
        <f>Tabell6[[#This Row],[Pris/m3 ink.moms]]</f>
        <v>24</v>
      </c>
      <c r="G56" s="2">
        <f>(Tabell410111213141516[[#This Row],[Förbrukning]]+Tabell410111213141516[[#This Row],[Utjämning]])*Tabell410111213141516[[#This Row],[Kr/m3]]</f>
        <v>0</v>
      </c>
      <c r="H56" s="8">
        <f>Tabell6[[#This Row],[Summa fast avg/hushåll]]</f>
        <v>879.14738095238101</v>
      </c>
      <c r="I56" s="8">
        <f>Tabell6[[#This Row],[Medlems avg]]/14</f>
        <v>1000</v>
      </c>
      <c r="J56" s="8"/>
      <c r="K56" s="8">
        <f>IF(Tabell410111213141516[[#This Row],[Nuvarande]], SUM(Tabell410111213141516[[#This Row],[Summa förbrukning]:[Lån]])+Tabell410111213141516[[#This Row],[Korr]],0)</f>
        <v>0</v>
      </c>
      <c r="L56" s="2"/>
    </row>
    <row r="57" spans="1:12" x14ac:dyDescent="0.25">
      <c r="A57" s="4">
        <f>Tabell6[[#This Row],[Avläsnings datum]]</f>
        <v>46873</v>
      </c>
      <c r="C57">
        <f t="shared" si="5"/>
        <v>0</v>
      </c>
      <c r="D57">
        <f t="shared" si="6"/>
        <v>0</v>
      </c>
      <c r="E57" s="3">
        <f>Tabell6[[#This Row],[Att fördela]]</f>
        <v>0</v>
      </c>
      <c r="F57">
        <f>Tabell6[[#This Row],[Pris/m3 ink.moms]]</f>
        <v>24</v>
      </c>
      <c r="G57" s="2">
        <f>(Tabell410111213141516[[#This Row],[Förbrukning]]+Tabell410111213141516[[#This Row],[Utjämning]])*Tabell410111213141516[[#This Row],[Kr/m3]]</f>
        <v>0</v>
      </c>
      <c r="H57" s="8">
        <f>Tabell6[[#This Row],[Summa fast avg/hushåll]]</f>
        <v>879.14738095238101</v>
      </c>
      <c r="I57" s="8">
        <f>Tabell6[[#This Row],[Medlems avg]]/14</f>
        <v>1000</v>
      </c>
      <c r="J57" s="8"/>
      <c r="K57" s="8">
        <f>IF(Tabell410111213141516[[#This Row],[Nuvarande]], SUM(Tabell410111213141516[[#This Row],[Summa förbrukning]:[Lån]])+Tabell410111213141516[[#This Row],[Korr]],0)</f>
        <v>0</v>
      </c>
      <c r="L57" s="2"/>
    </row>
    <row r="58" spans="1:12" x14ac:dyDescent="0.25">
      <c r="A58" s="4">
        <f>Tabell6[[#This Row],[Avläsnings datum]]</f>
        <v>46996</v>
      </c>
      <c r="C58">
        <f t="shared" si="5"/>
        <v>0</v>
      </c>
      <c r="D58">
        <f t="shared" si="6"/>
        <v>0</v>
      </c>
      <c r="E58" s="3">
        <f>Tabell6[[#This Row],[Att fördela]]</f>
        <v>0</v>
      </c>
      <c r="F58">
        <f>Tabell6[[#This Row],[Pris/m3 ink.moms]]</f>
        <v>24</v>
      </c>
      <c r="G58" s="2">
        <f>(Tabell410111213141516[[#This Row],[Förbrukning]]+Tabell410111213141516[[#This Row],[Utjämning]])*Tabell410111213141516[[#This Row],[Kr/m3]]</f>
        <v>0</v>
      </c>
      <c r="H58" s="8">
        <f>Tabell6[[#This Row],[Summa fast avg/hushåll]]</f>
        <v>879.14738095238101</v>
      </c>
      <c r="I58" s="8">
        <f>Tabell6[[#This Row],[Medlems avg]]/14</f>
        <v>1000</v>
      </c>
      <c r="J58" s="8"/>
      <c r="K58" s="8">
        <f>IF(Tabell410111213141516[[#This Row],[Nuvarande]], SUM(Tabell410111213141516[[#This Row],[Summa förbrukning]:[Lån]])+Tabell410111213141516[[#This Row],[Korr]],0)</f>
        <v>0</v>
      </c>
      <c r="L58" s="2"/>
    </row>
    <row r="59" spans="1:12" x14ac:dyDescent="0.25">
      <c r="A59" s="4">
        <f>Tabell6[[#This Row],[Avläsnings datum]]</f>
        <v>47118</v>
      </c>
      <c r="C59">
        <f t="shared" si="5"/>
        <v>0</v>
      </c>
      <c r="D59">
        <f t="shared" si="6"/>
        <v>0</v>
      </c>
      <c r="E59" s="3">
        <f>Tabell6[[#This Row],[Att fördela]]</f>
        <v>0</v>
      </c>
      <c r="F59">
        <f>Tabell6[[#This Row],[Pris/m3 ink.moms]]</f>
        <v>24</v>
      </c>
      <c r="G59" s="2">
        <f>(Tabell410111213141516[[#This Row],[Förbrukning]]+Tabell410111213141516[[#This Row],[Utjämning]])*Tabell410111213141516[[#This Row],[Kr/m3]]</f>
        <v>0</v>
      </c>
      <c r="H59" s="8">
        <f>Tabell6[[#This Row],[Summa fast avg/hushåll]]</f>
        <v>879.14738095238101</v>
      </c>
      <c r="I59" s="8">
        <f>Tabell6[[#This Row],[Medlems avg]]/14</f>
        <v>1000</v>
      </c>
      <c r="J59" s="8"/>
      <c r="K59" s="8">
        <f>IF(Tabell410111213141516[[#This Row],[Nuvarande]], SUM(Tabell410111213141516[[#This Row],[Summa förbrukning]:[Lån]])+Tabell410111213141516[[#This Row],[Korr]],0)</f>
        <v>0</v>
      </c>
      <c r="L59" s="2"/>
    </row>
    <row r="60" spans="1:12" x14ac:dyDescent="0.25">
      <c r="A60" s="4">
        <f>Tabell6[[#This Row],[Avläsnings datum]]</f>
        <v>47238</v>
      </c>
      <c r="C60">
        <f t="shared" si="5"/>
        <v>0</v>
      </c>
      <c r="D60">
        <f t="shared" si="6"/>
        <v>0</v>
      </c>
      <c r="E60" s="3">
        <f>Tabell6[[#This Row],[Att fördela]]</f>
        <v>0</v>
      </c>
      <c r="F60">
        <f>Tabell6[[#This Row],[Pris/m3 ink.moms]]</f>
        <v>24</v>
      </c>
      <c r="G60" s="2">
        <f>(Tabell410111213141516[[#This Row],[Förbrukning]]+Tabell410111213141516[[#This Row],[Utjämning]])*Tabell410111213141516[[#This Row],[Kr/m3]]</f>
        <v>0</v>
      </c>
      <c r="H60" s="8">
        <f>Tabell6[[#This Row],[Summa fast avg/hushåll]]</f>
        <v>879.14738095238101</v>
      </c>
      <c r="I60" s="8">
        <f>Tabell6[[#This Row],[Medlems avg]]/14</f>
        <v>1000</v>
      </c>
      <c r="J60" s="8"/>
      <c r="K60" s="8">
        <f>IF(Tabell410111213141516[[#This Row],[Nuvarande]], SUM(Tabell410111213141516[[#This Row],[Summa förbrukning]:[Lån]])+Tabell410111213141516[[#This Row],[Korr]],0)</f>
        <v>0</v>
      </c>
      <c r="L60" s="2"/>
    </row>
  </sheetData>
  <pageMargins left="0.7" right="0.7" top="0.75" bottom="0.75" header="0.3" footer="0.3"/>
  <pageSetup paperSize="9" orientation="portrait" r:id="rId1"/>
  <ignoredErrors>
    <ignoredError sqref="A21:A36" calculatedColumn="1"/>
  </ignoredError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11"/>
  <dimension ref="A1:L60"/>
  <sheetViews>
    <sheetView workbookViewId="0">
      <selection activeCell="B49" sqref="B49"/>
    </sheetView>
  </sheetViews>
  <sheetFormatPr defaultRowHeight="15" x14ac:dyDescent="0.25"/>
  <cols>
    <col min="1" max="1" width="20.28515625" customWidth="1"/>
    <col min="2" max="2" width="13" bestFit="1" customWidth="1"/>
    <col min="3" max="3" width="13.85546875" bestFit="1" customWidth="1"/>
    <col min="4" max="5" width="15.140625" customWidth="1"/>
    <col min="6" max="6" width="11.140625" customWidth="1"/>
    <col min="7" max="7" width="21" bestFit="1" customWidth="1"/>
    <col min="8" max="8" width="10.28515625" bestFit="1" customWidth="1"/>
    <col min="9" max="9" width="15.140625" bestFit="1" customWidth="1"/>
    <col min="11" max="11" width="12" bestFit="1" customWidth="1"/>
  </cols>
  <sheetData>
    <row r="1" spans="1:12" x14ac:dyDescent="0.25">
      <c r="A1">
        <v>22</v>
      </c>
    </row>
    <row r="3" spans="1:12" x14ac:dyDescent="0.25">
      <c r="B3">
        <f>VLOOKUP('Huvud mätare'!$A1,$A5:$K87,2)</f>
        <v>198</v>
      </c>
      <c r="C3">
        <f>VLOOKUP('Huvud mätare'!$A1,$A5:$K87,3)</f>
        <v>166</v>
      </c>
      <c r="D3">
        <f>VLOOKUP('Huvud mätare'!$A1,$A5:$K87,4)</f>
        <v>32</v>
      </c>
      <c r="E3">
        <f>VLOOKUP('Huvud mätare'!$A1,$A5:$K87,5)</f>
        <v>-1.5</v>
      </c>
      <c r="F3">
        <f>VLOOKUP('Huvud mätare'!$A1,$A5:$K87,6)</f>
        <v>24</v>
      </c>
      <c r="G3">
        <f>VLOOKUP('Huvud mätare'!$A1,$A5:$K87,7)</f>
        <v>732</v>
      </c>
      <c r="H3">
        <f>VLOOKUP('Huvud mätare'!$A1,$A5:$K87,8)</f>
        <v>879.14738095238101</v>
      </c>
      <c r="I3">
        <f>VLOOKUP('Huvud mätare'!$A1,$A5:$K87,9)</f>
        <v>1000</v>
      </c>
      <c r="J3">
        <f>VLOOKUP('Huvud mätare'!$A1,$A5:$K87,10)</f>
        <v>0</v>
      </c>
      <c r="K3">
        <f>VLOOKUP('Huvud mätare'!$A1,$A5:$K87,11)</f>
        <v>2611.1473809523809</v>
      </c>
      <c r="L3">
        <f>VLOOKUP('Huvud mätare'!$A1,$A5:$L87,12)</f>
        <v>0</v>
      </c>
    </row>
    <row r="4" spans="1:12" ht="15" customHeight="1" x14ac:dyDescent="0.25">
      <c r="A4" t="s">
        <v>12</v>
      </c>
      <c r="B4" s="1" t="s">
        <v>33</v>
      </c>
      <c r="C4" s="1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25</v>
      </c>
      <c r="I4" t="s">
        <v>30</v>
      </c>
      <c r="J4" t="s">
        <v>39</v>
      </c>
      <c r="K4" t="s">
        <v>40</v>
      </c>
      <c r="L4" t="s">
        <v>41</v>
      </c>
    </row>
    <row r="5" spans="1:12" x14ac:dyDescent="0.25">
      <c r="A5" s="4">
        <f>Tabell6[[#This Row],[Avläsnings datum]]</f>
        <v>40543</v>
      </c>
      <c r="B5">
        <v>5139</v>
      </c>
      <c r="C5">
        <v>5105</v>
      </c>
      <c r="D5">
        <f t="shared" ref="D5:D21" si="0">IF(B5-C5&lt;0,0,B5-C5)</f>
        <v>34</v>
      </c>
      <c r="E5" s="3">
        <f>Tabell6[[#This Row],[Att fördela]]</f>
        <v>0.15714285714286039</v>
      </c>
      <c r="F5">
        <f>Tabell6[[#This Row],[Pris/m3 ink.moms]]</f>
        <v>16.88</v>
      </c>
      <c r="G5" s="2">
        <f>(Tabell41011121314151617[[#This Row],[Förbrukning]]+Tabell41011121314151617[[#This Row],[Utjämning]])*Tabell41011121314151617[[#This Row],[Kr/m3]]</f>
        <v>576.57257142857145</v>
      </c>
      <c r="H5" s="8">
        <f>Tabell6[[#This Row],[Summa fast avg/hushåll]]</f>
        <v>378.07142857142856</v>
      </c>
      <c r="I5" s="2">
        <f>Tabell6[[#This Row],[Medlems avg]]/14</f>
        <v>0</v>
      </c>
      <c r="J5" s="8"/>
      <c r="K5" s="8">
        <f>IF(Tabell41011121314151617[[#This Row],[Nuvarande]], SUM(Tabell41011121314151617[[#This Row],[Summa förbrukning]:[Lån]])+Tabell41011121314151617[[#This Row],[Korr]],0)</f>
        <v>954.64400000000001</v>
      </c>
      <c r="L5" s="8"/>
    </row>
    <row r="6" spans="1:12" x14ac:dyDescent="0.25">
      <c r="A6" s="4">
        <f>Tabell6[[#This Row],[Avläsnings datum]]</f>
        <v>40664</v>
      </c>
      <c r="B6">
        <v>5168</v>
      </c>
      <c r="C6">
        <f t="shared" ref="C6:C21" si="1">B5</f>
        <v>5139</v>
      </c>
      <c r="D6">
        <f t="shared" si="0"/>
        <v>29</v>
      </c>
      <c r="E6" s="3">
        <f>Tabell6[[#This Row],[Att fördela]]</f>
        <v>2.8571428571418828E-2</v>
      </c>
      <c r="F6">
        <f>Tabell6[[#This Row],[Pris/m3 ink.moms]]</f>
        <v>16.88</v>
      </c>
      <c r="G6" s="2">
        <f>(Tabell41011121314151617[[#This Row],[Förbrukning]]+Tabell41011121314151617[[#This Row],[Utjämning]])*Tabell41011121314151617[[#This Row],[Kr/m3]]</f>
        <v>490.00228571428551</v>
      </c>
      <c r="H6" s="8">
        <f>Tabell6[[#This Row],[Summa fast avg/hushåll]]</f>
        <v>378.07142857142856</v>
      </c>
      <c r="I6" s="8">
        <f>Tabell6[[#This Row],[Medlems avg]]/14</f>
        <v>0</v>
      </c>
      <c r="J6" s="8"/>
      <c r="K6" s="8">
        <f>IF(Tabell41011121314151617[[#This Row],[Nuvarande]], SUM(Tabell41011121314151617[[#This Row],[Summa förbrukning]:[Lån]])+Tabell41011121314151617[[#This Row],[Korr]],0)</f>
        <v>868.073714285714</v>
      </c>
      <c r="L6" s="8"/>
    </row>
    <row r="7" spans="1:12" x14ac:dyDescent="0.25">
      <c r="A7" s="4">
        <f>Tabell6[[#This Row],[Avläsnings datum]]</f>
        <v>40786</v>
      </c>
      <c r="B7">
        <v>5191</v>
      </c>
      <c r="C7">
        <f t="shared" si="1"/>
        <v>5168</v>
      </c>
      <c r="D7">
        <f t="shared" si="0"/>
        <v>23</v>
      </c>
      <c r="E7" s="3">
        <f>Tabell6[[#This Row],[Att fördela]]</f>
        <v>-2.8571428571426947E-2</v>
      </c>
      <c r="F7">
        <f>Tabell6[[#This Row],[Pris/m3 ink.moms]]</f>
        <v>16.88</v>
      </c>
      <c r="G7" s="2">
        <f>(Tabell41011121314151617[[#This Row],[Förbrukning]]+Tabell41011121314151617[[#This Row],[Utjämning]])*Tabell41011121314151617[[#This Row],[Kr/m3]]</f>
        <v>387.75771428571426</v>
      </c>
      <c r="H7" s="8">
        <f>Tabell6[[#This Row],[Summa fast avg/hushåll]]</f>
        <v>378.07142857142856</v>
      </c>
      <c r="I7" s="8">
        <f>Tabell6[[#This Row],[Medlems avg]]/14</f>
        <v>0</v>
      </c>
      <c r="J7" s="8"/>
      <c r="K7" s="8">
        <f>IF(Tabell41011121314151617[[#This Row],[Nuvarande]], SUM(Tabell41011121314151617[[#This Row],[Summa förbrukning]:[Lån]])+Tabell41011121314151617[[#This Row],[Korr]],0)</f>
        <v>765.82914285714287</v>
      </c>
      <c r="L7" s="8"/>
    </row>
    <row r="8" spans="1:12" x14ac:dyDescent="0.25">
      <c r="A8" s="4">
        <f>Tabell6[[#This Row],[Avläsnings datum]]</f>
        <v>40908</v>
      </c>
      <c r="B8">
        <v>5222</v>
      </c>
      <c r="C8">
        <f t="shared" si="1"/>
        <v>5191</v>
      </c>
      <c r="D8">
        <f t="shared" si="0"/>
        <v>31</v>
      </c>
      <c r="E8" s="3">
        <f>Tabell6[[#This Row],[Att fördela]]</f>
        <v>-0.22857142857142371</v>
      </c>
      <c r="F8">
        <f>Tabell6[[#This Row],[Pris/m3 ink.moms]]</f>
        <v>16.825000000000003</v>
      </c>
      <c r="G8" s="2">
        <f>(Tabell41011121314151617[[#This Row],[Förbrukning]]+Tabell41011121314151617[[#This Row],[Utjämning]])*Tabell41011121314151617[[#This Row],[Kr/m3]]</f>
        <v>517.72928571428588</v>
      </c>
      <c r="H8" s="8">
        <f>Tabell6[[#This Row],[Summa fast avg/hushåll]]</f>
        <v>378.07142857142856</v>
      </c>
      <c r="I8" s="8">
        <f>Tabell6[[#This Row],[Medlems avg]]/14</f>
        <v>1000</v>
      </c>
      <c r="J8" s="8"/>
      <c r="K8" s="8">
        <f>IF(Tabell41011121314151617[[#This Row],[Nuvarande]], SUM(Tabell41011121314151617[[#This Row],[Summa förbrukning]:[Lån]])+Tabell41011121314151617[[#This Row],[Korr]],0)</f>
        <v>1895.8007142857145</v>
      </c>
      <c r="L8" s="8"/>
    </row>
    <row r="9" spans="1:12" x14ac:dyDescent="0.25">
      <c r="A9" s="4">
        <f>Tabell6[[#This Row],[Avläsnings datum]]</f>
        <v>41029</v>
      </c>
      <c r="B9">
        <v>5256</v>
      </c>
      <c r="C9">
        <f t="shared" si="1"/>
        <v>5222</v>
      </c>
      <c r="D9">
        <f t="shared" si="0"/>
        <v>34</v>
      </c>
      <c r="E9" s="3">
        <f>Tabell6[[#This Row],[Att fördela]]</f>
        <v>-1</v>
      </c>
      <c r="F9">
        <f>Tabell6[[#This Row],[Pris/m3 ink.moms]]</f>
        <v>16.825000000000003</v>
      </c>
      <c r="G9" s="2">
        <f>(Tabell41011121314151617[[#This Row],[Förbrukning]]+Tabell41011121314151617[[#This Row],[Utjämning]])*Tabell41011121314151617[[#This Row],[Kr/m3]]</f>
        <v>555.22500000000014</v>
      </c>
      <c r="H9" s="8">
        <f>Tabell6[[#This Row],[Summa fast avg/hushåll]]</f>
        <v>378.07142857142856</v>
      </c>
      <c r="I9" s="8">
        <f>Tabell6[[#This Row],[Medlems avg]]/14</f>
        <v>1000</v>
      </c>
      <c r="J9" s="8"/>
      <c r="K9" s="8">
        <f>IF(Tabell41011121314151617[[#This Row],[Nuvarande]], SUM(Tabell41011121314151617[[#This Row],[Summa förbrukning]:[Lån]])+Tabell41011121314151617[[#This Row],[Korr]],0)</f>
        <v>1933.2964285714288</v>
      </c>
      <c r="L9" s="8"/>
    </row>
    <row r="10" spans="1:12" x14ac:dyDescent="0.25">
      <c r="A10" s="4">
        <f>Tabell6[[#This Row],[Avläsnings datum]]</f>
        <v>41152</v>
      </c>
      <c r="B10">
        <v>5284</v>
      </c>
      <c r="C10">
        <f t="shared" si="1"/>
        <v>5256</v>
      </c>
      <c r="D10">
        <f t="shared" si="0"/>
        <v>28</v>
      </c>
      <c r="E10" s="3">
        <f>Tabell6[[#This Row],[Att fördela]]</f>
        <v>-0.14285714285714285</v>
      </c>
      <c r="F10">
        <f>Tabell6[[#This Row],[Pris/m3 ink.moms]]</f>
        <v>16.825000000000003</v>
      </c>
      <c r="G10" s="2">
        <f>(Tabell41011121314151617[[#This Row],[Förbrukning]]+Tabell41011121314151617[[#This Row],[Utjämning]])*Tabell41011121314151617[[#This Row],[Kr/m3]]</f>
        <v>468.69642857142867</v>
      </c>
      <c r="H10" s="8">
        <f>Tabell6[[#This Row],[Summa fast avg/hushåll]]</f>
        <v>378.07142857142856</v>
      </c>
      <c r="I10" s="8">
        <f>Tabell6[[#This Row],[Medlems avg]]/14</f>
        <v>1000</v>
      </c>
      <c r="J10" s="8"/>
      <c r="K10" s="8">
        <f>IF(Tabell41011121314151617[[#This Row],[Nuvarande]], SUM(Tabell41011121314151617[[#This Row],[Summa förbrukning]:[Lån]])+Tabell41011121314151617[[#This Row],[Korr]],0)</f>
        <v>1846.7678571428573</v>
      </c>
      <c r="L10" s="8"/>
    </row>
    <row r="11" spans="1:12" x14ac:dyDescent="0.25">
      <c r="A11" s="4">
        <f>Tabell6[[#This Row],[Avläsnings datum]]</f>
        <v>41274</v>
      </c>
      <c r="B11">
        <v>5316</v>
      </c>
      <c r="C11">
        <f t="shared" si="1"/>
        <v>5284</v>
      </c>
      <c r="D11">
        <f t="shared" si="0"/>
        <v>32</v>
      </c>
      <c r="E11" s="3">
        <f>Tabell6[[#This Row],[Att fördela]]</f>
        <v>-0.9285714285714286</v>
      </c>
      <c r="F11">
        <f>Tabell6[[#This Row],[Pris/m3 ink.moms]]</f>
        <v>14.8125</v>
      </c>
      <c r="G11" s="2">
        <f>(Tabell41011121314151617[[#This Row],[Förbrukning]]+Tabell41011121314151617[[#This Row],[Utjämning]])*Tabell41011121314151617[[#This Row],[Kr/m3]]</f>
        <v>460.24553571428572</v>
      </c>
      <c r="H11" s="8">
        <f>Tabell6[[#This Row],[Summa fast avg/hushåll]]</f>
        <v>542.26190476190482</v>
      </c>
      <c r="I11" s="8">
        <f>Tabell6[[#This Row],[Medlems avg]]/14</f>
        <v>1000</v>
      </c>
      <c r="J11" s="8"/>
      <c r="K11" s="8">
        <f>IF(Tabell41011121314151617[[#This Row],[Nuvarande]], SUM(Tabell41011121314151617[[#This Row],[Summa förbrukning]:[Lån]])+Tabell41011121314151617[[#This Row],[Korr]],0)</f>
        <v>2002.5074404761906</v>
      </c>
      <c r="L11" s="8"/>
    </row>
    <row r="12" spans="1:12" x14ac:dyDescent="0.25">
      <c r="A12" s="4">
        <f>Tabell6[[#This Row],[Avläsnings datum]]</f>
        <v>41394</v>
      </c>
      <c r="B12">
        <v>5349</v>
      </c>
      <c r="C12">
        <f t="shared" si="1"/>
        <v>5316</v>
      </c>
      <c r="D12">
        <f t="shared" si="0"/>
        <v>33</v>
      </c>
      <c r="E12" s="3">
        <f>Tabell6[[#This Row],[Att fördela]]</f>
        <v>-1.5714285714285714</v>
      </c>
      <c r="F12">
        <f>Tabell6[[#This Row],[Pris/m3 ink.moms]]</f>
        <v>14.8125</v>
      </c>
      <c r="G12" s="2">
        <f>(Tabell41011121314151617[[#This Row],[Förbrukning]]+Tabell41011121314151617[[#This Row],[Utjämning]])*Tabell41011121314151617[[#This Row],[Kr/m3]]</f>
        <v>465.53571428571428</v>
      </c>
      <c r="H12" s="8">
        <f>Tabell6[[#This Row],[Summa fast avg/hushåll]]</f>
        <v>542.26190476190482</v>
      </c>
      <c r="I12" s="8">
        <f>Tabell6[[#This Row],[Medlems avg]]/14</f>
        <v>1000</v>
      </c>
      <c r="J12" s="8"/>
      <c r="K12" s="8">
        <f>IF(Tabell41011121314151617[[#This Row],[Nuvarande]], SUM(Tabell41011121314151617[[#This Row],[Summa förbrukning]:[Lån]])+Tabell41011121314151617[[#This Row],[Korr]],0)</f>
        <v>2007.797619047619</v>
      </c>
      <c r="L12" s="8"/>
    </row>
    <row r="13" spans="1:12" x14ac:dyDescent="0.25">
      <c r="A13" s="4">
        <f>Tabell6[[#This Row],[Avläsnings datum]]</f>
        <v>41517</v>
      </c>
      <c r="B13">
        <v>5376</v>
      </c>
      <c r="C13">
        <f t="shared" si="1"/>
        <v>5349</v>
      </c>
      <c r="D13">
        <f t="shared" si="0"/>
        <v>27</v>
      </c>
      <c r="E13" s="3">
        <f>Tabell6[[#This Row],[Att fördela]]</f>
        <v>-0.8571428571428571</v>
      </c>
      <c r="F13">
        <f>Tabell6[[#This Row],[Pris/m3 ink.moms]]</f>
        <v>14.8125</v>
      </c>
      <c r="G13" s="2">
        <f>(Tabell41011121314151617[[#This Row],[Förbrukning]]+Tabell41011121314151617[[#This Row],[Utjämning]])*Tabell41011121314151617[[#This Row],[Kr/m3]]</f>
        <v>387.24107142857144</v>
      </c>
      <c r="H13" s="8">
        <f>Tabell6[[#This Row],[Summa fast avg/hushåll]]</f>
        <v>542.26190476190482</v>
      </c>
      <c r="I13" s="8">
        <f>Tabell6[[#This Row],[Medlems avg]]/14</f>
        <v>1000</v>
      </c>
      <c r="J13" s="8"/>
      <c r="K13" s="8">
        <f>IF(Tabell41011121314151617[[#This Row],[Nuvarande]], SUM(Tabell41011121314151617[[#This Row],[Summa förbrukning]:[Lån]])+Tabell41011121314151617[[#This Row],[Korr]],0)</f>
        <v>1929.5029761904761</v>
      </c>
      <c r="L13" s="8"/>
    </row>
    <row r="14" spans="1:12" x14ac:dyDescent="0.25">
      <c r="A14" s="4">
        <f>Tabell6[[#This Row],[Avläsnings datum]]</f>
        <v>41639</v>
      </c>
      <c r="B14">
        <v>5407</v>
      </c>
      <c r="C14">
        <f t="shared" si="1"/>
        <v>5376</v>
      </c>
      <c r="D14">
        <f t="shared" si="0"/>
        <v>31</v>
      </c>
      <c r="E14" s="3">
        <f>Tabell6[[#This Row],[Att fördela]]</f>
        <v>-2.5</v>
      </c>
      <c r="F14">
        <f>Tabell6[[#This Row],[Pris/m3 ink.moms]]</f>
        <v>14.8125</v>
      </c>
      <c r="G14" s="2">
        <f>(Tabell41011121314151617[[#This Row],[Förbrukning]]+Tabell41011121314151617[[#This Row],[Utjämning]])*Tabell41011121314151617[[#This Row],[Kr/m3]]</f>
        <v>422.15625</v>
      </c>
      <c r="H14" s="8">
        <f>Tabell6[[#This Row],[Summa fast avg/hushåll]]</f>
        <v>547.85714285714289</v>
      </c>
      <c r="I14" s="8">
        <f>Tabell6[[#This Row],[Medlems avg]]/14</f>
        <v>1000</v>
      </c>
      <c r="J14" s="8"/>
      <c r="K14" s="8">
        <f>IF(Tabell41011121314151617[[#This Row],[Nuvarande]], SUM(Tabell41011121314151617[[#This Row],[Summa förbrukning]:[Lån]])+Tabell41011121314151617[[#This Row],[Korr]],0)</f>
        <v>1970.0133928571429</v>
      </c>
      <c r="L14" s="8"/>
    </row>
    <row r="15" spans="1:12" x14ac:dyDescent="0.25">
      <c r="A15" s="4">
        <f>Tabell6[[#This Row],[Avläsnings datum]]</f>
        <v>41759</v>
      </c>
      <c r="B15">
        <v>5435</v>
      </c>
      <c r="C15">
        <f t="shared" si="1"/>
        <v>5407</v>
      </c>
      <c r="D15">
        <f t="shared" si="0"/>
        <v>28</v>
      </c>
      <c r="E15" s="3">
        <f>Tabell6[[#This Row],[Att fördela]]</f>
        <v>-1.5714285714285714</v>
      </c>
      <c r="F15">
        <f>Tabell6[[#This Row],[Pris/m3 ink.moms]]</f>
        <v>14.9625</v>
      </c>
      <c r="G15" s="2">
        <f>(Tabell41011121314151617[[#This Row],[Förbrukning]]+Tabell41011121314151617[[#This Row],[Utjämning]])*Tabell41011121314151617[[#This Row],[Kr/m3]]</f>
        <v>395.4375</v>
      </c>
      <c r="H15" s="8">
        <f>Tabell6[[#This Row],[Summa fast avg/hushåll]]</f>
        <v>547.85714285714289</v>
      </c>
      <c r="I15" s="8">
        <f>Tabell6[[#This Row],[Medlems avg]]/14</f>
        <v>1000</v>
      </c>
      <c r="J15" s="8"/>
      <c r="K15" s="8">
        <f>IF(Tabell41011121314151617[[#This Row],[Nuvarande]], SUM(Tabell41011121314151617[[#This Row],[Summa förbrukning]:[Lån]])+Tabell41011121314151617[[#This Row],[Korr]],0)</f>
        <v>1865</v>
      </c>
      <c r="L15" s="8">
        <f t="shared" ref="L15" si="2">K13-K12</f>
        <v>-78.29464285714289</v>
      </c>
    </row>
    <row r="16" spans="1:12" x14ac:dyDescent="0.25">
      <c r="A16" s="4">
        <f>Tabell6[[#This Row],[Avläsnings datum]]</f>
        <v>41882</v>
      </c>
      <c r="B16">
        <v>5467</v>
      </c>
      <c r="C16">
        <f t="shared" si="1"/>
        <v>5435</v>
      </c>
      <c r="D16">
        <f t="shared" si="0"/>
        <v>32</v>
      </c>
      <c r="E16" s="3">
        <f>Tabell6[[#This Row],[Att fördela]]</f>
        <v>-1.7857142857142858</v>
      </c>
      <c r="F16">
        <f>Tabell6[[#This Row],[Pris/m3 ink.moms]]</f>
        <v>14.9625</v>
      </c>
      <c r="G16" s="2">
        <f>(Tabell41011121314151617[[#This Row],[Förbrukning]]+Tabell41011121314151617[[#This Row],[Utjämning]])*Tabell41011121314151617[[#This Row],[Kr/m3]]</f>
        <v>452.08125000000001</v>
      </c>
      <c r="H16" s="8">
        <f>Tabell6[[#This Row],[Summa fast avg/hushåll]]</f>
        <v>547.85714285714289</v>
      </c>
      <c r="I16" s="8">
        <f>Tabell6[[#This Row],[Medlems avg]]/14</f>
        <v>1000</v>
      </c>
      <c r="J16" s="8"/>
      <c r="K16" s="8">
        <f>IF(Tabell41011121314151617[[#This Row],[Nuvarande]], SUM(Tabell41011121314151617[[#This Row],[Summa förbrukning]:[Lån]])+Tabell41011121314151617[[#This Row],[Korr]],0)</f>
        <v>1999.9383928571428</v>
      </c>
      <c r="L16" s="8"/>
    </row>
    <row r="17" spans="1:12" x14ac:dyDescent="0.25">
      <c r="A17" s="4">
        <f>Tabell6[[#This Row],[Avläsnings datum]]</f>
        <v>42004</v>
      </c>
      <c r="B17">
        <v>5498</v>
      </c>
      <c r="C17">
        <f t="shared" si="1"/>
        <v>5467</v>
      </c>
      <c r="D17">
        <f t="shared" si="0"/>
        <v>31</v>
      </c>
      <c r="E17" s="3">
        <f>Tabell6[[#This Row],[Att fördela]]</f>
        <v>-2.0714285714285716</v>
      </c>
      <c r="F17">
        <f>Tabell6[[#This Row],[Pris/m3 ink.moms]]</f>
        <v>14.9625</v>
      </c>
      <c r="G17" s="2">
        <f>(Tabell41011121314151617[[#This Row],[Förbrukning]]+Tabell41011121314151617[[#This Row],[Utjämning]])*Tabell41011121314151617[[#This Row],[Kr/m3]]</f>
        <v>432.84375</v>
      </c>
      <c r="H17" s="8">
        <f>Tabell6[[#This Row],[Summa fast avg/hushåll]]</f>
        <v>547.85714285714289</v>
      </c>
      <c r="I17" s="8">
        <f>Tabell6[[#This Row],[Medlems avg]]/14</f>
        <v>1000</v>
      </c>
      <c r="J17" s="8"/>
      <c r="K17" s="8">
        <f>IF(Tabell41011121314151617[[#This Row],[Nuvarande]], SUM(Tabell41011121314151617[[#This Row],[Summa förbrukning]:[Lån]])+Tabell41011121314151617[[#This Row],[Korr]],0)</f>
        <v>1980.7008928571429</v>
      </c>
      <c r="L17" s="8"/>
    </row>
    <row r="18" spans="1:12" x14ac:dyDescent="0.25">
      <c r="A18" s="4">
        <f>Tabell6[[#This Row],[Avläsnings datum]]</f>
        <v>42124</v>
      </c>
      <c r="B18">
        <v>5530</v>
      </c>
      <c r="C18">
        <f t="shared" si="1"/>
        <v>5498</v>
      </c>
      <c r="D18">
        <f t="shared" si="0"/>
        <v>32</v>
      </c>
      <c r="E18" s="3">
        <f>Tabell6[[#This Row],[Att fördela]]</f>
        <v>-2.5</v>
      </c>
      <c r="F18">
        <f>Tabell6[[#This Row],[Pris/m3 ink.moms]]</f>
        <v>14.9625</v>
      </c>
      <c r="G18" s="2">
        <f>(Tabell41011121314151617[[#This Row],[Förbrukning]]+Tabell41011121314151617[[#This Row],[Utjämning]])*Tabell41011121314151617[[#This Row],[Kr/m3]]</f>
        <v>441.39375000000001</v>
      </c>
      <c r="H18" s="8">
        <f>Tabell6[[#This Row],[Summa fast avg/hushåll]]</f>
        <v>547.85714285714289</v>
      </c>
      <c r="I18" s="8">
        <f>Tabell6[[#This Row],[Medlems avg]]/14</f>
        <v>600</v>
      </c>
      <c r="J18" s="8"/>
      <c r="K18" s="8">
        <f>IF(Tabell41011121314151617[[#This Row],[Nuvarande]], SUM(Tabell41011121314151617[[#This Row],[Summa förbrukning]:[Lån]])+Tabell41011121314151617[[#This Row],[Korr]],0)</f>
        <v>1589.2508928571428</v>
      </c>
      <c r="L18" s="8"/>
    </row>
    <row r="19" spans="1:12" x14ac:dyDescent="0.25">
      <c r="A19" s="4">
        <f>Tabell6[[#This Row],[Avläsnings datum]]</f>
        <v>42247</v>
      </c>
      <c r="B19">
        <v>5558</v>
      </c>
      <c r="C19">
        <f t="shared" si="1"/>
        <v>5530</v>
      </c>
      <c r="D19">
        <f t="shared" si="0"/>
        <v>28</v>
      </c>
      <c r="E19" s="3">
        <f>Tabell6[[#This Row],[Att fördela]]</f>
        <v>-2.2857142857142856</v>
      </c>
      <c r="F19">
        <f>Tabell6[[#This Row],[Pris/m3 ink.moms]]</f>
        <v>14.9625</v>
      </c>
      <c r="G19" s="2">
        <f>(Tabell41011121314151617[[#This Row],[Förbrukning]]+Tabell41011121314151617[[#This Row],[Utjämning]])*Tabell41011121314151617[[#This Row],[Kr/m3]]</f>
        <v>384.75</v>
      </c>
      <c r="H19" s="8">
        <f>Tabell6[[#This Row],[Summa fast avg/hushåll]]</f>
        <v>547.85714285714289</v>
      </c>
      <c r="I19" s="8">
        <f>Tabell6[[#This Row],[Medlems avg]]/14</f>
        <v>600</v>
      </c>
      <c r="J19" s="8"/>
      <c r="K19" s="8">
        <f>IF(Tabell41011121314151617[[#This Row],[Nuvarande]], SUM(Tabell41011121314151617[[#This Row],[Summa förbrukning]:[Lån]])+Tabell41011121314151617[[#This Row],[Korr]],0)</f>
        <v>1532.6071428571429</v>
      </c>
      <c r="L19" s="8"/>
    </row>
    <row r="20" spans="1:12" x14ac:dyDescent="0.25">
      <c r="A20" s="4">
        <f>Tabell6[[#This Row],[Avläsnings datum]]</f>
        <v>42369</v>
      </c>
      <c r="B20">
        <v>5590</v>
      </c>
      <c r="C20">
        <f t="shared" si="1"/>
        <v>5558</v>
      </c>
      <c r="D20">
        <f t="shared" si="0"/>
        <v>32</v>
      </c>
      <c r="E20" s="3">
        <f>Tabell6[[#This Row],[Att fördela]]</f>
        <v>-2.8571428571428572</v>
      </c>
      <c r="F20">
        <f>Tabell6[[#This Row],[Pris/m3 ink.moms]]</f>
        <v>14.9625</v>
      </c>
      <c r="G20" s="2">
        <f>(Tabell41011121314151617[[#This Row],[Förbrukning]]+Tabell41011121314151617[[#This Row],[Utjämning]])*Tabell41011121314151617[[#This Row],[Kr/m3]]</f>
        <v>436.05</v>
      </c>
      <c r="H20" s="8">
        <f>Tabell6[[#This Row],[Summa fast avg/hushåll]]</f>
        <v>547.85714285714289</v>
      </c>
      <c r="I20" s="8">
        <f>Tabell6[[#This Row],[Medlems avg]]/14</f>
        <v>600</v>
      </c>
      <c r="J20" s="8"/>
      <c r="K20" s="8">
        <f>IF(Tabell41011121314151617[[#This Row],[Nuvarande]], SUM(Tabell41011121314151617[[#This Row],[Summa förbrukning]:[Lån]])+Tabell41011121314151617[[#This Row],[Korr]],0)</f>
        <v>1583.9071428571428</v>
      </c>
      <c r="L20" s="8"/>
    </row>
    <row r="21" spans="1:12" x14ac:dyDescent="0.25">
      <c r="A21" s="4">
        <v>42490</v>
      </c>
      <c r="B21">
        <v>5629</v>
      </c>
      <c r="C21">
        <f t="shared" si="1"/>
        <v>5590</v>
      </c>
      <c r="D21">
        <f t="shared" si="0"/>
        <v>39</v>
      </c>
      <c r="E21" s="3">
        <f>Tabell6[[#This Row],[Att fördela]]</f>
        <v>-3.5</v>
      </c>
      <c r="F21">
        <f>Tabell6[[#This Row],[Pris/m3 ink.moms]]</f>
        <v>14.9625</v>
      </c>
      <c r="G21" s="2">
        <f>(Tabell41011121314151617[[#This Row],[Förbrukning]]+Tabell41011121314151617[[#This Row],[Utjämning]])*Tabell41011121314151617[[#This Row],[Kr/m3]]</f>
        <v>531.16875000000005</v>
      </c>
      <c r="H21" s="8">
        <f>Tabell6[[#This Row],[Summa fast avg/hushåll]]</f>
        <v>547.85714285714289</v>
      </c>
      <c r="I21" s="8">
        <f>Tabell6[[#This Row],[Medlems avg]]/14</f>
        <v>600</v>
      </c>
      <c r="J21" s="8"/>
      <c r="K21" s="8">
        <f>IF(Tabell41011121314151617[[#This Row],[Nuvarande]], SUM(Tabell41011121314151617[[#This Row],[Summa förbrukning]:[Lån]])+Tabell41011121314151617[[#This Row],[Korr]],0)</f>
        <v>1622.382142857143</v>
      </c>
      <c r="L21" s="2">
        <f>K19-K18</f>
        <v>-56.643749999999955</v>
      </c>
    </row>
    <row r="22" spans="1:12" x14ac:dyDescent="0.25">
      <c r="A22" s="4">
        <v>42613</v>
      </c>
      <c r="B22">
        <v>5648</v>
      </c>
      <c r="C22">
        <f t="shared" ref="C22:C36" si="3">B21</f>
        <v>5629</v>
      </c>
      <c r="D22">
        <f t="shared" ref="D22:D36" si="4">IF(B22-C22&lt;0,0,B22-C22)</f>
        <v>19</v>
      </c>
      <c r="E22" s="3">
        <f>Tabell6[[#This Row],[Att fördela]]</f>
        <v>-1.0714285714285714</v>
      </c>
      <c r="F22">
        <f>Tabell6[[#This Row],[Pris/m3 ink.moms]]</f>
        <v>14.9625</v>
      </c>
      <c r="G22" s="2">
        <f>(Tabell41011121314151617[[#This Row],[Förbrukning]]+Tabell41011121314151617[[#This Row],[Utjämning]])*Tabell41011121314151617[[#This Row],[Kr/m3]]</f>
        <v>268.25624999999997</v>
      </c>
      <c r="H22" s="8">
        <f>Tabell6[[#This Row],[Summa fast avg/hushåll]]</f>
        <v>547.85714285714289</v>
      </c>
      <c r="I22" s="8">
        <f>Tabell6[[#This Row],[Medlems avg]]/14</f>
        <v>600</v>
      </c>
      <c r="J22" s="8"/>
      <c r="K22" s="8">
        <f>IF(Tabell41011121314151617[[#This Row],[Nuvarande]], SUM(Tabell41011121314151617[[#This Row],[Summa förbrukning]:[Lån]])+Tabell41011121314151617[[#This Row],[Korr]],0)</f>
        <v>1416.1133928571428</v>
      </c>
      <c r="L22" s="2"/>
    </row>
    <row r="23" spans="1:12" x14ac:dyDescent="0.25">
      <c r="A23" s="4">
        <v>42735</v>
      </c>
      <c r="B23">
        <v>5680</v>
      </c>
      <c r="C23">
        <f t="shared" si="3"/>
        <v>5648</v>
      </c>
      <c r="D23">
        <f t="shared" si="4"/>
        <v>32</v>
      </c>
      <c r="E23" s="3">
        <f>Tabell6[[#This Row],[Att fördela]]</f>
        <v>-3.7142857142857144</v>
      </c>
      <c r="F23">
        <f>Tabell6[[#This Row],[Pris/m3 ink.moms]]</f>
        <v>14.9625</v>
      </c>
      <c r="G23" s="2">
        <f>(Tabell41011121314151617[[#This Row],[Förbrukning]]+Tabell41011121314151617[[#This Row],[Utjämning]])*Tabell41011121314151617[[#This Row],[Kr/m3]]</f>
        <v>423.22500000000002</v>
      </c>
      <c r="H23" s="8">
        <f>Tabell6[[#This Row],[Summa fast avg/hushåll]]</f>
        <v>547.85714285714289</v>
      </c>
      <c r="I23" s="8">
        <f>Tabell6[[#This Row],[Medlems avg]]/14</f>
        <v>600</v>
      </c>
      <c r="J23" s="8"/>
      <c r="K23" s="8">
        <f>IF(Tabell41011121314151617[[#This Row],[Nuvarande]], SUM(Tabell41011121314151617[[#This Row],[Summa förbrukning]:[Lån]])+Tabell41011121314151617[[#This Row],[Korr]],0)</f>
        <v>1571.082142857143</v>
      </c>
      <c r="L23" s="2"/>
    </row>
    <row r="24" spans="1:12" x14ac:dyDescent="0.25">
      <c r="A24" s="4">
        <v>42855</v>
      </c>
      <c r="B24">
        <v>5708</v>
      </c>
      <c r="C24">
        <f t="shared" si="3"/>
        <v>5680</v>
      </c>
      <c r="D24">
        <f t="shared" si="4"/>
        <v>28</v>
      </c>
      <c r="E24" s="3">
        <f>Tabell6[[#This Row],[Att fördela]]</f>
        <v>-2</v>
      </c>
      <c r="F24">
        <f>Tabell6[[#This Row],[Pris/m3 ink.moms]]</f>
        <v>14.9625</v>
      </c>
      <c r="G24" s="2">
        <f>(Tabell41011121314151617[[#This Row],[Förbrukning]]+Tabell41011121314151617[[#This Row],[Utjämning]])*Tabell41011121314151617[[#This Row],[Kr/m3]]</f>
        <v>389.02500000000003</v>
      </c>
      <c r="H24" s="8">
        <f>Tabell6[[#This Row],[Summa fast avg/hushåll]]</f>
        <v>547.85714285714289</v>
      </c>
      <c r="I24" s="8">
        <f>Tabell6[[#This Row],[Medlems avg]]/14</f>
        <v>700</v>
      </c>
      <c r="J24" s="8"/>
      <c r="K24" s="8">
        <f>IF(Tabell41011121314151617[[#This Row],[Nuvarande]], SUM(Tabell41011121314151617[[#This Row],[Summa förbrukning]:[Lån]])+Tabell41011121314151617[[#This Row],[Korr]],0)</f>
        <v>1636.882142857143</v>
      </c>
      <c r="L24" s="2"/>
    </row>
    <row r="25" spans="1:12" x14ac:dyDescent="0.25">
      <c r="A25" s="4">
        <v>42978</v>
      </c>
      <c r="B25">
        <v>5738</v>
      </c>
      <c r="C25">
        <f t="shared" si="3"/>
        <v>5708</v>
      </c>
      <c r="D25">
        <f t="shared" si="4"/>
        <v>30</v>
      </c>
      <c r="E25" s="3">
        <f>Tabell6[[#This Row],[Att fördela]]</f>
        <v>-3.3571428571428572</v>
      </c>
      <c r="F25">
        <f>Tabell6[[#This Row],[Pris/m3 ink.moms]]</f>
        <v>14.9625</v>
      </c>
      <c r="G25" s="2">
        <f>(Tabell41011121314151617[[#This Row],[Förbrukning]]+Tabell41011121314151617[[#This Row],[Utjämning]])*Tabell41011121314151617[[#This Row],[Kr/m3]]</f>
        <v>398.64375000000001</v>
      </c>
      <c r="H25" s="8">
        <f>Tabell6[[#This Row],[Summa fast avg/hushåll]]</f>
        <v>547.85714285714289</v>
      </c>
      <c r="I25" s="8">
        <f>Tabell6[[#This Row],[Medlems avg]]/14</f>
        <v>700</v>
      </c>
      <c r="J25" s="8"/>
      <c r="K25" s="8">
        <f>IF(Tabell41011121314151617[[#This Row],[Nuvarande]], SUM(Tabell41011121314151617[[#This Row],[Summa förbrukning]:[Lån]])+Tabell41011121314151617[[#This Row],[Korr]],0)</f>
        <v>1646.5008928571428</v>
      </c>
      <c r="L25" s="2"/>
    </row>
    <row r="26" spans="1:12" x14ac:dyDescent="0.25">
      <c r="A26" s="4">
        <v>43100</v>
      </c>
      <c r="B26">
        <v>5769</v>
      </c>
      <c r="C26">
        <f t="shared" si="3"/>
        <v>5738</v>
      </c>
      <c r="D26">
        <f t="shared" si="4"/>
        <v>31</v>
      </c>
      <c r="E26" s="3">
        <f>Tabell6[[#This Row],[Att fördela]]</f>
        <v>-1.8571428571428572</v>
      </c>
      <c r="F26">
        <f>Tabell6[[#This Row],[Pris/m3 ink.moms]]</f>
        <v>14.9625</v>
      </c>
      <c r="G26" s="2">
        <f>(Tabell41011121314151617[[#This Row],[Förbrukning]]+Tabell41011121314151617[[#This Row],[Utjämning]])*Tabell41011121314151617[[#This Row],[Kr/m3]]</f>
        <v>436.05</v>
      </c>
      <c r="H26" s="8">
        <f>Tabell6[[#This Row],[Summa fast avg/hushåll]]</f>
        <v>547.85714285714289</v>
      </c>
      <c r="I26" s="8">
        <f>Tabell6[[#This Row],[Medlems avg]]/14</f>
        <v>700</v>
      </c>
      <c r="J26" s="8"/>
      <c r="K26" s="8">
        <f>IF(Tabell41011121314151617[[#This Row],[Nuvarande]], SUM(Tabell41011121314151617[[#This Row],[Summa förbrukning]:[Lån]])+Tabell41011121314151617[[#This Row],[Korr]],0)</f>
        <v>1683.9071428571428</v>
      </c>
      <c r="L26" s="2"/>
    </row>
    <row r="27" spans="1:12" x14ac:dyDescent="0.25">
      <c r="A27" s="4">
        <v>43220</v>
      </c>
      <c r="B27">
        <v>5796</v>
      </c>
      <c r="C27">
        <f t="shared" si="3"/>
        <v>5769</v>
      </c>
      <c r="D27">
        <f t="shared" si="4"/>
        <v>27</v>
      </c>
      <c r="E27" s="3">
        <f>Tabell6[[#This Row],[Att fördela]]</f>
        <v>-2.5714285714285716</v>
      </c>
      <c r="F27">
        <f>Tabell6[[#This Row],[Pris/m3 ink.moms]]</f>
        <v>14.9625</v>
      </c>
      <c r="G27" s="2">
        <f>(Tabell41011121314151617[[#This Row],[Förbrukning]]+Tabell41011121314151617[[#This Row],[Utjämning]])*Tabell41011121314151617[[#This Row],[Kr/m3]]</f>
        <v>365.51249999999999</v>
      </c>
      <c r="H27" s="8">
        <f>Tabell6[[#This Row],[Summa fast avg/hushåll]]</f>
        <v>547.85714285714289</v>
      </c>
      <c r="I27" s="8">
        <f>Tabell6[[#This Row],[Medlems avg]]/14</f>
        <v>1000</v>
      </c>
      <c r="J27" s="8"/>
      <c r="K27" s="8">
        <f>IF(Tabell41011121314151617[[#This Row],[Nuvarande]], SUM(Tabell41011121314151617[[#This Row],[Summa förbrukning]:[Lån]])+Tabell41011121314151617[[#This Row],[Korr]],0)</f>
        <v>1913.3696428571429</v>
      </c>
      <c r="L27" s="2"/>
    </row>
    <row r="28" spans="1:12" x14ac:dyDescent="0.25">
      <c r="A28" s="4">
        <v>43343</v>
      </c>
      <c r="B28">
        <v>5831</v>
      </c>
      <c r="C28">
        <f t="shared" si="3"/>
        <v>5796</v>
      </c>
      <c r="D28">
        <f t="shared" si="4"/>
        <v>35</v>
      </c>
      <c r="E28" s="3">
        <f>Tabell6[[#This Row],[Att fördela]]</f>
        <v>-2.2142857142857144</v>
      </c>
      <c r="F28">
        <f>Tabell6[[#This Row],[Pris/m3 ink.moms]]</f>
        <v>14.9625</v>
      </c>
      <c r="G28" s="2">
        <f>(Tabell41011121314151617[[#This Row],[Förbrukning]]+Tabell41011121314151617[[#This Row],[Utjämning]])*Tabell41011121314151617[[#This Row],[Kr/m3]]</f>
        <v>490.55624999999998</v>
      </c>
      <c r="H28" s="8">
        <f>Tabell6[[#This Row],[Summa fast avg/hushåll]]</f>
        <v>547.85714285714289</v>
      </c>
      <c r="I28" s="8">
        <f>Tabell6[[#This Row],[Medlems avg]]/14</f>
        <v>1000</v>
      </c>
      <c r="J28" s="8"/>
      <c r="K28" s="8">
        <f>IF(Tabell41011121314151617[[#This Row],[Nuvarande]], SUM(Tabell41011121314151617[[#This Row],[Summa förbrukning]:[Lån]])+Tabell41011121314151617[[#This Row],[Korr]],0)</f>
        <v>2038.4133928571428</v>
      </c>
      <c r="L28" s="2"/>
    </row>
    <row r="29" spans="1:12" x14ac:dyDescent="0.25">
      <c r="A29" s="4">
        <v>43465</v>
      </c>
      <c r="B29">
        <v>5864</v>
      </c>
      <c r="C29">
        <f t="shared" si="3"/>
        <v>5831</v>
      </c>
      <c r="D29">
        <f t="shared" si="4"/>
        <v>33</v>
      </c>
      <c r="E29" s="3">
        <f>Tabell6[[#This Row],[Att fördela]]</f>
        <v>-1.5</v>
      </c>
      <c r="F29">
        <f>Tabell6[[#This Row],[Pris/m3 ink.moms]]</f>
        <v>15.780000000000001</v>
      </c>
      <c r="G29" s="2">
        <f>(Tabell41011121314151617[[#This Row],[Förbrukning]]+Tabell41011121314151617[[#This Row],[Utjämning]])*Tabell41011121314151617[[#This Row],[Kr/m3]]</f>
        <v>497.07000000000005</v>
      </c>
      <c r="H29" s="8">
        <f>Tabell6[[#This Row],[Summa fast avg/hushåll]]</f>
        <v>547.85714285714289</v>
      </c>
      <c r="I29" s="8">
        <f>Tabell6[[#This Row],[Medlems avg]]/14</f>
        <v>1000</v>
      </c>
      <c r="J29" s="8"/>
      <c r="K29" s="8">
        <f>IF(Tabell41011121314151617[[#This Row],[Nuvarande]], SUM(Tabell41011121314151617[[#This Row],[Summa förbrukning]:[Lån]])+Tabell41011121314151617[[#This Row],[Korr]],0)</f>
        <v>2044.9271428571428</v>
      </c>
      <c r="L29" s="2"/>
    </row>
    <row r="30" spans="1:12" x14ac:dyDescent="0.25">
      <c r="A30" s="4">
        <v>43585</v>
      </c>
      <c r="B30">
        <v>5894</v>
      </c>
      <c r="C30">
        <f t="shared" si="3"/>
        <v>5864</v>
      </c>
      <c r="D30">
        <f t="shared" si="4"/>
        <v>30</v>
      </c>
      <c r="E30" s="3">
        <f>Tabell6[[#This Row],[Att fördela]]</f>
        <v>-7.2857142857142856</v>
      </c>
      <c r="F30">
        <f>Tabell6[[#This Row],[Pris/m3 ink.moms]]</f>
        <v>15.780000000000001</v>
      </c>
      <c r="G30" s="2">
        <f>(Tabell41011121314151617[[#This Row],[Förbrukning]]+Tabell41011121314151617[[#This Row],[Utjämning]])*Tabell41011121314151617[[#This Row],[Kr/m3]]</f>
        <v>358.43142857142863</v>
      </c>
      <c r="H30" s="8">
        <f>Tabell6[[#This Row],[Summa fast avg/hushåll]]</f>
        <v>578.16714285714284</v>
      </c>
      <c r="I30" s="8">
        <f>Tabell6[[#This Row],[Medlems avg]]/14</f>
        <v>1000</v>
      </c>
      <c r="J30" s="8"/>
      <c r="K30" s="8">
        <f>IF(Tabell41011121314151617[[#This Row],[Nuvarande]], SUM(Tabell41011121314151617[[#This Row],[Summa förbrukning]:[Lån]])+Tabell41011121314151617[[#This Row],[Korr]],0)</f>
        <v>1936.5985714285714</v>
      </c>
      <c r="L30" s="2"/>
    </row>
    <row r="31" spans="1:12" x14ac:dyDescent="0.25">
      <c r="A31" s="4">
        <v>43708</v>
      </c>
      <c r="B31">
        <v>5923</v>
      </c>
      <c r="C31">
        <f t="shared" si="3"/>
        <v>5894</v>
      </c>
      <c r="D31">
        <f t="shared" si="4"/>
        <v>29</v>
      </c>
      <c r="E31" s="3">
        <f>Tabell6[[#This Row],[Att fördela]]</f>
        <v>-3.4285714285714284</v>
      </c>
      <c r="F31">
        <f>Tabell6[[#This Row],[Pris/m3 ink.moms]]</f>
        <v>15.780000000000001</v>
      </c>
      <c r="G31" s="2">
        <f>(Tabell41011121314151617[[#This Row],[Förbrukning]]+Tabell41011121314151617[[#This Row],[Utjämning]])*Tabell41011121314151617[[#This Row],[Kr/m3]]</f>
        <v>403.51714285714291</v>
      </c>
      <c r="H31" s="8">
        <f>Tabell6[[#This Row],[Summa fast avg/hushåll]]</f>
        <v>578.16714285714284</v>
      </c>
      <c r="I31" s="8">
        <f>Tabell6[[#This Row],[Medlems avg]]/14</f>
        <v>1000</v>
      </c>
      <c r="J31" s="8"/>
      <c r="K31" s="8">
        <f>IF(Tabell41011121314151617[[#This Row],[Nuvarande]], SUM(Tabell41011121314151617[[#This Row],[Summa förbrukning]:[Lån]])+Tabell41011121314151617[[#This Row],[Korr]],0)</f>
        <v>1981.6842857142858</v>
      </c>
      <c r="L31" s="2"/>
    </row>
    <row r="32" spans="1:12" x14ac:dyDescent="0.25">
      <c r="A32" s="4">
        <v>43830</v>
      </c>
      <c r="B32">
        <v>5955</v>
      </c>
      <c r="C32">
        <f t="shared" si="3"/>
        <v>5923</v>
      </c>
      <c r="D32">
        <f t="shared" si="4"/>
        <v>32</v>
      </c>
      <c r="E32" s="3">
        <f>Tabell6[[#This Row],[Att fördela]]</f>
        <v>-3</v>
      </c>
      <c r="F32">
        <f>Tabell6[[#This Row],[Pris/m3 ink.moms]]</f>
        <v>15.780000000000001</v>
      </c>
      <c r="G32" s="2">
        <f>(Tabell41011121314151617[[#This Row],[Förbrukning]]+Tabell41011121314151617[[#This Row],[Utjämning]])*Tabell41011121314151617[[#This Row],[Kr/m3]]</f>
        <v>457.62</v>
      </c>
      <c r="H32" s="8">
        <f>Tabell6[[#This Row],[Summa fast avg/hushåll]]</f>
        <v>578.16714285714284</v>
      </c>
      <c r="I32" s="8">
        <f>Tabell6[[#This Row],[Medlems avg]]/14</f>
        <v>1000</v>
      </c>
      <c r="J32" s="8"/>
      <c r="K32" s="8">
        <f>IF(Tabell41011121314151617[[#This Row],[Nuvarande]], SUM(Tabell41011121314151617[[#This Row],[Summa förbrukning]:[Lån]])+Tabell41011121314151617[[#This Row],[Korr]],0)</f>
        <v>2035.787142857143</v>
      </c>
      <c r="L32" s="2"/>
    </row>
    <row r="33" spans="1:12" x14ac:dyDescent="0.25">
      <c r="A33" s="4">
        <v>43951</v>
      </c>
      <c r="B33">
        <v>5983</v>
      </c>
      <c r="C33">
        <f t="shared" si="3"/>
        <v>5955</v>
      </c>
      <c r="D33">
        <f t="shared" si="4"/>
        <v>28</v>
      </c>
      <c r="E33" s="3">
        <f>Tabell6[[#This Row],[Att fördela]]</f>
        <v>-1.9285714285714286</v>
      </c>
      <c r="F33">
        <f>Tabell6[[#This Row],[Pris/m3 ink.moms]]</f>
        <v>15.780000000000001</v>
      </c>
      <c r="G33" s="2">
        <f>(Tabell41011121314151617[[#This Row],[Förbrukning]]+Tabell41011121314151617[[#This Row],[Utjämning]])*Tabell41011121314151617[[#This Row],[Kr/m3]]</f>
        <v>411.4071428571429</v>
      </c>
      <c r="H33" s="8">
        <f>Tabell6[[#This Row],[Summa fast avg/hushåll]]</f>
        <v>578.16714285714284</v>
      </c>
      <c r="I33" s="8">
        <f>Tabell6[[#This Row],[Medlems avg]]/14</f>
        <v>1000</v>
      </c>
      <c r="J33" s="8"/>
      <c r="K33" s="8">
        <f>IF(Tabell41011121314151617[[#This Row],[Nuvarande]], SUM(Tabell41011121314151617[[#This Row],[Summa förbrukning]:[Lån]])+Tabell41011121314151617[[#This Row],[Korr]],0)</f>
        <v>1989.5742857142857</v>
      </c>
      <c r="L33" s="2"/>
    </row>
    <row r="34" spans="1:12" x14ac:dyDescent="0.25">
      <c r="A34" s="4">
        <v>44074</v>
      </c>
      <c r="B34">
        <v>6012</v>
      </c>
      <c r="C34">
        <f t="shared" si="3"/>
        <v>5983</v>
      </c>
      <c r="D34">
        <f t="shared" si="4"/>
        <v>29</v>
      </c>
      <c r="E34" s="3">
        <f>Tabell6[[#This Row],[Att fördela]]</f>
        <v>-1.8571428571428572</v>
      </c>
      <c r="F34">
        <f>Tabell6[[#This Row],[Pris/m3 ink.moms]]</f>
        <v>15.780000000000001</v>
      </c>
      <c r="G34" s="2">
        <f>(Tabell41011121314151617[[#This Row],[Förbrukning]]+Tabell41011121314151617[[#This Row],[Utjämning]])*Tabell41011121314151617[[#This Row],[Kr/m3]]</f>
        <v>428.31428571428575</v>
      </c>
      <c r="H34" s="8">
        <f>Tabell6[[#This Row],[Summa fast avg/hushåll]]</f>
        <v>578.16714285714284</v>
      </c>
      <c r="I34" s="8">
        <f>Tabell6[[#This Row],[Medlems avg]]/14</f>
        <v>1000</v>
      </c>
      <c r="J34" s="8"/>
      <c r="K34" s="8">
        <f>IF(Tabell41011121314151617[[#This Row],[Nuvarande]], SUM(Tabell41011121314151617[[#This Row],[Summa förbrukning]:[Lån]])+Tabell41011121314151617[[#This Row],[Korr]],0)</f>
        <v>2006.4814285714285</v>
      </c>
      <c r="L34" s="2"/>
    </row>
    <row r="35" spans="1:12" x14ac:dyDescent="0.25">
      <c r="A35" s="4">
        <v>44196</v>
      </c>
      <c r="B35">
        <v>6040</v>
      </c>
      <c r="C35">
        <f t="shared" si="3"/>
        <v>6012</v>
      </c>
      <c r="D35">
        <f t="shared" si="4"/>
        <v>28</v>
      </c>
      <c r="E35" s="3">
        <f>Tabell6[[#This Row],[Att fördela]]</f>
        <v>-2.2142857142857144</v>
      </c>
      <c r="F35">
        <f>Tabell6[[#This Row],[Pris/m3 ink.moms]]</f>
        <v>15.780000000000001</v>
      </c>
      <c r="G35" s="2">
        <f>(Tabell41011121314151617[[#This Row],[Förbrukning]]+Tabell41011121314151617[[#This Row],[Utjämning]])*Tabell41011121314151617[[#This Row],[Kr/m3]]</f>
        <v>406.89857142857142</v>
      </c>
      <c r="H35" s="8">
        <f>Tabell6[[#This Row],[Summa fast avg/hushåll]]</f>
        <v>578.16714285714284</v>
      </c>
      <c r="I35" s="8">
        <f>Tabell6[[#This Row],[Medlems avg]]/14</f>
        <v>1000</v>
      </c>
      <c r="J35" s="8"/>
      <c r="K35" s="8">
        <f>IF(Tabell41011121314151617[[#This Row],[Nuvarande]], SUM(Tabell41011121314151617[[#This Row],[Summa förbrukning]:[Lån]])+Tabell41011121314151617[[#This Row],[Korr]],0)</f>
        <v>1985.0657142857142</v>
      </c>
      <c r="L35" s="2"/>
    </row>
    <row r="36" spans="1:12" x14ac:dyDescent="0.25">
      <c r="A36" s="4">
        <v>44316</v>
      </c>
      <c r="B36">
        <v>6064</v>
      </c>
      <c r="C36">
        <f t="shared" si="3"/>
        <v>6040</v>
      </c>
      <c r="D36">
        <f t="shared" si="4"/>
        <v>24</v>
      </c>
      <c r="E36" s="3">
        <f>Tabell6[[#This Row],[Att fördela]]</f>
        <v>-1.0714285714285714</v>
      </c>
      <c r="F36">
        <f>Tabell6[[#This Row],[Pris/m3 ink.moms]]</f>
        <v>15.780000000000001</v>
      </c>
      <c r="G36" s="2">
        <f>(Tabell41011121314151617[[#This Row],[Förbrukning]]+Tabell41011121314151617[[#This Row],[Utjämning]])*Tabell41011121314151617[[#This Row],[Kr/m3]]</f>
        <v>361.81285714285713</v>
      </c>
      <c r="H36" s="8">
        <f>Tabell6[[#This Row],[Summa fast avg/hushåll]]</f>
        <v>578.16714285714284</v>
      </c>
      <c r="I36" s="8">
        <f>Tabell6[[#This Row],[Medlems avg]]/14</f>
        <v>1000</v>
      </c>
      <c r="J36" s="8"/>
      <c r="K36" s="8">
        <f>IF(Tabell41011121314151617[[#This Row],[Nuvarande]], SUM(Tabell41011121314151617[[#This Row],[Summa förbrukning]:[Lån]])+Tabell41011121314151617[[#This Row],[Korr]],0)</f>
        <v>1939.98</v>
      </c>
      <c r="L36" s="2"/>
    </row>
    <row r="37" spans="1:12" x14ac:dyDescent="0.25">
      <c r="A37" s="4">
        <f>Tabell6[[#This Row],[Avläsnings datum]]</f>
        <v>44439</v>
      </c>
      <c r="B37">
        <v>6094</v>
      </c>
      <c r="C37">
        <f t="shared" ref="C37:C60" si="5">B36</f>
        <v>6064</v>
      </c>
      <c r="D37">
        <f t="shared" ref="D37:D60" si="6">IF(B37-C37&lt;0,0,B37-C37)</f>
        <v>30</v>
      </c>
      <c r="E37" s="3">
        <f>Tabell6[[#This Row],[Att fördela]]</f>
        <v>-2.4285714285714284</v>
      </c>
      <c r="F37">
        <f>Tabell6[[#This Row],[Pris/m3 ink.moms]]</f>
        <v>15.780000000000001</v>
      </c>
      <c r="G37" s="2">
        <f>(Tabell41011121314151617[[#This Row],[Förbrukning]]+Tabell41011121314151617[[#This Row],[Utjämning]])*Tabell41011121314151617[[#This Row],[Kr/m3]]</f>
        <v>435.07714285714292</v>
      </c>
      <c r="H37" s="8">
        <f>Tabell6[[#This Row],[Summa fast avg/hushåll]]</f>
        <v>578.16714285714284</v>
      </c>
      <c r="I37" s="8">
        <f>Tabell6[[#This Row],[Medlems avg]]/14</f>
        <v>1000</v>
      </c>
      <c r="J37" s="8"/>
      <c r="K37" s="8">
        <f>IF(Tabell41011121314151617[[#This Row],[Nuvarande]], SUM(Tabell41011121314151617[[#This Row],[Summa förbrukning]:[Lån]])+Tabell41011121314151617[[#This Row],[Korr]],0)</f>
        <v>2013.2442857142858</v>
      </c>
      <c r="L37" s="2"/>
    </row>
    <row r="38" spans="1:12" x14ac:dyDescent="0.25">
      <c r="A38" s="4">
        <f>Tabell6[[#This Row],[Avläsnings datum]]</f>
        <v>44561</v>
      </c>
      <c r="B38">
        <v>6123</v>
      </c>
      <c r="C38">
        <f t="shared" si="5"/>
        <v>6094</v>
      </c>
      <c r="D38">
        <f t="shared" si="6"/>
        <v>29</v>
      </c>
      <c r="E38" s="3">
        <f>Tabell6[[#This Row],[Att fördela]]</f>
        <v>-1.3571428571428572</v>
      </c>
      <c r="F38">
        <f>Tabell6[[#This Row],[Pris/m3 ink.moms]]</f>
        <v>15.780000000000001</v>
      </c>
      <c r="G38" s="2">
        <f>(Tabell41011121314151617[[#This Row],[Förbrukning]]+Tabell41011121314151617[[#This Row],[Utjämning]])*Tabell41011121314151617[[#This Row],[Kr/m3]]</f>
        <v>436.20428571428573</v>
      </c>
      <c r="H38" s="8">
        <f>Tabell6[[#This Row],[Summa fast avg/hushåll]]</f>
        <v>578.16714285714284</v>
      </c>
      <c r="I38" s="8">
        <f>Tabell6[[#This Row],[Medlems avg]]/14</f>
        <v>1000</v>
      </c>
      <c r="J38" s="8"/>
      <c r="K38" s="8">
        <f>IF(Tabell41011121314151617[[#This Row],[Nuvarande]], SUM(Tabell41011121314151617[[#This Row],[Summa förbrukning]:[Lån]])+Tabell41011121314151617[[#This Row],[Korr]],0)</f>
        <v>2014.3714285714286</v>
      </c>
      <c r="L38" s="2"/>
    </row>
    <row r="39" spans="1:12" x14ac:dyDescent="0.25">
      <c r="A39" s="4">
        <f>Tabell6[[#This Row],[Avläsnings datum]]</f>
        <v>44681</v>
      </c>
      <c r="B39">
        <v>6158</v>
      </c>
      <c r="C39">
        <f t="shared" si="5"/>
        <v>6123</v>
      </c>
      <c r="D39">
        <f t="shared" si="6"/>
        <v>35</v>
      </c>
      <c r="E39" s="3">
        <f>Tabell6[[#This Row],[Att fördela]]</f>
        <v>-2.7142857142857144</v>
      </c>
      <c r="F39">
        <f>Tabell6[[#This Row],[Pris/m3 ink.moms]]</f>
        <v>15.780000000000001</v>
      </c>
      <c r="G39" s="2">
        <f>(Tabell41011121314151617[[#This Row],[Förbrukning]]+Tabell41011121314151617[[#This Row],[Utjämning]])*Tabell41011121314151617[[#This Row],[Kr/m3]]</f>
        <v>509.46857142857147</v>
      </c>
      <c r="H39" s="8">
        <f>Tabell6[[#This Row],[Summa fast avg/hushåll]]</f>
        <v>578.16714285714284</v>
      </c>
      <c r="I39" s="8">
        <f>Tabell6[[#This Row],[Medlems avg]]/14</f>
        <v>1000</v>
      </c>
      <c r="J39" s="8"/>
      <c r="K39" s="8">
        <f>IF(Tabell41011121314151617[[#This Row],[Nuvarande]], SUM(Tabell41011121314151617[[#This Row],[Summa förbrukning]:[Lån]])+Tabell41011121314151617[[#This Row],[Korr]],0)</f>
        <v>2087.6357142857141</v>
      </c>
      <c r="L39" s="2"/>
    </row>
    <row r="40" spans="1:12" x14ac:dyDescent="0.25">
      <c r="A40" s="4">
        <f>Tabell6[[#This Row],[Avläsnings datum]]</f>
        <v>44804</v>
      </c>
      <c r="B40">
        <v>6187</v>
      </c>
      <c r="C40">
        <f t="shared" si="5"/>
        <v>6158</v>
      </c>
      <c r="D40">
        <f t="shared" si="6"/>
        <v>29</v>
      </c>
      <c r="E40" s="3">
        <f>Tabell6[[#This Row],[Att fördela]]</f>
        <v>-7.1428571428571425E-2</v>
      </c>
      <c r="F40">
        <f>Tabell6[[#This Row],[Pris/m3 ink.moms]]</f>
        <v>15.780000000000001</v>
      </c>
      <c r="G40" s="2">
        <f>(Tabell41011121314151617[[#This Row],[Förbrukning]]+Tabell41011121314151617[[#This Row],[Utjämning]])*Tabell41011121314151617[[#This Row],[Kr/m3]]</f>
        <v>456.49285714285713</v>
      </c>
      <c r="H40" s="8">
        <f>Tabell6[[#This Row],[Summa fast avg/hushåll]]</f>
        <v>578.16714285714284</v>
      </c>
      <c r="I40" s="8">
        <f>Tabell6[[#This Row],[Medlems avg]]/14</f>
        <v>1000</v>
      </c>
      <c r="J40" s="8"/>
      <c r="K40" s="8">
        <f>IF(Tabell41011121314151617[[#This Row],[Nuvarande]], SUM(Tabell41011121314151617[[#This Row],[Summa förbrukning]:[Lån]])+Tabell41011121314151617[[#This Row],[Korr]],0)</f>
        <v>2034.6599999999999</v>
      </c>
      <c r="L40" s="2"/>
    </row>
    <row r="41" spans="1:12" x14ac:dyDescent="0.25">
      <c r="A41" s="4">
        <f>Tabell6[[#This Row],[Avläsnings datum]]</f>
        <v>44926</v>
      </c>
      <c r="B41">
        <v>6258</v>
      </c>
      <c r="C41">
        <f t="shared" si="5"/>
        <v>6187</v>
      </c>
      <c r="D41">
        <f t="shared" si="6"/>
        <v>71</v>
      </c>
      <c r="E41" s="3">
        <f>Tabell6[[#This Row],[Att fördela]]</f>
        <v>0</v>
      </c>
      <c r="F41">
        <f>Tabell6[[#This Row],[Pris/m3 ink.moms]]</f>
        <v>15.780000000000001</v>
      </c>
      <c r="G41" s="2">
        <f>(Tabell41011121314151617[[#This Row],[Förbrukning]]+Tabell41011121314151617[[#This Row],[Utjämning]])*Tabell41011121314151617[[#This Row],[Kr/m3]]</f>
        <v>1120.3800000000001</v>
      </c>
      <c r="H41" s="8">
        <f>Tabell6[[#This Row],[Summa fast avg/hushåll]]</f>
        <v>578.16714285714284</v>
      </c>
      <c r="I41" s="8">
        <f>Tabell6[[#This Row],[Medlems avg]]/14</f>
        <v>1000</v>
      </c>
      <c r="J41" s="8"/>
      <c r="K41" s="8">
        <f>IF(Tabell41011121314151617[[#This Row],[Nuvarande]], SUM(Tabell41011121314151617[[#This Row],[Summa förbrukning]:[Lån]])+Tabell41011121314151617[[#This Row],[Korr]],0)</f>
        <v>2698.5471428571427</v>
      </c>
      <c r="L41" s="2"/>
    </row>
    <row r="42" spans="1:12" x14ac:dyDescent="0.25">
      <c r="A42" s="4">
        <f>Tabell6[[#This Row],[Avläsnings datum]]</f>
        <v>45046</v>
      </c>
      <c r="B42">
        <v>22</v>
      </c>
      <c r="C42">
        <v>-8</v>
      </c>
      <c r="D42">
        <f t="shared" si="6"/>
        <v>30</v>
      </c>
      <c r="E42" s="3">
        <f>Tabell6[[#This Row],[Att fördela]]</f>
        <v>0.14285714285714285</v>
      </c>
      <c r="F42">
        <f>Tabell6[[#This Row],[Pris/m3 ink.moms]]</f>
        <v>17.829999999999998</v>
      </c>
      <c r="G42" s="2">
        <f>(Tabell41011121314151617[[#This Row],[Förbrukning]]+Tabell41011121314151617[[#This Row],[Utjämning]])*Tabell41011121314151617[[#This Row],[Kr/m3]]</f>
        <v>537.44714285714281</v>
      </c>
      <c r="H42" s="8">
        <f>Tabell6[[#This Row],[Summa fast avg/hushåll]]</f>
        <v>652.99952380952379</v>
      </c>
      <c r="I42" s="8">
        <f>Tabell6[[#This Row],[Medlems avg]]/14</f>
        <v>1000</v>
      </c>
      <c r="J42" s="8"/>
      <c r="K42" s="8">
        <f>IF(Tabell41011121314151617[[#This Row],[Nuvarande]], SUM(Tabell41011121314151617[[#This Row],[Summa förbrukning]:[Lån]])+Tabell41011121314151617[[#This Row],[Korr]],0)</f>
        <v>2190.4466666666667</v>
      </c>
      <c r="L42" s="2"/>
    </row>
    <row r="43" spans="1:12" x14ac:dyDescent="0.25">
      <c r="A43" s="4">
        <f>Tabell6[[#This Row],[Avläsnings datum]]</f>
        <v>45169</v>
      </c>
      <c r="B43">
        <v>52</v>
      </c>
      <c r="C43">
        <f t="shared" si="5"/>
        <v>22</v>
      </c>
      <c r="D43">
        <f t="shared" si="6"/>
        <v>30</v>
      </c>
      <c r="E43" s="3">
        <f>Tabell6[[#This Row],[Att fördela]]</f>
        <v>-2.2142857142857144</v>
      </c>
      <c r="F43">
        <f>Tabell6[[#This Row],[Pris/m3 ink.moms]]</f>
        <v>17.829999999999998</v>
      </c>
      <c r="G43" s="2">
        <f>(Tabell41011121314151617[[#This Row],[Förbrukning]]+Tabell41011121314151617[[#This Row],[Utjämning]])*Tabell41011121314151617[[#This Row],[Kr/m3]]</f>
        <v>495.41928571428565</v>
      </c>
      <c r="H43" s="8">
        <f>Tabell6[[#This Row],[Summa fast avg/hushåll]]</f>
        <v>652.99952380952379</v>
      </c>
      <c r="I43" s="8">
        <f>Tabell6[[#This Row],[Medlems avg]]/14</f>
        <v>1000</v>
      </c>
      <c r="J43" s="8"/>
      <c r="K43" s="8">
        <f>IF(Tabell41011121314151617[[#This Row],[Nuvarande]], SUM(Tabell41011121314151617[[#This Row],[Summa förbrukning]:[Lån]])+Tabell41011121314151617[[#This Row],[Korr]],0)</f>
        <v>2148.4188095238096</v>
      </c>
      <c r="L43" s="2"/>
    </row>
    <row r="44" spans="1:12" x14ac:dyDescent="0.25">
      <c r="A44" s="4">
        <f>Tabell6[[#This Row],[Avläsnings datum]]</f>
        <v>45291</v>
      </c>
      <c r="B44">
        <v>82</v>
      </c>
      <c r="C44">
        <f t="shared" si="5"/>
        <v>52</v>
      </c>
      <c r="D44">
        <f t="shared" si="6"/>
        <v>30</v>
      </c>
      <c r="E44" s="3">
        <f>Tabell6[[#This Row],[Att fördela]]</f>
        <v>-0.7857142857142857</v>
      </c>
      <c r="F44">
        <f>Tabell6[[#This Row],[Pris/m3 ink.moms]]</f>
        <v>17.829999999999998</v>
      </c>
      <c r="G44" s="2">
        <f>(Tabell41011121314151617[[#This Row],[Förbrukning]]+Tabell41011121314151617[[#This Row],[Utjämning]])*Tabell41011121314151617[[#This Row],[Kr/m3]]</f>
        <v>520.89071428571424</v>
      </c>
      <c r="H44" s="8">
        <f>Tabell6[[#This Row],[Summa fast avg/hushåll]]</f>
        <v>652.99952380952379</v>
      </c>
      <c r="I44" s="8">
        <f>Tabell6[[#This Row],[Medlems avg]]/14</f>
        <v>1000</v>
      </c>
      <c r="J44" s="8"/>
      <c r="K44" s="8">
        <f>IF(Tabell41011121314151617[[#This Row],[Nuvarande]], SUM(Tabell41011121314151617[[#This Row],[Summa förbrukning]:[Lån]])+Tabell41011121314151617[[#This Row],[Korr]],0)</f>
        <v>2173.8902380952381</v>
      </c>
      <c r="L44" s="2"/>
    </row>
    <row r="45" spans="1:12" x14ac:dyDescent="0.25">
      <c r="A45" s="4">
        <f>Tabell6[[#This Row],[Avläsnings datum]]</f>
        <v>45412</v>
      </c>
      <c r="B45">
        <v>109</v>
      </c>
      <c r="C45">
        <f t="shared" si="5"/>
        <v>82</v>
      </c>
      <c r="D45">
        <f t="shared" si="6"/>
        <v>27</v>
      </c>
      <c r="E45" s="3">
        <f>Tabell6[[#This Row],[Att fördela]]</f>
        <v>-7.1428571428571425E-2</v>
      </c>
      <c r="F45">
        <f>Tabell6[[#This Row],[Pris/m3 ink.moms]]</f>
        <v>17.829999999999998</v>
      </c>
      <c r="G45" s="2">
        <f>(Tabell41011121314151617[[#This Row],[Förbrukning]]+Tabell41011121314151617[[#This Row],[Utjämning]])*Tabell41011121314151617[[#This Row],[Kr/m3]]</f>
        <v>480.1364285714285</v>
      </c>
      <c r="H45" s="8">
        <f>Tabell6[[#This Row],[Summa fast avg/hushåll]]</f>
        <v>652.99952380952379</v>
      </c>
      <c r="I45" s="8">
        <f>Tabell6[[#This Row],[Medlems avg]]/14</f>
        <v>1000</v>
      </c>
      <c r="J45" s="8"/>
      <c r="K45" s="8">
        <f>IF(Tabell41011121314151617[[#This Row],[Nuvarande]], SUM(Tabell41011121314151617[[#This Row],[Summa förbrukning]:[Lån]])+Tabell41011121314151617[[#This Row],[Korr]],0)</f>
        <v>2133.1359523809524</v>
      </c>
      <c r="L45" s="2"/>
    </row>
    <row r="46" spans="1:12" x14ac:dyDescent="0.25">
      <c r="A46" s="4">
        <f>Tabell6[[#This Row],[Avläsnings datum]]</f>
        <v>45535</v>
      </c>
      <c r="B46">
        <v>135</v>
      </c>
      <c r="C46">
        <f t="shared" si="5"/>
        <v>109</v>
      </c>
      <c r="D46">
        <f t="shared" si="6"/>
        <v>26</v>
      </c>
      <c r="E46" s="3">
        <f>Tabell6[[#This Row],[Att fördela]]</f>
        <v>-1.3571428571428572</v>
      </c>
      <c r="F46">
        <f>Tabell6[[#This Row],[Pris/m3 ink.moms]]</f>
        <v>21</v>
      </c>
      <c r="G46" s="2">
        <f>(Tabell41011121314151617[[#This Row],[Förbrukning]]+Tabell41011121314151617[[#This Row],[Utjämning]])*Tabell41011121314151617[[#This Row],[Kr/m3]]</f>
        <v>517.5</v>
      </c>
      <c r="H46" s="8">
        <f>Tabell6[[#This Row],[Summa fast avg/hushåll]]</f>
        <v>763.97428571428566</v>
      </c>
      <c r="I46" s="8">
        <f>Tabell6[[#This Row],[Medlems avg]]/14</f>
        <v>1000</v>
      </c>
      <c r="J46" s="8"/>
      <c r="K46" s="8">
        <f>IF(Tabell41011121314151617[[#This Row],[Nuvarande]], SUM(Tabell41011121314151617[[#This Row],[Summa förbrukning]:[Lån]])+Tabell41011121314151617[[#This Row],[Korr]],0)</f>
        <v>2281.4742857142855</v>
      </c>
      <c r="L46" s="2"/>
    </row>
    <row r="47" spans="1:12" x14ac:dyDescent="0.25">
      <c r="A47" s="4">
        <f>Tabell6[[#This Row],[Avläsnings datum]]</f>
        <v>45657</v>
      </c>
      <c r="B47">
        <v>166</v>
      </c>
      <c r="C47">
        <f t="shared" si="5"/>
        <v>135</v>
      </c>
      <c r="D47">
        <f t="shared" si="6"/>
        <v>31</v>
      </c>
      <c r="E47" s="3">
        <f>Tabell6[[#This Row],[Att fördela]]</f>
        <v>-1.7142857142857142</v>
      </c>
      <c r="F47">
        <f>Tabell6[[#This Row],[Pris/m3 ink.moms]]</f>
        <v>21</v>
      </c>
      <c r="G47" s="2">
        <f>(Tabell41011121314151617[[#This Row],[Förbrukning]]+Tabell41011121314151617[[#This Row],[Utjämning]])*Tabell41011121314151617[[#This Row],[Kr/m3]]</f>
        <v>615</v>
      </c>
      <c r="H47" s="8">
        <f>Tabell6[[#This Row],[Summa fast avg/hushåll]]</f>
        <v>763.97428571428566</v>
      </c>
      <c r="I47" s="8">
        <f>Tabell6[[#This Row],[Medlems avg]]/14</f>
        <v>1000</v>
      </c>
      <c r="J47" s="8"/>
      <c r="K47" s="8">
        <f>IF(Tabell41011121314151617[[#This Row],[Nuvarande]], SUM(Tabell41011121314151617[[#This Row],[Summa förbrukning]:[Lån]])+Tabell41011121314151617[[#This Row],[Korr]],0)</f>
        <v>2378.9742857142855</v>
      </c>
      <c r="L47" s="2"/>
    </row>
    <row r="48" spans="1:12" x14ac:dyDescent="0.25">
      <c r="A48" s="4">
        <f>Tabell6[[#This Row],[Avläsnings datum]]</f>
        <v>45777</v>
      </c>
      <c r="B48">
        <v>198</v>
      </c>
      <c r="C48">
        <f t="shared" si="5"/>
        <v>166</v>
      </c>
      <c r="D48">
        <f t="shared" si="6"/>
        <v>32</v>
      </c>
      <c r="E48" s="3">
        <f>Tabell6[[#This Row],[Att fördela]]</f>
        <v>-1.5</v>
      </c>
      <c r="F48">
        <f>Tabell6[[#This Row],[Pris/m3 ink.moms]]</f>
        <v>24</v>
      </c>
      <c r="G48" s="2">
        <f>(Tabell41011121314151617[[#This Row],[Förbrukning]]+Tabell41011121314151617[[#This Row],[Utjämning]])*Tabell41011121314151617[[#This Row],[Kr/m3]]</f>
        <v>732</v>
      </c>
      <c r="H48" s="8">
        <f>Tabell6[[#This Row],[Summa fast avg/hushåll]]</f>
        <v>879.14738095238101</v>
      </c>
      <c r="I48" s="8">
        <f>Tabell6[[#This Row],[Medlems avg]]/14</f>
        <v>1000</v>
      </c>
      <c r="J48" s="8"/>
      <c r="K48" s="8">
        <f>IF(Tabell41011121314151617[[#This Row],[Nuvarande]], SUM(Tabell41011121314151617[[#This Row],[Summa förbrukning]:[Lån]])+Tabell41011121314151617[[#This Row],[Korr]],0)</f>
        <v>2611.1473809523809</v>
      </c>
      <c r="L48" s="2"/>
    </row>
    <row r="49" spans="1:12" x14ac:dyDescent="0.25">
      <c r="A49" s="4">
        <f>Tabell6[[#This Row],[Avläsnings datum]]</f>
        <v>45900</v>
      </c>
      <c r="C49">
        <f t="shared" si="5"/>
        <v>198</v>
      </c>
      <c r="D49">
        <f t="shared" si="6"/>
        <v>0</v>
      </c>
      <c r="E49" s="3">
        <f>Tabell6[[#This Row],[Att fördela]]</f>
        <v>0</v>
      </c>
      <c r="F49">
        <f>Tabell6[[#This Row],[Pris/m3 ink.moms]]</f>
        <v>24</v>
      </c>
      <c r="G49" s="2">
        <f>(Tabell41011121314151617[[#This Row],[Förbrukning]]+Tabell41011121314151617[[#This Row],[Utjämning]])*Tabell41011121314151617[[#This Row],[Kr/m3]]</f>
        <v>0</v>
      </c>
      <c r="H49" s="8">
        <f>Tabell6[[#This Row],[Summa fast avg/hushåll]]</f>
        <v>879.14738095238101</v>
      </c>
      <c r="I49" s="8">
        <f>Tabell6[[#This Row],[Medlems avg]]/14</f>
        <v>1000</v>
      </c>
      <c r="J49" s="8"/>
      <c r="K49" s="8">
        <f>IF(Tabell41011121314151617[[#This Row],[Nuvarande]], SUM(Tabell41011121314151617[[#This Row],[Summa förbrukning]:[Lån]])+Tabell41011121314151617[[#This Row],[Korr]],0)</f>
        <v>0</v>
      </c>
      <c r="L49" s="2"/>
    </row>
    <row r="50" spans="1:12" x14ac:dyDescent="0.25">
      <c r="A50" s="4">
        <f>Tabell6[[#This Row],[Avläsnings datum]]</f>
        <v>46022</v>
      </c>
      <c r="C50">
        <f t="shared" si="5"/>
        <v>0</v>
      </c>
      <c r="D50">
        <f t="shared" si="6"/>
        <v>0</v>
      </c>
      <c r="E50" s="3">
        <f>Tabell6[[#This Row],[Att fördela]]</f>
        <v>0</v>
      </c>
      <c r="F50">
        <f>Tabell6[[#This Row],[Pris/m3 ink.moms]]</f>
        <v>24</v>
      </c>
      <c r="G50" s="2">
        <f>(Tabell41011121314151617[[#This Row],[Förbrukning]]+Tabell41011121314151617[[#This Row],[Utjämning]])*Tabell41011121314151617[[#This Row],[Kr/m3]]</f>
        <v>0</v>
      </c>
      <c r="H50" s="8">
        <f>Tabell6[[#This Row],[Summa fast avg/hushåll]]</f>
        <v>879.14738095238101</v>
      </c>
      <c r="I50" s="8">
        <f>Tabell6[[#This Row],[Medlems avg]]/14</f>
        <v>1000</v>
      </c>
      <c r="J50" s="8"/>
      <c r="K50" s="8">
        <f>IF(Tabell41011121314151617[[#This Row],[Nuvarande]], SUM(Tabell41011121314151617[[#This Row],[Summa förbrukning]:[Lån]])+Tabell41011121314151617[[#This Row],[Korr]],0)</f>
        <v>0</v>
      </c>
      <c r="L50" s="2"/>
    </row>
    <row r="51" spans="1:12" x14ac:dyDescent="0.25">
      <c r="A51" s="4">
        <f>Tabell6[[#This Row],[Avläsnings datum]]</f>
        <v>46142</v>
      </c>
      <c r="C51">
        <f t="shared" si="5"/>
        <v>0</v>
      </c>
      <c r="D51">
        <f t="shared" si="6"/>
        <v>0</v>
      </c>
      <c r="E51" s="3">
        <f>Tabell6[[#This Row],[Att fördela]]</f>
        <v>0</v>
      </c>
      <c r="F51">
        <f>Tabell6[[#This Row],[Pris/m3 ink.moms]]</f>
        <v>24</v>
      </c>
      <c r="G51" s="2">
        <f>(Tabell41011121314151617[[#This Row],[Förbrukning]]+Tabell41011121314151617[[#This Row],[Utjämning]])*Tabell41011121314151617[[#This Row],[Kr/m3]]</f>
        <v>0</v>
      </c>
      <c r="H51" s="8">
        <f>Tabell6[[#This Row],[Summa fast avg/hushåll]]</f>
        <v>879.14738095238101</v>
      </c>
      <c r="I51" s="8">
        <f>Tabell6[[#This Row],[Medlems avg]]/14</f>
        <v>1000</v>
      </c>
      <c r="J51" s="8"/>
      <c r="K51" s="8">
        <f>IF(Tabell41011121314151617[[#This Row],[Nuvarande]], SUM(Tabell41011121314151617[[#This Row],[Summa förbrukning]:[Lån]])+Tabell41011121314151617[[#This Row],[Korr]],0)</f>
        <v>0</v>
      </c>
      <c r="L51" s="2"/>
    </row>
    <row r="52" spans="1:12" x14ac:dyDescent="0.25">
      <c r="A52" s="4">
        <f>Tabell6[[#This Row],[Avläsnings datum]]</f>
        <v>46265</v>
      </c>
      <c r="C52">
        <f t="shared" si="5"/>
        <v>0</v>
      </c>
      <c r="D52">
        <f t="shared" si="6"/>
        <v>0</v>
      </c>
      <c r="E52" s="3">
        <f>Tabell6[[#This Row],[Att fördela]]</f>
        <v>0</v>
      </c>
      <c r="F52">
        <f>Tabell6[[#This Row],[Pris/m3 ink.moms]]</f>
        <v>24</v>
      </c>
      <c r="G52" s="2">
        <f>(Tabell41011121314151617[[#This Row],[Förbrukning]]+Tabell41011121314151617[[#This Row],[Utjämning]])*Tabell41011121314151617[[#This Row],[Kr/m3]]</f>
        <v>0</v>
      </c>
      <c r="H52" s="8">
        <f>Tabell6[[#This Row],[Summa fast avg/hushåll]]</f>
        <v>879.14738095238101</v>
      </c>
      <c r="I52" s="8">
        <f>Tabell6[[#This Row],[Medlems avg]]/14</f>
        <v>1000</v>
      </c>
      <c r="J52" s="8"/>
      <c r="K52" s="8">
        <f>IF(Tabell41011121314151617[[#This Row],[Nuvarande]], SUM(Tabell41011121314151617[[#This Row],[Summa förbrukning]:[Lån]])+Tabell41011121314151617[[#This Row],[Korr]],0)</f>
        <v>0</v>
      </c>
      <c r="L52" s="2"/>
    </row>
    <row r="53" spans="1:12" x14ac:dyDescent="0.25">
      <c r="A53" s="4">
        <f>Tabell6[[#This Row],[Avläsnings datum]]</f>
        <v>46387</v>
      </c>
      <c r="C53">
        <f t="shared" si="5"/>
        <v>0</v>
      </c>
      <c r="D53">
        <f t="shared" si="6"/>
        <v>0</v>
      </c>
      <c r="E53" s="3">
        <f>Tabell6[[#This Row],[Att fördela]]</f>
        <v>0</v>
      </c>
      <c r="F53">
        <f>Tabell6[[#This Row],[Pris/m3 ink.moms]]</f>
        <v>24</v>
      </c>
      <c r="G53" s="2">
        <f>(Tabell41011121314151617[[#This Row],[Förbrukning]]+Tabell41011121314151617[[#This Row],[Utjämning]])*Tabell41011121314151617[[#This Row],[Kr/m3]]</f>
        <v>0</v>
      </c>
      <c r="H53" s="8">
        <f>Tabell6[[#This Row],[Summa fast avg/hushåll]]</f>
        <v>879.14738095238101</v>
      </c>
      <c r="I53" s="8">
        <f>Tabell6[[#This Row],[Medlems avg]]/14</f>
        <v>1000</v>
      </c>
      <c r="J53" s="8"/>
      <c r="K53" s="8">
        <f>IF(Tabell41011121314151617[[#This Row],[Nuvarande]], SUM(Tabell41011121314151617[[#This Row],[Summa förbrukning]:[Lån]])+Tabell41011121314151617[[#This Row],[Korr]],0)</f>
        <v>0</v>
      </c>
      <c r="L53" s="2"/>
    </row>
    <row r="54" spans="1:12" x14ac:dyDescent="0.25">
      <c r="A54" s="4">
        <f>Tabell6[[#This Row],[Avläsnings datum]]</f>
        <v>46507</v>
      </c>
      <c r="C54">
        <f t="shared" si="5"/>
        <v>0</v>
      </c>
      <c r="D54">
        <f t="shared" si="6"/>
        <v>0</v>
      </c>
      <c r="E54" s="3">
        <f>Tabell6[[#This Row],[Att fördela]]</f>
        <v>0</v>
      </c>
      <c r="F54">
        <f>Tabell6[[#This Row],[Pris/m3 ink.moms]]</f>
        <v>24</v>
      </c>
      <c r="G54" s="2">
        <f>(Tabell41011121314151617[[#This Row],[Förbrukning]]+Tabell41011121314151617[[#This Row],[Utjämning]])*Tabell41011121314151617[[#This Row],[Kr/m3]]</f>
        <v>0</v>
      </c>
      <c r="H54" s="8">
        <f>Tabell6[[#This Row],[Summa fast avg/hushåll]]</f>
        <v>879.14738095238101</v>
      </c>
      <c r="I54" s="8">
        <f>Tabell6[[#This Row],[Medlems avg]]/14</f>
        <v>1000</v>
      </c>
      <c r="J54" s="8"/>
      <c r="K54" s="8">
        <f>IF(Tabell41011121314151617[[#This Row],[Nuvarande]], SUM(Tabell41011121314151617[[#This Row],[Summa förbrukning]:[Lån]])+Tabell41011121314151617[[#This Row],[Korr]],0)</f>
        <v>0</v>
      </c>
      <c r="L54" s="2"/>
    </row>
    <row r="55" spans="1:12" x14ac:dyDescent="0.25">
      <c r="A55" s="4">
        <f>Tabell6[[#This Row],[Avläsnings datum]]</f>
        <v>46630</v>
      </c>
      <c r="C55">
        <f t="shared" si="5"/>
        <v>0</v>
      </c>
      <c r="D55">
        <f t="shared" si="6"/>
        <v>0</v>
      </c>
      <c r="E55" s="3">
        <f>Tabell6[[#This Row],[Att fördela]]</f>
        <v>0</v>
      </c>
      <c r="F55">
        <f>Tabell6[[#This Row],[Pris/m3 ink.moms]]</f>
        <v>24</v>
      </c>
      <c r="G55" s="2">
        <f>(Tabell41011121314151617[[#This Row],[Förbrukning]]+Tabell41011121314151617[[#This Row],[Utjämning]])*Tabell41011121314151617[[#This Row],[Kr/m3]]</f>
        <v>0</v>
      </c>
      <c r="H55" s="8">
        <f>Tabell6[[#This Row],[Summa fast avg/hushåll]]</f>
        <v>879.14738095238101</v>
      </c>
      <c r="I55" s="8">
        <f>Tabell6[[#This Row],[Medlems avg]]/14</f>
        <v>1000</v>
      </c>
      <c r="J55" s="8"/>
      <c r="K55" s="8">
        <f>IF(Tabell41011121314151617[[#This Row],[Nuvarande]], SUM(Tabell41011121314151617[[#This Row],[Summa förbrukning]:[Lån]])+Tabell41011121314151617[[#This Row],[Korr]],0)</f>
        <v>0</v>
      </c>
      <c r="L55" s="2"/>
    </row>
    <row r="56" spans="1:12" x14ac:dyDescent="0.25">
      <c r="A56" s="4">
        <f>Tabell6[[#This Row],[Avläsnings datum]]</f>
        <v>46752</v>
      </c>
      <c r="C56">
        <f t="shared" si="5"/>
        <v>0</v>
      </c>
      <c r="D56">
        <f t="shared" si="6"/>
        <v>0</v>
      </c>
      <c r="E56" s="3">
        <f>Tabell6[[#This Row],[Att fördela]]</f>
        <v>0</v>
      </c>
      <c r="F56">
        <f>Tabell6[[#This Row],[Pris/m3 ink.moms]]</f>
        <v>24</v>
      </c>
      <c r="G56" s="2">
        <f>(Tabell41011121314151617[[#This Row],[Förbrukning]]+Tabell41011121314151617[[#This Row],[Utjämning]])*Tabell41011121314151617[[#This Row],[Kr/m3]]</f>
        <v>0</v>
      </c>
      <c r="H56" s="8">
        <f>Tabell6[[#This Row],[Summa fast avg/hushåll]]</f>
        <v>879.14738095238101</v>
      </c>
      <c r="I56" s="8">
        <f>Tabell6[[#This Row],[Medlems avg]]/14</f>
        <v>1000</v>
      </c>
      <c r="J56" s="8"/>
      <c r="K56" s="8">
        <f>IF(Tabell41011121314151617[[#This Row],[Nuvarande]], SUM(Tabell41011121314151617[[#This Row],[Summa förbrukning]:[Lån]])+Tabell41011121314151617[[#This Row],[Korr]],0)</f>
        <v>0</v>
      </c>
      <c r="L56" s="2"/>
    </row>
    <row r="57" spans="1:12" x14ac:dyDescent="0.25">
      <c r="A57" s="4">
        <f>Tabell6[[#This Row],[Avläsnings datum]]</f>
        <v>46873</v>
      </c>
      <c r="C57">
        <f t="shared" si="5"/>
        <v>0</v>
      </c>
      <c r="D57">
        <f t="shared" si="6"/>
        <v>0</v>
      </c>
      <c r="E57" s="3">
        <f>Tabell6[[#This Row],[Att fördela]]</f>
        <v>0</v>
      </c>
      <c r="F57">
        <f>Tabell6[[#This Row],[Pris/m3 ink.moms]]</f>
        <v>24</v>
      </c>
      <c r="G57" s="2">
        <f>(Tabell41011121314151617[[#This Row],[Förbrukning]]+Tabell41011121314151617[[#This Row],[Utjämning]])*Tabell41011121314151617[[#This Row],[Kr/m3]]</f>
        <v>0</v>
      </c>
      <c r="H57" s="8">
        <f>Tabell6[[#This Row],[Summa fast avg/hushåll]]</f>
        <v>879.14738095238101</v>
      </c>
      <c r="I57" s="8">
        <f>Tabell6[[#This Row],[Medlems avg]]/14</f>
        <v>1000</v>
      </c>
      <c r="J57" s="8"/>
      <c r="K57" s="8">
        <f>IF(Tabell41011121314151617[[#This Row],[Nuvarande]], SUM(Tabell41011121314151617[[#This Row],[Summa förbrukning]:[Lån]])+Tabell41011121314151617[[#This Row],[Korr]],0)</f>
        <v>0</v>
      </c>
      <c r="L57" s="2"/>
    </row>
    <row r="58" spans="1:12" x14ac:dyDescent="0.25">
      <c r="A58" s="4">
        <f>Tabell6[[#This Row],[Avläsnings datum]]</f>
        <v>46996</v>
      </c>
      <c r="C58">
        <f t="shared" si="5"/>
        <v>0</v>
      </c>
      <c r="D58">
        <f t="shared" si="6"/>
        <v>0</v>
      </c>
      <c r="E58" s="3">
        <f>Tabell6[[#This Row],[Att fördela]]</f>
        <v>0</v>
      </c>
      <c r="F58">
        <f>Tabell6[[#This Row],[Pris/m3 ink.moms]]</f>
        <v>24</v>
      </c>
      <c r="G58" s="2">
        <f>(Tabell41011121314151617[[#This Row],[Förbrukning]]+Tabell41011121314151617[[#This Row],[Utjämning]])*Tabell41011121314151617[[#This Row],[Kr/m3]]</f>
        <v>0</v>
      </c>
      <c r="H58" s="8">
        <f>Tabell6[[#This Row],[Summa fast avg/hushåll]]</f>
        <v>879.14738095238101</v>
      </c>
      <c r="I58" s="8">
        <f>Tabell6[[#This Row],[Medlems avg]]/14</f>
        <v>1000</v>
      </c>
      <c r="J58" s="8"/>
      <c r="K58" s="8">
        <f>IF(Tabell41011121314151617[[#This Row],[Nuvarande]], SUM(Tabell41011121314151617[[#This Row],[Summa förbrukning]:[Lån]])+Tabell41011121314151617[[#This Row],[Korr]],0)</f>
        <v>0</v>
      </c>
      <c r="L58" s="2"/>
    </row>
    <row r="59" spans="1:12" x14ac:dyDescent="0.25">
      <c r="A59" s="4">
        <f>Tabell6[[#This Row],[Avläsnings datum]]</f>
        <v>47118</v>
      </c>
      <c r="C59">
        <f t="shared" si="5"/>
        <v>0</v>
      </c>
      <c r="D59">
        <f t="shared" si="6"/>
        <v>0</v>
      </c>
      <c r="E59" s="3">
        <f>Tabell6[[#This Row],[Att fördela]]</f>
        <v>0</v>
      </c>
      <c r="F59">
        <f>Tabell6[[#This Row],[Pris/m3 ink.moms]]</f>
        <v>24</v>
      </c>
      <c r="G59" s="2">
        <f>(Tabell41011121314151617[[#This Row],[Förbrukning]]+Tabell41011121314151617[[#This Row],[Utjämning]])*Tabell41011121314151617[[#This Row],[Kr/m3]]</f>
        <v>0</v>
      </c>
      <c r="H59" s="8">
        <f>Tabell6[[#This Row],[Summa fast avg/hushåll]]</f>
        <v>879.14738095238101</v>
      </c>
      <c r="I59" s="8">
        <f>Tabell6[[#This Row],[Medlems avg]]/14</f>
        <v>1000</v>
      </c>
      <c r="J59" s="8"/>
      <c r="K59" s="8">
        <f>IF(Tabell41011121314151617[[#This Row],[Nuvarande]], SUM(Tabell41011121314151617[[#This Row],[Summa förbrukning]:[Lån]])+Tabell41011121314151617[[#This Row],[Korr]],0)</f>
        <v>0</v>
      </c>
      <c r="L59" s="2"/>
    </row>
    <row r="60" spans="1:12" x14ac:dyDescent="0.25">
      <c r="A60" s="4">
        <f>Tabell6[[#This Row],[Avläsnings datum]]</f>
        <v>47238</v>
      </c>
      <c r="C60">
        <f t="shared" si="5"/>
        <v>0</v>
      </c>
      <c r="D60">
        <f t="shared" si="6"/>
        <v>0</v>
      </c>
      <c r="E60" s="3">
        <f>Tabell6[[#This Row],[Att fördela]]</f>
        <v>0</v>
      </c>
      <c r="F60">
        <f>Tabell6[[#This Row],[Pris/m3 ink.moms]]</f>
        <v>24</v>
      </c>
      <c r="G60" s="2">
        <f>(Tabell41011121314151617[[#This Row],[Förbrukning]]+Tabell41011121314151617[[#This Row],[Utjämning]])*Tabell41011121314151617[[#This Row],[Kr/m3]]</f>
        <v>0</v>
      </c>
      <c r="H60" s="8">
        <f>Tabell6[[#This Row],[Summa fast avg/hushåll]]</f>
        <v>879.14738095238101</v>
      </c>
      <c r="I60" s="8">
        <f>Tabell6[[#This Row],[Medlems avg]]/14</f>
        <v>1000</v>
      </c>
      <c r="J60" s="8"/>
      <c r="K60" s="8">
        <f>IF(Tabell41011121314151617[[#This Row],[Nuvarande]], SUM(Tabell41011121314151617[[#This Row],[Summa förbrukning]:[Lån]])+Tabell41011121314151617[[#This Row],[Korr]],0)</f>
        <v>0</v>
      </c>
      <c r="L60" s="2"/>
    </row>
  </sheetData>
  <pageMargins left="0.7" right="0.7" top="0.75" bottom="0.75" header="0.3" footer="0.3"/>
  <pageSetup paperSize="9" orientation="portrait" r:id="rId1"/>
  <ignoredErrors>
    <ignoredError sqref="A21:A36" calculatedColumn="1"/>
  </ignoredErrors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12"/>
  <dimension ref="A1:L60"/>
  <sheetViews>
    <sheetView workbookViewId="0">
      <selection activeCell="B49" sqref="B49"/>
    </sheetView>
  </sheetViews>
  <sheetFormatPr defaultRowHeight="15" x14ac:dyDescent="0.25"/>
  <cols>
    <col min="1" max="1" width="20.28515625" customWidth="1"/>
    <col min="2" max="2" width="13" bestFit="1" customWidth="1"/>
    <col min="3" max="3" width="13.85546875" bestFit="1" customWidth="1"/>
    <col min="4" max="5" width="15.140625" customWidth="1"/>
    <col min="6" max="6" width="11.140625" customWidth="1"/>
    <col min="7" max="7" width="21" bestFit="1" customWidth="1"/>
    <col min="8" max="8" width="10.28515625" bestFit="1" customWidth="1"/>
    <col min="9" max="9" width="15.140625" bestFit="1" customWidth="1"/>
    <col min="11" max="11" width="12" bestFit="1" customWidth="1"/>
  </cols>
  <sheetData>
    <row r="1" spans="1:12" x14ac:dyDescent="0.25">
      <c r="A1">
        <v>24</v>
      </c>
      <c r="J1" s="6" t="s">
        <v>31</v>
      </c>
    </row>
    <row r="2" spans="1:12" x14ac:dyDescent="0.25">
      <c r="J2" s="5" t="s">
        <v>42</v>
      </c>
    </row>
    <row r="3" spans="1:12" x14ac:dyDescent="0.25">
      <c r="B3">
        <f>VLOOKUP('Huvud mätare'!$A1,$A5:$K87,2)</f>
        <v>1727</v>
      </c>
      <c r="C3">
        <f>VLOOKUP('Huvud mätare'!$A1,$A5:$K87,3)</f>
        <v>1695</v>
      </c>
      <c r="D3">
        <f>VLOOKUP('Huvud mätare'!$A1,$A5:$K87,4)</f>
        <v>32</v>
      </c>
      <c r="E3">
        <f>VLOOKUP('Huvud mätare'!$A1,$A5:$K87,5)</f>
        <v>-1.5</v>
      </c>
      <c r="F3">
        <f>VLOOKUP('Huvud mätare'!$A1,$A5:$K87,6)</f>
        <v>24</v>
      </c>
      <c r="G3">
        <f>VLOOKUP('Huvud mätare'!$A1,$A5:$K87,7)</f>
        <v>732</v>
      </c>
      <c r="H3">
        <f>VLOOKUP('Huvud mätare'!$A1,$A5:$K87,8)</f>
        <v>879.14738095238101</v>
      </c>
      <c r="I3">
        <f>VLOOKUP('Huvud mätare'!$A1,$A5:$K87,9)</f>
        <v>1000</v>
      </c>
      <c r="J3">
        <f>VLOOKUP('Huvud mätare'!$A1,$A5:$K87,10)</f>
        <v>0</v>
      </c>
      <c r="K3">
        <f>VLOOKUP('Huvud mätare'!$A1,$A5:$K87,11)</f>
        <v>2611.1473809523809</v>
      </c>
      <c r="L3">
        <f>VLOOKUP('Huvud mätare'!$A1,$A5:$L87,12)</f>
        <v>0</v>
      </c>
    </row>
    <row r="4" spans="1:12" ht="15" customHeight="1" x14ac:dyDescent="0.25">
      <c r="A4" t="s">
        <v>12</v>
      </c>
      <c r="B4" s="1" t="s">
        <v>33</v>
      </c>
      <c r="C4" s="1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25</v>
      </c>
      <c r="I4" t="s">
        <v>30</v>
      </c>
      <c r="J4" t="s">
        <v>39</v>
      </c>
      <c r="K4" t="s">
        <v>40</v>
      </c>
      <c r="L4" t="s">
        <v>41</v>
      </c>
    </row>
    <row r="5" spans="1:12" x14ac:dyDescent="0.25">
      <c r="A5" s="4">
        <f>Tabell6[[#This Row],[Avläsnings datum]]</f>
        <v>40543</v>
      </c>
      <c r="B5">
        <v>4971</v>
      </c>
      <c r="C5">
        <v>4920</v>
      </c>
      <c r="D5">
        <f t="shared" ref="D5:D21" si="0">IF(B5-C5&lt;0,0,B5-C5)</f>
        <v>51</v>
      </c>
      <c r="E5" s="3">
        <f>Tabell6[[#This Row],[Att fördela]]</f>
        <v>0.15714285714286039</v>
      </c>
      <c r="F5">
        <f>Tabell6[[#This Row],[Pris/m3 ink.moms]]</f>
        <v>16.88</v>
      </c>
      <c r="G5" s="2">
        <f>(Tabell4101112131415161718[[#This Row],[Förbrukning]]+Tabell4101112131415161718[[#This Row],[Utjämning]])*Tabell4101112131415161718[[#This Row],[Kr/m3]]</f>
        <v>863.53257142857137</v>
      </c>
      <c r="H5" s="8">
        <f>Tabell6[[#This Row],[Summa fast avg/hushåll]]</f>
        <v>378.07142857142856</v>
      </c>
      <c r="I5" s="2">
        <f>Tabell6[[#This Row],[Medlems avg]]/14</f>
        <v>0</v>
      </c>
      <c r="J5" s="8"/>
      <c r="K5" s="8">
        <f>IF(Tabell4101112131415161718[[#This Row],[Nuvarande]], SUM(Tabell4101112131415161718[[#This Row],[Summa förbrukning]:[Lån]])+Tabell4101112131415161718[[#This Row],[Korr]],0)</f>
        <v>1241.6039999999998</v>
      </c>
      <c r="L5" s="8"/>
    </row>
    <row r="6" spans="1:12" x14ac:dyDescent="0.25">
      <c r="A6" s="4">
        <f>Tabell6[[#This Row],[Avläsnings datum]]</f>
        <v>40664</v>
      </c>
      <c r="B6">
        <v>5006</v>
      </c>
      <c r="C6">
        <f t="shared" ref="C6:C21" si="1">B5</f>
        <v>4971</v>
      </c>
      <c r="D6">
        <f t="shared" si="0"/>
        <v>35</v>
      </c>
      <c r="E6" s="3">
        <f>Tabell6[[#This Row],[Att fördela]]</f>
        <v>2.8571428571418828E-2</v>
      </c>
      <c r="F6">
        <f>Tabell6[[#This Row],[Pris/m3 ink.moms]]</f>
        <v>16.88</v>
      </c>
      <c r="G6" s="2">
        <f>(Tabell4101112131415161718[[#This Row],[Förbrukning]]+Tabell4101112131415161718[[#This Row],[Utjämning]])*Tabell4101112131415161718[[#This Row],[Kr/m3]]</f>
        <v>591.28228571428554</v>
      </c>
      <c r="H6" s="8">
        <f>Tabell6[[#This Row],[Summa fast avg/hushåll]]</f>
        <v>378.07142857142856</v>
      </c>
      <c r="I6" s="8">
        <f>Tabell6[[#This Row],[Medlems avg]]/14</f>
        <v>0</v>
      </c>
      <c r="J6" s="8"/>
      <c r="K6" s="8">
        <f>IF(Tabell4101112131415161718[[#This Row],[Nuvarande]], SUM(Tabell4101112131415161718[[#This Row],[Summa förbrukning]:[Lån]])+Tabell4101112131415161718[[#This Row],[Korr]],0)</f>
        <v>969.35371428571409</v>
      </c>
      <c r="L6" s="8"/>
    </row>
    <row r="7" spans="1:12" x14ac:dyDescent="0.25">
      <c r="A7" s="4">
        <f>Tabell6[[#This Row],[Avläsnings datum]]</f>
        <v>40786</v>
      </c>
      <c r="B7">
        <v>5046</v>
      </c>
      <c r="C7">
        <f t="shared" si="1"/>
        <v>5006</v>
      </c>
      <c r="D7">
        <f t="shared" si="0"/>
        <v>40</v>
      </c>
      <c r="E7" s="3">
        <f>Tabell6[[#This Row],[Att fördela]]</f>
        <v>-2.8571428571426947E-2</v>
      </c>
      <c r="F7">
        <f>Tabell6[[#This Row],[Pris/m3 ink.moms]]</f>
        <v>16.88</v>
      </c>
      <c r="G7" s="2">
        <f>(Tabell4101112131415161718[[#This Row],[Förbrukning]]+Tabell4101112131415161718[[#This Row],[Utjämning]])*Tabell4101112131415161718[[#This Row],[Kr/m3]]</f>
        <v>674.71771428571435</v>
      </c>
      <c r="H7" s="8">
        <f>Tabell6[[#This Row],[Summa fast avg/hushåll]]</f>
        <v>378.07142857142856</v>
      </c>
      <c r="I7" s="8">
        <f>Tabell6[[#This Row],[Medlems avg]]/14</f>
        <v>0</v>
      </c>
      <c r="J7" s="8"/>
      <c r="K7" s="8">
        <f>IF(Tabell4101112131415161718[[#This Row],[Nuvarande]], SUM(Tabell4101112131415161718[[#This Row],[Summa förbrukning]:[Lån]])+Tabell4101112131415161718[[#This Row],[Korr]],0)</f>
        <v>1052.7891428571429</v>
      </c>
      <c r="L7" s="8"/>
    </row>
    <row r="8" spans="1:12" x14ac:dyDescent="0.25">
      <c r="A8" s="4">
        <f>Tabell6[[#This Row],[Avläsnings datum]]</f>
        <v>40908</v>
      </c>
      <c r="B8">
        <v>52</v>
      </c>
      <c r="C8">
        <v>0</v>
      </c>
      <c r="D8">
        <f t="shared" si="0"/>
        <v>52</v>
      </c>
      <c r="E8" s="3">
        <f>Tabell6[[#This Row],[Att fördela]]</f>
        <v>-0.22857142857142371</v>
      </c>
      <c r="F8">
        <f>Tabell6[[#This Row],[Pris/m3 ink.moms]]</f>
        <v>16.825000000000003</v>
      </c>
      <c r="G8" s="2">
        <f>(Tabell4101112131415161718[[#This Row],[Förbrukning]]+Tabell4101112131415161718[[#This Row],[Utjämning]])*Tabell4101112131415161718[[#This Row],[Kr/m3]]</f>
        <v>871.05428571428604</v>
      </c>
      <c r="H8" s="8">
        <f>Tabell6[[#This Row],[Summa fast avg/hushåll]]</f>
        <v>378.07142857142856</v>
      </c>
      <c r="I8" s="8">
        <f>Tabell6[[#This Row],[Medlems avg]]/14</f>
        <v>1000</v>
      </c>
      <c r="J8" s="8">
        <v>760</v>
      </c>
      <c r="K8" s="8">
        <f>IF(Tabell4101112131415161718[[#This Row],[Nuvarande]], SUM(Tabell4101112131415161718[[#This Row],[Summa förbrukning]:[Lån]])+Tabell4101112131415161718[[#This Row],[Korr]],0)</f>
        <v>3009.1257142857148</v>
      </c>
      <c r="L8" s="8"/>
    </row>
    <row r="9" spans="1:12" x14ac:dyDescent="0.25">
      <c r="A9" s="4">
        <f>Tabell6[[#This Row],[Avläsnings datum]]</f>
        <v>41029</v>
      </c>
      <c r="B9">
        <v>103</v>
      </c>
      <c r="C9">
        <f t="shared" si="1"/>
        <v>52</v>
      </c>
      <c r="D9">
        <f t="shared" si="0"/>
        <v>51</v>
      </c>
      <c r="E9" s="3">
        <f>Tabell6[[#This Row],[Att fördela]]</f>
        <v>-1</v>
      </c>
      <c r="F9">
        <f>Tabell6[[#This Row],[Pris/m3 ink.moms]]</f>
        <v>16.825000000000003</v>
      </c>
      <c r="G9" s="2">
        <f>(Tabell4101112131415161718[[#This Row],[Förbrukning]]+Tabell4101112131415161718[[#This Row],[Utjämning]])*Tabell4101112131415161718[[#This Row],[Kr/m3]]</f>
        <v>841.25000000000011</v>
      </c>
      <c r="H9" s="8">
        <f>Tabell6[[#This Row],[Summa fast avg/hushåll]]</f>
        <v>378.07142857142856</v>
      </c>
      <c r="I9" s="8">
        <f>Tabell6[[#This Row],[Medlems avg]]/14</f>
        <v>1000</v>
      </c>
      <c r="J9" s="8">
        <f>Lån!D10 +J8</f>
        <v>1506.2857142857142</v>
      </c>
      <c r="K9" s="8">
        <f>IF(Tabell4101112131415161718[[#This Row],[Nuvarande]], SUM(Tabell4101112131415161718[[#This Row],[Summa förbrukning]:[Lån]])+Tabell4101112131415161718[[#This Row],[Korr]],0)</f>
        <v>3725.6071428571427</v>
      </c>
      <c r="L9" s="8"/>
    </row>
    <row r="10" spans="1:12" x14ac:dyDescent="0.25">
      <c r="A10" s="4">
        <f>Tabell6[[#This Row],[Avläsnings datum]]</f>
        <v>41152</v>
      </c>
      <c r="B10">
        <v>152</v>
      </c>
      <c r="C10">
        <f t="shared" si="1"/>
        <v>103</v>
      </c>
      <c r="D10">
        <f t="shared" si="0"/>
        <v>49</v>
      </c>
      <c r="E10" s="3">
        <f>Tabell6[[#This Row],[Att fördela]]</f>
        <v>-0.14285714285714285</v>
      </c>
      <c r="F10">
        <f>Tabell6[[#This Row],[Pris/m3 ink.moms]]</f>
        <v>16.825000000000003</v>
      </c>
      <c r="G10" s="2">
        <f>(Tabell4101112131415161718[[#This Row],[Förbrukning]]+Tabell4101112131415161718[[#This Row],[Utjämning]])*Tabell4101112131415161718[[#This Row],[Kr/m3]]</f>
        <v>822.02142857142871</v>
      </c>
      <c r="H10" s="8">
        <f>Tabell6[[#This Row],[Summa fast avg/hushåll]]</f>
        <v>378.07142857142856</v>
      </c>
      <c r="I10" s="8">
        <f>Tabell6[[#This Row],[Medlems avg]]/14</f>
        <v>1000</v>
      </c>
      <c r="J10" s="8">
        <f>Lån!D14</f>
        <v>736.85714285714289</v>
      </c>
      <c r="K10" s="8">
        <f>IF(Tabell4101112131415161718[[#This Row],[Nuvarande]], SUM(Tabell4101112131415161718[[#This Row],[Summa förbrukning]:[Lån]])+Tabell4101112131415161718[[#This Row],[Korr]],0)</f>
        <v>2936.95</v>
      </c>
      <c r="L10" s="8"/>
    </row>
    <row r="11" spans="1:12" x14ac:dyDescent="0.25">
      <c r="A11" s="4">
        <f>Tabell6[[#This Row],[Avläsnings datum]]</f>
        <v>41274</v>
      </c>
      <c r="B11">
        <v>203</v>
      </c>
      <c r="C11">
        <f t="shared" si="1"/>
        <v>152</v>
      </c>
      <c r="D11">
        <f t="shared" si="0"/>
        <v>51</v>
      </c>
      <c r="E11" s="3">
        <f>Tabell6[[#This Row],[Att fördela]]</f>
        <v>-0.9285714285714286</v>
      </c>
      <c r="F11">
        <f>Tabell6[[#This Row],[Pris/m3 ink.moms]]</f>
        <v>14.8125</v>
      </c>
      <c r="G11" s="2">
        <f>(Tabell4101112131415161718[[#This Row],[Förbrukning]]+Tabell4101112131415161718[[#This Row],[Utjämning]])*Tabell4101112131415161718[[#This Row],[Kr/m3]]</f>
        <v>741.68303571428567</v>
      </c>
      <c r="H11" s="8">
        <f>Tabell6[[#This Row],[Summa fast avg/hushåll]]</f>
        <v>542.26190476190482</v>
      </c>
      <c r="I11" s="8">
        <f>Tabell6[[#This Row],[Medlems avg]]/14</f>
        <v>1000</v>
      </c>
      <c r="J11" s="8">
        <f>Lån!D18</f>
        <v>721.57142857142856</v>
      </c>
      <c r="K11" s="8">
        <f>IF(Tabell4101112131415161718[[#This Row],[Nuvarande]], SUM(Tabell4101112131415161718[[#This Row],[Summa förbrukning]:[Lån]])+Tabell4101112131415161718[[#This Row],[Korr]],0)</f>
        <v>3005.5163690476188</v>
      </c>
      <c r="L11" s="8"/>
    </row>
    <row r="12" spans="1:12" x14ac:dyDescent="0.25">
      <c r="A12" s="4">
        <f>Tabell6[[#This Row],[Avläsnings datum]]</f>
        <v>41394</v>
      </c>
      <c r="B12">
        <v>251</v>
      </c>
      <c r="C12">
        <f t="shared" si="1"/>
        <v>203</v>
      </c>
      <c r="D12">
        <f t="shared" si="0"/>
        <v>48</v>
      </c>
      <c r="E12" s="3">
        <f>Tabell6[[#This Row],[Att fördela]]</f>
        <v>-1.5714285714285714</v>
      </c>
      <c r="F12">
        <f>Tabell6[[#This Row],[Pris/m3 ink.moms]]</f>
        <v>14.8125</v>
      </c>
      <c r="G12" s="2">
        <f>(Tabell4101112131415161718[[#This Row],[Förbrukning]]+Tabell4101112131415161718[[#This Row],[Utjämning]])*Tabell4101112131415161718[[#This Row],[Kr/m3]]</f>
        <v>687.72321428571433</v>
      </c>
      <c r="H12" s="8">
        <f>Tabell6[[#This Row],[Summa fast avg/hushåll]]</f>
        <v>542.26190476190482</v>
      </c>
      <c r="I12" s="8">
        <f>Tabell6[[#This Row],[Medlems avg]]/14</f>
        <v>1000</v>
      </c>
      <c r="J12" s="8">
        <f>Lån!D22</f>
        <v>705.57142857142856</v>
      </c>
      <c r="K12" s="8">
        <f>IF(Tabell4101112131415161718[[#This Row],[Nuvarande]], SUM(Tabell4101112131415161718[[#This Row],[Summa förbrukning]:[Lån]])+Tabell4101112131415161718[[#This Row],[Korr]],0)</f>
        <v>2935.5565476190477</v>
      </c>
      <c r="L12" s="8"/>
    </row>
    <row r="13" spans="1:12" x14ac:dyDescent="0.25">
      <c r="A13" s="4">
        <f>Tabell6[[#This Row],[Avläsnings datum]]</f>
        <v>41517</v>
      </c>
      <c r="B13">
        <v>298</v>
      </c>
      <c r="C13">
        <f t="shared" si="1"/>
        <v>251</v>
      </c>
      <c r="D13">
        <f t="shared" si="0"/>
        <v>47</v>
      </c>
      <c r="E13" s="3">
        <f>Tabell6[[#This Row],[Att fördela]]</f>
        <v>-0.8571428571428571</v>
      </c>
      <c r="F13">
        <f>Tabell6[[#This Row],[Pris/m3 ink.moms]]</f>
        <v>14.8125</v>
      </c>
      <c r="G13" s="2">
        <f>(Tabell4101112131415161718[[#This Row],[Förbrukning]]+Tabell4101112131415161718[[#This Row],[Utjämning]])*Tabell4101112131415161718[[#This Row],[Kr/m3]]</f>
        <v>683.49107142857144</v>
      </c>
      <c r="H13" s="8">
        <f>Tabell6[[#This Row],[Summa fast avg/hushåll]]</f>
        <v>542.26190476190482</v>
      </c>
      <c r="I13" s="8">
        <f>Tabell6[[#This Row],[Medlems avg]]/14</f>
        <v>1000</v>
      </c>
      <c r="J13" s="8">
        <f>Lån!D26</f>
        <v>696.85714285714289</v>
      </c>
      <c r="K13" s="8">
        <f>IF(Tabell4101112131415161718[[#This Row],[Nuvarande]], SUM(Tabell4101112131415161718[[#This Row],[Summa förbrukning]:[Lån]])+Tabell4101112131415161718[[#This Row],[Korr]],0)</f>
        <v>2922.6101190476193</v>
      </c>
      <c r="L13" s="8"/>
    </row>
    <row r="14" spans="1:12" x14ac:dyDescent="0.25">
      <c r="A14" s="4">
        <f>Tabell6[[#This Row],[Avläsnings datum]]</f>
        <v>41639</v>
      </c>
      <c r="B14">
        <v>347</v>
      </c>
      <c r="C14">
        <f t="shared" si="1"/>
        <v>298</v>
      </c>
      <c r="D14">
        <f t="shared" si="0"/>
        <v>49</v>
      </c>
      <c r="E14" s="3">
        <f>Tabell6[[#This Row],[Att fördela]]</f>
        <v>-2.5</v>
      </c>
      <c r="F14">
        <f>Tabell6[[#This Row],[Pris/m3 ink.moms]]</f>
        <v>14.8125</v>
      </c>
      <c r="G14" s="2">
        <f>(Tabell4101112131415161718[[#This Row],[Förbrukning]]+Tabell4101112131415161718[[#This Row],[Utjämning]])*Tabell4101112131415161718[[#This Row],[Kr/m3]]</f>
        <v>688.78125</v>
      </c>
      <c r="H14" s="8">
        <f>Tabell6[[#This Row],[Summa fast avg/hushåll]]</f>
        <v>547.85714285714289</v>
      </c>
      <c r="I14" s="8">
        <f>Tabell6[[#This Row],[Medlems avg]]/14</f>
        <v>1000</v>
      </c>
      <c r="J14" s="8">
        <f>Lån!D30</f>
        <v>682.28571428571433</v>
      </c>
      <c r="K14" s="8">
        <f>IF(Tabell4101112131415161718[[#This Row],[Nuvarande]], SUM(Tabell4101112131415161718[[#This Row],[Summa förbrukning]:[Lån]])+Tabell4101112131415161718[[#This Row],[Korr]],0)</f>
        <v>2918.9241071428573</v>
      </c>
      <c r="L14" s="8"/>
    </row>
    <row r="15" spans="1:12" x14ac:dyDescent="0.25">
      <c r="A15" s="4">
        <f>Tabell6[[#This Row],[Avläsnings datum]]</f>
        <v>41759</v>
      </c>
      <c r="B15">
        <v>397</v>
      </c>
      <c r="C15">
        <f t="shared" si="1"/>
        <v>347</v>
      </c>
      <c r="D15">
        <f t="shared" si="0"/>
        <v>50</v>
      </c>
      <c r="E15" s="3">
        <f>Tabell6[[#This Row],[Att fördela]]</f>
        <v>-1.5714285714285714</v>
      </c>
      <c r="F15">
        <f>Tabell6[[#This Row],[Pris/m3 ink.moms]]</f>
        <v>14.9625</v>
      </c>
      <c r="G15" s="2">
        <f>(Tabell4101112131415161718[[#This Row],[Förbrukning]]+Tabell4101112131415161718[[#This Row],[Utjämning]])*Tabell4101112131415161718[[#This Row],[Kr/m3]]</f>
        <v>724.61250000000007</v>
      </c>
      <c r="H15" s="8">
        <f>Tabell6[[#This Row],[Summa fast avg/hushåll]]</f>
        <v>547.85714285714289</v>
      </c>
      <c r="I15" s="8">
        <f>Tabell6[[#This Row],[Medlems avg]]/14</f>
        <v>1000</v>
      </c>
      <c r="J15" s="8">
        <f>Lån!D34</f>
        <v>666.28571428571433</v>
      </c>
      <c r="K15" s="8">
        <f>IF(Tabell4101112131415161718[[#This Row],[Nuvarande]], SUM(Tabell4101112131415161718[[#This Row],[Summa förbrukning]:[Lån]])+Tabell4101112131415161718[[#This Row],[Korr]],0)</f>
        <v>2925.8089285714286</v>
      </c>
      <c r="L15" s="8">
        <f t="shared" ref="L15" si="2">K13-K12</f>
        <v>-12.946428571428442</v>
      </c>
    </row>
    <row r="16" spans="1:12" x14ac:dyDescent="0.25">
      <c r="A16" s="4">
        <f>Tabell6[[#This Row],[Avläsnings datum]]</f>
        <v>41882</v>
      </c>
      <c r="B16">
        <v>447</v>
      </c>
      <c r="C16">
        <f t="shared" si="1"/>
        <v>397</v>
      </c>
      <c r="D16">
        <f t="shared" si="0"/>
        <v>50</v>
      </c>
      <c r="E16" s="3">
        <f>Tabell6[[#This Row],[Att fördela]]</f>
        <v>-1.7857142857142858</v>
      </c>
      <c r="F16">
        <f>Tabell6[[#This Row],[Pris/m3 ink.moms]]</f>
        <v>14.9625</v>
      </c>
      <c r="G16" s="2">
        <f>(Tabell4101112131415161718[[#This Row],[Förbrukning]]+Tabell4101112131415161718[[#This Row],[Utjämning]])*Tabell4101112131415161718[[#This Row],[Kr/m3]]</f>
        <v>721.40625</v>
      </c>
      <c r="H16" s="8">
        <f>Tabell6[[#This Row],[Summa fast avg/hushåll]]</f>
        <v>547.85714285714289</v>
      </c>
      <c r="I16" s="8">
        <f>Tabell6[[#This Row],[Medlems avg]]/14</f>
        <v>1000</v>
      </c>
      <c r="J16" s="8">
        <v>657</v>
      </c>
      <c r="K16" s="8">
        <f>IF(Tabell4101112131415161718[[#This Row],[Nuvarande]], SUM(Tabell4101112131415161718[[#This Row],[Summa förbrukning]:[Lån]])+Tabell4101112131415161718[[#This Row],[Korr]],0)</f>
        <v>2926.2633928571431</v>
      </c>
      <c r="L16" s="8"/>
    </row>
    <row r="17" spans="1:12" x14ac:dyDescent="0.25">
      <c r="A17" s="4">
        <f>Tabell6[[#This Row],[Avläsnings datum]]</f>
        <v>42004</v>
      </c>
      <c r="B17">
        <v>495</v>
      </c>
      <c r="C17">
        <f t="shared" si="1"/>
        <v>447</v>
      </c>
      <c r="D17">
        <f t="shared" si="0"/>
        <v>48</v>
      </c>
      <c r="E17" s="3">
        <f>Tabell6[[#This Row],[Att fördela]]</f>
        <v>-2.0714285714285716</v>
      </c>
      <c r="F17">
        <f>Tabell6[[#This Row],[Pris/m3 ink.moms]]</f>
        <v>14.9625</v>
      </c>
      <c r="G17" s="2">
        <f>(Tabell4101112131415161718[[#This Row],[Förbrukning]]+Tabell4101112131415161718[[#This Row],[Utjämning]])*Tabell4101112131415161718[[#This Row],[Kr/m3]]</f>
        <v>687.20625000000007</v>
      </c>
      <c r="H17" s="8">
        <f>Tabell6[[#This Row],[Summa fast avg/hushåll]]</f>
        <v>547.85714285714289</v>
      </c>
      <c r="I17" s="8">
        <f>Tabell6[[#This Row],[Medlems avg]]/14</f>
        <v>1000</v>
      </c>
      <c r="J17" s="8">
        <v>642</v>
      </c>
      <c r="K17" s="8">
        <f>IF(Tabell4101112131415161718[[#This Row],[Nuvarande]], SUM(Tabell4101112131415161718[[#This Row],[Summa förbrukning]:[Lån]])+Tabell4101112131415161718[[#This Row],[Korr]],0)</f>
        <v>2877.0633928571428</v>
      </c>
      <c r="L17" s="8"/>
    </row>
    <row r="18" spans="1:12" x14ac:dyDescent="0.25">
      <c r="A18" s="4">
        <f>Tabell6[[#This Row],[Avläsnings datum]]</f>
        <v>42124</v>
      </c>
      <c r="B18">
        <v>541</v>
      </c>
      <c r="C18">
        <f t="shared" si="1"/>
        <v>495</v>
      </c>
      <c r="D18">
        <f t="shared" si="0"/>
        <v>46</v>
      </c>
      <c r="E18" s="3">
        <f>Tabell6[[#This Row],[Att fördela]]</f>
        <v>-2.5</v>
      </c>
      <c r="F18">
        <f>Tabell6[[#This Row],[Pris/m3 ink.moms]]</f>
        <v>14.9625</v>
      </c>
      <c r="G18" s="2">
        <f>(Tabell4101112131415161718[[#This Row],[Förbrukning]]+Tabell4101112131415161718[[#This Row],[Utjämning]])*Tabell4101112131415161718[[#This Row],[Kr/m3]]</f>
        <v>650.86874999999998</v>
      </c>
      <c r="H18" s="8">
        <f>Tabell6[[#This Row],[Summa fast avg/hushåll]]</f>
        <v>547.85714285714289</v>
      </c>
      <c r="I18" s="8">
        <f>Tabell6[[#This Row],[Medlems avg]]/14</f>
        <v>600</v>
      </c>
      <c r="J18" s="8">
        <f>Lån!D46</f>
        <v>627</v>
      </c>
      <c r="K18" s="8">
        <f>IF(Tabell4101112131415161718[[#This Row],[Nuvarande]], SUM(Tabell4101112131415161718[[#This Row],[Summa förbrukning]:[Lån]])+Tabell4101112131415161718[[#This Row],[Korr]],0)</f>
        <v>2425.7258928571428</v>
      </c>
      <c r="L18" s="8"/>
    </row>
    <row r="19" spans="1:12" x14ac:dyDescent="0.25">
      <c r="A19" s="4">
        <f>Tabell6[[#This Row],[Avläsnings datum]]</f>
        <v>42247</v>
      </c>
      <c r="B19">
        <v>585</v>
      </c>
      <c r="C19">
        <f t="shared" si="1"/>
        <v>541</v>
      </c>
      <c r="D19">
        <f t="shared" si="0"/>
        <v>44</v>
      </c>
      <c r="E19" s="3">
        <f>Tabell6[[#This Row],[Att fördela]]</f>
        <v>-2.2857142857142856</v>
      </c>
      <c r="F19">
        <f>Tabell6[[#This Row],[Pris/m3 ink.moms]]</f>
        <v>14.9625</v>
      </c>
      <c r="G19" s="2">
        <f>(Tabell4101112131415161718[[#This Row],[Förbrukning]]+Tabell4101112131415161718[[#This Row],[Utjämning]])*Tabell4101112131415161718[[#This Row],[Kr/m3]]</f>
        <v>624.15</v>
      </c>
      <c r="H19" s="8">
        <f>Tabell6[[#This Row],[Summa fast avg/hushåll]]</f>
        <v>547.85714285714289</v>
      </c>
      <c r="I19" s="8">
        <f>Tabell6[[#This Row],[Medlems avg]]/14</f>
        <v>600</v>
      </c>
      <c r="J19" s="2">
        <f>Lån!D50</f>
        <v>616.28571428571433</v>
      </c>
      <c r="K19" s="8">
        <f>IF(Tabell4101112131415161718[[#This Row],[Nuvarande]], SUM(Tabell4101112131415161718[[#This Row],[Summa förbrukning]:[Lån]])+Tabell4101112131415161718[[#This Row],[Korr]],0)</f>
        <v>2388.292857142857</v>
      </c>
      <c r="L19" s="8"/>
    </row>
    <row r="20" spans="1:12" x14ac:dyDescent="0.25">
      <c r="A20" s="4">
        <f>Tabell6[[#This Row],[Avläsnings datum]]</f>
        <v>42369</v>
      </c>
      <c r="B20">
        <v>628</v>
      </c>
      <c r="C20">
        <f t="shared" si="1"/>
        <v>585</v>
      </c>
      <c r="D20">
        <f t="shared" si="0"/>
        <v>43</v>
      </c>
      <c r="E20" s="3">
        <f>Tabell6[[#This Row],[Att fördela]]</f>
        <v>-2.8571428571428572</v>
      </c>
      <c r="F20">
        <f>Tabell6[[#This Row],[Pris/m3 ink.moms]]</f>
        <v>14.9625</v>
      </c>
      <c r="G20" s="2">
        <f>(Tabell4101112131415161718[[#This Row],[Förbrukning]]+Tabell4101112131415161718[[#This Row],[Utjämning]])*Tabell4101112131415161718[[#This Row],[Kr/m3]]</f>
        <v>600.63750000000005</v>
      </c>
      <c r="H20" s="8">
        <f>Tabell6[[#This Row],[Summa fast avg/hushåll]]</f>
        <v>547.85714285714289</v>
      </c>
      <c r="I20" s="8">
        <f>Tabell6[[#This Row],[Medlems avg]]/14</f>
        <v>600</v>
      </c>
      <c r="J20" s="26">
        <f>Lån!D54</f>
        <v>599.71428571428567</v>
      </c>
      <c r="K20" s="8">
        <f>IF(Tabell4101112131415161718[[#This Row],[Nuvarande]], SUM(Tabell4101112131415161718[[#This Row],[Summa förbrukning]:[Lån]])+Tabell4101112131415161718[[#This Row],[Korr]],0)</f>
        <v>2348.2089285714287</v>
      </c>
      <c r="L20" s="8"/>
    </row>
    <row r="21" spans="1:12" x14ac:dyDescent="0.25">
      <c r="A21" s="4">
        <v>42490</v>
      </c>
      <c r="B21">
        <v>684</v>
      </c>
      <c r="C21">
        <f t="shared" si="1"/>
        <v>628</v>
      </c>
      <c r="D21">
        <f t="shared" si="0"/>
        <v>56</v>
      </c>
      <c r="E21" s="3">
        <f>Tabell6[[#This Row],[Att fördela]]</f>
        <v>-3.5</v>
      </c>
      <c r="F21">
        <f>Tabell6[[#This Row],[Pris/m3 ink.moms]]</f>
        <v>14.9625</v>
      </c>
      <c r="G21" s="2">
        <f>(Tabell4101112131415161718[[#This Row],[Förbrukning]]+Tabell4101112131415161718[[#This Row],[Utjämning]])*Tabell4101112131415161718[[#This Row],[Kr/m3]]</f>
        <v>785.53125</v>
      </c>
      <c r="H21" s="8">
        <f>Tabell6[[#This Row],[Summa fast avg/hushåll]]</f>
        <v>547.85714285714289</v>
      </c>
      <c r="I21" s="8">
        <f>Tabell6[[#This Row],[Medlems avg]]/14</f>
        <v>600</v>
      </c>
      <c r="J21" s="26">
        <f>Lån!D58</f>
        <v>578.57142857142856</v>
      </c>
      <c r="K21" s="8">
        <f>IF(Tabell4101112131415161718[[#This Row],[Nuvarande]], SUM(Tabell4101112131415161718[[#This Row],[Summa förbrukning]:[Lån]])+Tabell4101112131415161718[[#This Row],[Korr]],0)</f>
        <v>2474.5267857142858</v>
      </c>
      <c r="L21" s="2">
        <f>K19-K18</f>
        <v>-37.433035714285779</v>
      </c>
    </row>
    <row r="22" spans="1:12" x14ac:dyDescent="0.25">
      <c r="A22" s="4">
        <v>42613</v>
      </c>
      <c r="B22">
        <v>712</v>
      </c>
      <c r="C22">
        <f t="shared" ref="C22:C36" si="3">B21</f>
        <v>684</v>
      </c>
      <c r="D22">
        <f t="shared" ref="D22:D36" si="4">IF(B22-C22&lt;0,0,B22-C22)</f>
        <v>28</v>
      </c>
      <c r="E22" s="3">
        <f>Tabell6[[#This Row],[Att fördela]]</f>
        <v>-1.0714285714285714</v>
      </c>
      <c r="F22">
        <f>Tabell6[[#This Row],[Pris/m3 ink.moms]]</f>
        <v>14.9625</v>
      </c>
      <c r="G22" s="2">
        <f>(Tabell4101112131415161718[[#This Row],[Förbrukning]]+Tabell4101112131415161718[[#This Row],[Utjämning]])*Tabell4101112131415161718[[#This Row],[Kr/m3]]</f>
        <v>402.91874999999999</v>
      </c>
      <c r="H22" s="8">
        <f>Tabell6[[#This Row],[Summa fast avg/hushåll]]</f>
        <v>547.85714285714289</v>
      </c>
      <c r="I22" s="8">
        <f>Tabell6[[#This Row],[Medlems avg]]/14</f>
        <v>600</v>
      </c>
      <c r="J22" s="8">
        <f>Lån!D62</f>
        <v>568.57142857142856</v>
      </c>
      <c r="K22" s="8">
        <f>IF(Tabell4101112131415161718[[#This Row],[Nuvarande]], SUM(Tabell4101112131415161718[[#This Row],[Summa förbrukning]:[Lån]])+Tabell4101112131415161718[[#This Row],[Korr]],0)</f>
        <v>2119.3473214285714</v>
      </c>
      <c r="L22" s="2"/>
    </row>
    <row r="23" spans="1:12" x14ac:dyDescent="0.25">
      <c r="A23" s="4">
        <v>42735</v>
      </c>
      <c r="B23">
        <v>757</v>
      </c>
      <c r="C23">
        <f t="shared" si="3"/>
        <v>712</v>
      </c>
      <c r="D23">
        <f t="shared" si="4"/>
        <v>45</v>
      </c>
      <c r="E23" s="3">
        <f>Tabell6[[#This Row],[Att fördela]]</f>
        <v>-3.7142857142857144</v>
      </c>
      <c r="F23">
        <f>Tabell6[[#This Row],[Pris/m3 ink.moms]]</f>
        <v>14.9625</v>
      </c>
      <c r="G23" s="2">
        <f>(Tabell4101112131415161718[[#This Row],[Förbrukning]]+Tabell4101112131415161718[[#This Row],[Utjämning]])*Tabell4101112131415161718[[#This Row],[Kr/m3]]</f>
        <v>617.73749999999995</v>
      </c>
      <c r="H23" s="8">
        <f>Tabell6[[#This Row],[Summa fast avg/hushåll]]</f>
        <v>547.85714285714289</v>
      </c>
      <c r="I23" s="8">
        <f>Tabell6[[#This Row],[Medlems avg]]/14</f>
        <v>600</v>
      </c>
      <c r="J23" s="26">
        <f>Lån!D66</f>
        <v>556.14285714285711</v>
      </c>
      <c r="K23" s="8">
        <f>IF(Tabell4101112131415161718[[#This Row],[Nuvarande]], SUM(Tabell4101112131415161718[[#This Row],[Summa förbrukning]:[Lån]])+Tabell4101112131415161718[[#This Row],[Korr]],0)</f>
        <v>2321.7375000000002</v>
      </c>
      <c r="L23" s="2"/>
    </row>
    <row r="24" spans="1:12" x14ac:dyDescent="0.25">
      <c r="A24" s="4">
        <v>42855</v>
      </c>
      <c r="B24">
        <v>794</v>
      </c>
      <c r="C24">
        <f t="shared" si="3"/>
        <v>757</v>
      </c>
      <c r="D24">
        <f t="shared" si="4"/>
        <v>37</v>
      </c>
      <c r="E24" s="3">
        <f>Tabell6[[#This Row],[Att fördela]]</f>
        <v>-2</v>
      </c>
      <c r="F24">
        <f>Tabell6[[#This Row],[Pris/m3 ink.moms]]</f>
        <v>14.9625</v>
      </c>
      <c r="G24" s="2">
        <f>(Tabell4101112131415161718[[#This Row],[Förbrukning]]+Tabell4101112131415161718[[#This Row],[Utjämning]])*Tabell4101112131415161718[[#This Row],[Kr/m3]]</f>
        <v>523.6875</v>
      </c>
      <c r="H24" s="8">
        <f>Tabell6[[#This Row],[Summa fast avg/hushåll]]</f>
        <v>547.85714285714289</v>
      </c>
      <c r="I24" s="8">
        <f>Tabell6[[#This Row],[Medlems avg]]/14</f>
        <v>700</v>
      </c>
      <c r="J24" s="26">
        <f>Lån!D70</f>
        <v>543.71428571428567</v>
      </c>
      <c r="K24" s="8">
        <f>IF(Tabell4101112131415161718[[#This Row],[Nuvarande]], SUM(Tabell4101112131415161718[[#This Row],[Summa förbrukning]:[Lån]])+Tabell4101112131415161718[[#This Row],[Korr]],0)</f>
        <v>2315.2589285714284</v>
      </c>
      <c r="L24" s="2"/>
    </row>
    <row r="25" spans="1:12" x14ac:dyDescent="0.25">
      <c r="A25" s="4">
        <v>42978</v>
      </c>
      <c r="B25">
        <v>836</v>
      </c>
      <c r="C25">
        <f t="shared" si="3"/>
        <v>794</v>
      </c>
      <c r="D25">
        <f t="shared" si="4"/>
        <v>42</v>
      </c>
      <c r="E25" s="3">
        <f>Tabell6[[#This Row],[Att fördela]]</f>
        <v>-3.3571428571428572</v>
      </c>
      <c r="F25">
        <f>Tabell6[[#This Row],[Pris/m3 ink.moms]]</f>
        <v>14.9625</v>
      </c>
      <c r="G25" s="2">
        <f>(Tabell4101112131415161718[[#This Row],[Förbrukning]]+Tabell4101112131415161718[[#This Row],[Utjämning]])*Tabell4101112131415161718[[#This Row],[Kr/m3]]</f>
        <v>578.19375000000002</v>
      </c>
      <c r="H25" s="8">
        <f>Tabell6[[#This Row],[Summa fast avg/hushåll]]</f>
        <v>547.85714285714289</v>
      </c>
      <c r="I25" s="8">
        <f>Tabell6[[#This Row],[Medlems avg]]/14</f>
        <v>700</v>
      </c>
      <c r="J25" s="26">
        <f>Lån!D74</f>
        <v>527</v>
      </c>
      <c r="K25" s="8">
        <f>IF(Tabell4101112131415161718[[#This Row],[Nuvarande]], SUM(Tabell4101112131415161718[[#This Row],[Summa förbrukning]:[Lån]])+Tabell4101112131415161718[[#This Row],[Korr]],0)</f>
        <v>2353.050892857143</v>
      </c>
      <c r="L25" s="2"/>
    </row>
    <row r="26" spans="1:12" x14ac:dyDescent="0.25">
      <c r="A26" s="4">
        <v>43100</v>
      </c>
      <c r="B26">
        <v>878</v>
      </c>
      <c r="C26">
        <f t="shared" si="3"/>
        <v>836</v>
      </c>
      <c r="D26">
        <f t="shared" si="4"/>
        <v>42</v>
      </c>
      <c r="E26" s="3">
        <f>Tabell6[[#This Row],[Att fördela]]</f>
        <v>-1.8571428571428572</v>
      </c>
      <c r="F26">
        <f>Tabell6[[#This Row],[Pris/m3 ink.moms]]</f>
        <v>14.9625</v>
      </c>
      <c r="G26" s="2">
        <f>(Tabell4101112131415161718[[#This Row],[Förbrukning]]+Tabell4101112131415161718[[#This Row],[Utjämning]])*Tabell4101112131415161718[[#This Row],[Kr/m3]]</f>
        <v>600.63750000000005</v>
      </c>
      <c r="H26" s="8">
        <f>Tabell6[[#This Row],[Summa fast avg/hushåll]]</f>
        <v>547.85714285714289</v>
      </c>
      <c r="I26" s="8">
        <f>Tabell6[[#This Row],[Medlems avg]]/14</f>
        <v>700</v>
      </c>
      <c r="J26" s="26">
        <f>Lån!D78</f>
        <v>387.57142857142856</v>
      </c>
      <c r="K26" s="8">
        <f>IF(Tabell4101112131415161718[[#This Row],[Nuvarande]], SUM(Tabell4101112131415161718[[#This Row],[Summa förbrukning]:[Lån]])+Tabell4101112131415161718[[#This Row],[Korr]],0)</f>
        <v>2236.0660714285714</v>
      </c>
      <c r="L26" s="2"/>
    </row>
    <row r="27" spans="1:12" x14ac:dyDescent="0.25">
      <c r="A27" s="4">
        <v>43220</v>
      </c>
      <c r="B27">
        <v>920</v>
      </c>
      <c r="C27">
        <f t="shared" si="3"/>
        <v>878</v>
      </c>
      <c r="D27">
        <f t="shared" si="4"/>
        <v>42</v>
      </c>
      <c r="E27" s="3">
        <f>Tabell6[[#This Row],[Att fördela]]</f>
        <v>-2.5714285714285716</v>
      </c>
      <c r="F27">
        <f>Tabell6[[#This Row],[Pris/m3 ink.moms]]</f>
        <v>14.9625</v>
      </c>
      <c r="G27" s="2">
        <f>(Tabell4101112131415161718[[#This Row],[Förbrukning]]+Tabell4101112131415161718[[#This Row],[Utjämning]])*Tabell4101112131415161718[[#This Row],[Kr/m3]]</f>
        <v>589.95000000000005</v>
      </c>
      <c r="H27" s="8">
        <f>Tabell6[[#This Row],[Summa fast avg/hushåll]]</f>
        <v>547.85714285714289</v>
      </c>
      <c r="I27" s="8">
        <f>Tabell6[[#This Row],[Medlems avg]]/14</f>
        <v>1000</v>
      </c>
      <c r="J27" s="8"/>
      <c r="K27" s="8">
        <f>IF(Tabell4101112131415161718[[#This Row],[Nuvarande]], SUM(Tabell4101112131415161718[[#This Row],[Summa förbrukning]:[Lån]])+Tabell4101112131415161718[[#This Row],[Korr]],0)</f>
        <v>2137.8071428571429</v>
      </c>
      <c r="L27" s="2"/>
    </row>
    <row r="28" spans="1:12" x14ac:dyDescent="0.25">
      <c r="A28" s="4">
        <v>43343</v>
      </c>
      <c r="B28">
        <v>958</v>
      </c>
      <c r="C28">
        <f t="shared" si="3"/>
        <v>920</v>
      </c>
      <c r="D28">
        <f t="shared" si="4"/>
        <v>38</v>
      </c>
      <c r="E28" s="3">
        <f>Tabell6[[#This Row],[Att fördela]]</f>
        <v>-2.2142857142857144</v>
      </c>
      <c r="F28">
        <f>Tabell6[[#This Row],[Pris/m3 ink.moms]]</f>
        <v>14.9625</v>
      </c>
      <c r="G28" s="2">
        <f>(Tabell4101112131415161718[[#This Row],[Förbrukning]]+Tabell4101112131415161718[[#This Row],[Utjämning]])*Tabell4101112131415161718[[#This Row],[Kr/m3]]</f>
        <v>535.44375000000002</v>
      </c>
      <c r="H28" s="8">
        <f>Tabell6[[#This Row],[Summa fast avg/hushåll]]</f>
        <v>547.85714285714289</v>
      </c>
      <c r="I28" s="8">
        <f>Tabell6[[#This Row],[Medlems avg]]/14</f>
        <v>1000</v>
      </c>
      <c r="J28" s="8"/>
      <c r="K28" s="8">
        <f>IF(Tabell4101112131415161718[[#This Row],[Nuvarande]], SUM(Tabell4101112131415161718[[#This Row],[Summa förbrukning]:[Lån]])+Tabell4101112131415161718[[#This Row],[Korr]],0)</f>
        <v>2083.300892857143</v>
      </c>
      <c r="L28" s="2"/>
    </row>
    <row r="29" spans="1:12" x14ac:dyDescent="0.25">
      <c r="A29" s="4">
        <v>43465</v>
      </c>
      <c r="B29">
        <v>993</v>
      </c>
      <c r="C29">
        <f t="shared" si="3"/>
        <v>958</v>
      </c>
      <c r="D29">
        <f t="shared" si="4"/>
        <v>35</v>
      </c>
      <c r="E29" s="3">
        <f>Tabell6[[#This Row],[Att fördela]]</f>
        <v>-1.5</v>
      </c>
      <c r="F29">
        <f>Tabell6[[#This Row],[Pris/m3 ink.moms]]</f>
        <v>15.780000000000001</v>
      </c>
      <c r="G29" s="2">
        <f>(Tabell4101112131415161718[[#This Row],[Förbrukning]]+Tabell4101112131415161718[[#This Row],[Utjämning]])*Tabell4101112131415161718[[#This Row],[Kr/m3]]</f>
        <v>528.63</v>
      </c>
      <c r="H29" s="8">
        <f>Tabell6[[#This Row],[Summa fast avg/hushåll]]</f>
        <v>547.85714285714289</v>
      </c>
      <c r="I29" s="8">
        <f>Tabell6[[#This Row],[Medlems avg]]/14</f>
        <v>1000</v>
      </c>
      <c r="J29" s="8"/>
      <c r="K29" s="8">
        <f>IF(Tabell4101112131415161718[[#This Row],[Nuvarande]], SUM(Tabell4101112131415161718[[#This Row],[Summa förbrukning]:[Lån]])+Tabell4101112131415161718[[#This Row],[Korr]],0)</f>
        <v>2076.4871428571428</v>
      </c>
      <c r="L29" s="2"/>
    </row>
    <row r="30" spans="1:12" x14ac:dyDescent="0.25">
      <c r="A30" s="4">
        <v>43585</v>
      </c>
      <c r="B30">
        <v>1030</v>
      </c>
      <c r="C30">
        <f t="shared" si="3"/>
        <v>993</v>
      </c>
      <c r="D30">
        <f t="shared" si="4"/>
        <v>37</v>
      </c>
      <c r="E30" s="3">
        <f>Tabell6[[#This Row],[Att fördela]]</f>
        <v>-7.2857142857142856</v>
      </c>
      <c r="F30">
        <f>Tabell6[[#This Row],[Pris/m3 ink.moms]]</f>
        <v>15.780000000000001</v>
      </c>
      <c r="G30" s="2">
        <f>(Tabell4101112131415161718[[#This Row],[Förbrukning]]+Tabell4101112131415161718[[#This Row],[Utjämning]])*Tabell4101112131415161718[[#This Row],[Kr/m3]]</f>
        <v>468.89142857142861</v>
      </c>
      <c r="H30" s="8">
        <f>Tabell6[[#This Row],[Summa fast avg/hushåll]]</f>
        <v>578.16714285714284</v>
      </c>
      <c r="I30" s="8">
        <f>Tabell6[[#This Row],[Medlems avg]]/14</f>
        <v>1000</v>
      </c>
      <c r="J30" s="8"/>
      <c r="K30" s="8">
        <f>IF(Tabell4101112131415161718[[#This Row],[Nuvarande]], SUM(Tabell4101112131415161718[[#This Row],[Summa förbrukning]:[Lån]])+Tabell4101112131415161718[[#This Row],[Korr]],0)</f>
        <v>2047.0585714285714</v>
      </c>
      <c r="L30" s="2"/>
    </row>
    <row r="31" spans="1:12" x14ac:dyDescent="0.25">
      <c r="A31" s="4">
        <v>43708</v>
      </c>
      <c r="B31">
        <v>1077</v>
      </c>
      <c r="C31">
        <f t="shared" si="3"/>
        <v>1030</v>
      </c>
      <c r="D31">
        <f t="shared" si="4"/>
        <v>47</v>
      </c>
      <c r="E31" s="3">
        <f>Tabell6[[#This Row],[Att fördela]]</f>
        <v>-3.4285714285714284</v>
      </c>
      <c r="F31">
        <f>Tabell6[[#This Row],[Pris/m3 ink.moms]]</f>
        <v>15.780000000000001</v>
      </c>
      <c r="G31" s="2">
        <f>(Tabell4101112131415161718[[#This Row],[Förbrukning]]+Tabell4101112131415161718[[#This Row],[Utjämning]])*Tabell4101112131415161718[[#This Row],[Kr/m3]]</f>
        <v>687.55714285714282</v>
      </c>
      <c r="H31" s="8">
        <f>Tabell6[[#This Row],[Summa fast avg/hushåll]]</f>
        <v>578.16714285714284</v>
      </c>
      <c r="I31" s="8">
        <f>Tabell6[[#This Row],[Medlems avg]]/14</f>
        <v>1000</v>
      </c>
      <c r="J31" s="8"/>
      <c r="K31" s="8">
        <f>IF(Tabell4101112131415161718[[#This Row],[Nuvarande]], SUM(Tabell4101112131415161718[[#This Row],[Summa förbrukning]:[Lån]])+Tabell4101112131415161718[[#This Row],[Korr]],0)</f>
        <v>2265.7242857142855</v>
      </c>
      <c r="L31" s="2"/>
    </row>
    <row r="32" spans="1:12" x14ac:dyDescent="0.25">
      <c r="A32" s="4">
        <v>43830</v>
      </c>
      <c r="B32">
        <v>1113</v>
      </c>
      <c r="C32">
        <f t="shared" si="3"/>
        <v>1077</v>
      </c>
      <c r="D32">
        <f t="shared" si="4"/>
        <v>36</v>
      </c>
      <c r="E32" s="3">
        <f>Tabell6[[#This Row],[Att fördela]]</f>
        <v>-3</v>
      </c>
      <c r="F32">
        <f>Tabell6[[#This Row],[Pris/m3 ink.moms]]</f>
        <v>15.780000000000001</v>
      </c>
      <c r="G32" s="2">
        <f>(Tabell4101112131415161718[[#This Row],[Förbrukning]]+Tabell4101112131415161718[[#This Row],[Utjämning]])*Tabell4101112131415161718[[#This Row],[Kr/m3]]</f>
        <v>520.74</v>
      </c>
      <c r="H32" s="8">
        <f>Tabell6[[#This Row],[Summa fast avg/hushåll]]</f>
        <v>578.16714285714284</v>
      </c>
      <c r="I32" s="8">
        <f>Tabell6[[#This Row],[Medlems avg]]/14</f>
        <v>1000</v>
      </c>
      <c r="J32" s="8"/>
      <c r="K32" s="8">
        <f>IF(Tabell4101112131415161718[[#This Row],[Nuvarande]], SUM(Tabell4101112131415161718[[#This Row],[Summa förbrukning]:[Lån]])+Tabell4101112131415161718[[#This Row],[Korr]],0)</f>
        <v>2098.9071428571428</v>
      </c>
      <c r="L32" s="2"/>
    </row>
    <row r="33" spans="1:12" x14ac:dyDescent="0.25">
      <c r="A33" s="4">
        <v>43951</v>
      </c>
      <c r="B33">
        <v>1156</v>
      </c>
      <c r="C33">
        <f t="shared" si="3"/>
        <v>1113</v>
      </c>
      <c r="D33">
        <f t="shared" si="4"/>
        <v>43</v>
      </c>
      <c r="E33" s="3">
        <f>Tabell6[[#This Row],[Att fördela]]</f>
        <v>-1.9285714285714286</v>
      </c>
      <c r="F33">
        <f>Tabell6[[#This Row],[Pris/m3 ink.moms]]</f>
        <v>15.780000000000001</v>
      </c>
      <c r="G33" s="2">
        <f>(Tabell4101112131415161718[[#This Row],[Förbrukning]]+Tabell4101112131415161718[[#This Row],[Utjämning]])*Tabell4101112131415161718[[#This Row],[Kr/m3]]</f>
        <v>648.10714285714289</v>
      </c>
      <c r="H33" s="8">
        <f>Tabell6[[#This Row],[Summa fast avg/hushåll]]</f>
        <v>578.16714285714284</v>
      </c>
      <c r="I33" s="8">
        <f>Tabell6[[#This Row],[Medlems avg]]/14</f>
        <v>1000</v>
      </c>
      <c r="J33" s="8"/>
      <c r="K33" s="8">
        <f>IF(Tabell4101112131415161718[[#This Row],[Nuvarande]], SUM(Tabell4101112131415161718[[#This Row],[Summa förbrukning]:[Lån]])+Tabell4101112131415161718[[#This Row],[Korr]],0)</f>
        <v>2226.2742857142857</v>
      </c>
      <c r="L33" s="2"/>
    </row>
    <row r="34" spans="1:12" x14ac:dyDescent="0.25">
      <c r="A34" s="4">
        <v>44074</v>
      </c>
      <c r="B34">
        <v>1208</v>
      </c>
      <c r="C34">
        <f t="shared" si="3"/>
        <v>1156</v>
      </c>
      <c r="D34">
        <f t="shared" si="4"/>
        <v>52</v>
      </c>
      <c r="E34" s="3">
        <f>Tabell6[[#This Row],[Att fördela]]</f>
        <v>-1.8571428571428572</v>
      </c>
      <c r="F34">
        <f>Tabell6[[#This Row],[Pris/m3 ink.moms]]</f>
        <v>15.780000000000001</v>
      </c>
      <c r="G34" s="2">
        <f>(Tabell4101112131415161718[[#This Row],[Förbrukning]]+Tabell4101112131415161718[[#This Row],[Utjämning]])*Tabell4101112131415161718[[#This Row],[Kr/m3]]</f>
        <v>791.25428571428586</v>
      </c>
      <c r="H34" s="8">
        <f>Tabell6[[#This Row],[Summa fast avg/hushåll]]</f>
        <v>578.16714285714284</v>
      </c>
      <c r="I34" s="8">
        <f>Tabell6[[#This Row],[Medlems avg]]/14</f>
        <v>1000</v>
      </c>
      <c r="J34" s="8"/>
      <c r="K34" s="8">
        <f>IF(Tabell4101112131415161718[[#This Row],[Nuvarande]], SUM(Tabell4101112131415161718[[#This Row],[Summa förbrukning]:[Lån]])+Tabell4101112131415161718[[#This Row],[Korr]],0)</f>
        <v>2369.4214285714288</v>
      </c>
      <c r="L34" s="2"/>
    </row>
    <row r="35" spans="1:12" x14ac:dyDescent="0.25">
      <c r="A35" s="4">
        <v>44196</v>
      </c>
      <c r="B35">
        <v>1254</v>
      </c>
      <c r="C35">
        <f t="shared" si="3"/>
        <v>1208</v>
      </c>
      <c r="D35">
        <f t="shared" si="4"/>
        <v>46</v>
      </c>
      <c r="E35" s="3">
        <f>Tabell6[[#This Row],[Att fördela]]</f>
        <v>-2.2142857142857144</v>
      </c>
      <c r="F35">
        <f>Tabell6[[#This Row],[Pris/m3 ink.moms]]</f>
        <v>15.780000000000001</v>
      </c>
      <c r="G35" s="2">
        <f>(Tabell4101112131415161718[[#This Row],[Förbrukning]]+Tabell4101112131415161718[[#This Row],[Utjämning]])*Tabell4101112131415161718[[#This Row],[Kr/m3]]</f>
        <v>690.93857142857144</v>
      </c>
      <c r="H35" s="8">
        <f>Tabell6[[#This Row],[Summa fast avg/hushåll]]</f>
        <v>578.16714285714284</v>
      </c>
      <c r="I35" s="8">
        <f>Tabell6[[#This Row],[Medlems avg]]/14</f>
        <v>1000</v>
      </c>
      <c r="J35" s="8"/>
      <c r="K35" s="8">
        <f>IF(Tabell4101112131415161718[[#This Row],[Nuvarande]], SUM(Tabell4101112131415161718[[#This Row],[Summa förbrukning]:[Lån]])+Tabell4101112131415161718[[#This Row],[Korr]],0)</f>
        <v>2269.1057142857144</v>
      </c>
      <c r="L35" s="2"/>
    </row>
    <row r="36" spans="1:12" x14ac:dyDescent="0.25">
      <c r="A36" s="4">
        <v>44316</v>
      </c>
      <c r="B36">
        <v>1297</v>
      </c>
      <c r="C36">
        <f t="shared" si="3"/>
        <v>1254</v>
      </c>
      <c r="D36">
        <f t="shared" si="4"/>
        <v>43</v>
      </c>
      <c r="E36" s="3">
        <f>Tabell6[[#This Row],[Att fördela]]</f>
        <v>-1.0714285714285714</v>
      </c>
      <c r="F36">
        <f>Tabell6[[#This Row],[Pris/m3 ink.moms]]</f>
        <v>15.780000000000001</v>
      </c>
      <c r="G36" s="2">
        <f>(Tabell4101112131415161718[[#This Row],[Förbrukning]]+Tabell4101112131415161718[[#This Row],[Utjämning]])*Tabell4101112131415161718[[#This Row],[Kr/m3]]</f>
        <v>661.63285714285723</v>
      </c>
      <c r="H36" s="8">
        <f>Tabell6[[#This Row],[Summa fast avg/hushåll]]</f>
        <v>578.16714285714284</v>
      </c>
      <c r="I36" s="8">
        <f>Tabell6[[#This Row],[Medlems avg]]/14</f>
        <v>1000</v>
      </c>
      <c r="J36" s="8"/>
      <c r="K36" s="8">
        <f>IF(Tabell4101112131415161718[[#This Row],[Nuvarande]], SUM(Tabell4101112131415161718[[#This Row],[Summa förbrukning]:[Lån]])+Tabell4101112131415161718[[#This Row],[Korr]],0)</f>
        <v>2239.8000000000002</v>
      </c>
      <c r="L36" s="2"/>
    </row>
    <row r="37" spans="1:12" x14ac:dyDescent="0.25">
      <c r="A37" s="4">
        <f>Tabell6[[#This Row],[Avläsnings datum]]</f>
        <v>44439</v>
      </c>
      <c r="B37">
        <v>1342</v>
      </c>
      <c r="C37">
        <f t="shared" ref="C37:C60" si="5">B36</f>
        <v>1297</v>
      </c>
      <c r="D37">
        <f t="shared" ref="D37:D60" si="6">IF(B37-C37&lt;0,0,B37-C37)</f>
        <v>45</v>
      </c>
      <c r="E37" s="3">
        <f>Tabell6[[#This Row],[Att fördela]]</f>
        <v>-2.4285714285714284</v>
      </c>
      <c r="F37">
        <f>Tabell6[[#This Row],[Pris/m3 ink.moms]]</f>
        <v>15.780000000000001</v>
      </c>
      <c r="G37" s="2">
        <f>(Tabell4101112131415161718[[#This Row],[Förbrukning]]+Tabell4101112131415161718[[#This Row],[Utjämning]])*Tabell4101112131415161718[[#This Row],[Kr/m3]]</f>
        <v>671.77714285714285</v>
      </c>
      <c r="H37" s="8">
        <f>Tabell6[[#This Row],[Summa fast avg/hushåll]]</f>
        <v>578.16714285714284</v>
      </c>
      <c r="I37" s="8">
        <f>Tabell6[[#This Row],[Medlems avg]]/14</f>
        <v>1000</v>
      </c>
      <c r="J37" s="8"/>
      <c r="K37" s="8">
        <f>IF(Tabell4101112131415161718[[#This Row],[Nuvarande]], SUM(Tabell4101112131415161718[[#This Row],[Summa förbrukning]:[Lån]])+Tabell4101112131415161718[[#This Row],[Korr]],0)</f>
        <v>2249.9442857142858</v>
      </c>
      <c r="L37" s="2"/>
    </row>
    <row r="38" spans="1:12" x14ac:dyDescent="0.25">
      <c r="A38" s="4">
        <f>Tabell6[[#This Row],[Avläsnings datum]]</f>
        <v>44561</v>
      </c>
      <c r="B38">
        <v>1384</v>
      </c>
      <c r="C38">
        <f t="shared" si="5"/>
        <v>1342</v>
      </c>
      <c r="D38">
        <f t="shared" si="6"/>
        <v>42</v>
      </c>
      <c r="E38" s="3">
        <f>Tabell6[[#This Row],[Att fördela]]</f>
        <v>-1.3571428571428572</v>
      </c>
      <c r="F38">
        <f>Tabell6[[#This Row],[Pris/m3 ink.moms]]</f>
        <v>15.780000000000001</v>
      </c>
      <c r="G38" s="2">
        <f>(Tabell4101112131415161718[[#This Row],[Förbrukning]]+Tabell4101112131415161718[[#This Row],[Utjämning]])*Tabell4101112131415161718[[#This Row],[Kr/m3]]</f>
        <v>641.34428571428577</v>
      </c>
      <c r="H38" s="8">
        <f>Tabell6[[#This Row],[Summa fast avg/hushåll]]</f>
        <v>578.16714285714284</v>
      </c>
      <c r="I38" s="8">
        <f>Tabell6[[#This Row],[Medlems avg]]/14</f>
        <v>1000</v>
      </c>
      <c r="J38" s="8"/>
      <c r="K38" s="8">
        <f>IF(Tabell4101112131415161718[[#This Row],[Nuvarande]], SUM(Tabell4101112131415161718[[#This Row],[Summa förbrukning]:[Lån]])+Tabell4101112131415161718[[#This Row],[Korr]],0)</f>
        <v>2219.5114285714285</v>
      </c>
      <c r="L38" s="2"/>
    </row>
    <row r="39" spans="1:12" x14ac:dyDescent="0.25">
      <c r="A39" s="4">
        <f>Tabell6[[#This Row],[Avläsnings datum]]</f>
        <v>44681</v>
      </c>
      <c r="B39">
        <v>1432</v>
      </c>
      <c r="C39">
        <f t="shared" si="5"/>
        <v>1384</v>
      </c>
      <c r="D39">
        <f t="shared" si="6"/>
        <v>48</v>
      </c>
      <c r="E39" s="3">
        <f>Tabell6[[#This Row],[Att fördela]]</f>
        <v>-2.7142857142857144</v>
      </c>
      <c r="F39">
        <f>Tabell6[[#This Row],[Pris/m3 ink.moms]]</f>
        <v>15.780000000000001</v>
      </c>
      <c r="G39" s="2">
        <f>(Tabell4101112131415161718[[#This Row],[Förbrukning]]+Tabell4101112131415161718[[#This Row],[Utjämning]])*Tabell4101112131415161718[[#This Row],[Kr/m3]]</f>
        <v>714.60857142857151</v>
      </c>
      <c r="H39" s="8">
        <f>Tabell6[[#This Row],[Summa fast avg/hushåll]]</f>
        <v>578.16714285714284</v>
      </c>
      <c r="I39" s="8">
        <f>Tabell6[[#This Row],[Medlems avg]]/14</f>
        <v>1000</v>
      </c>
      <c r="J39" s="8"/>
      <c r="K39" s="8">
        <f>IF(Tabell4101112131415161718[[#This Row],[Nuvarande]], SUM(Tabell4101112131415161718[[#This Row],[Summa förbrukning]:[Lån]])+Tabell4101112131415161718[[#This Row],[Korr]],0)</f>
        <v>2292.7757142857145</v>
      </c>
      <c r="L39" s="2"/>
    </row>
    <row r="40" spans="1:12" x14ac:dyDescent="0.25">
      <c r="A40" s="4">
        <f>Tabell6[[#This Row],[Avläsnings datum]]</f>
        <v>44804</v>
      </c>
      <c r="B40">
        <v>1459</v>
      </c>
      <c r="C40">
        <f t="shared" si="5"/>
        <v>1432</v>
      </c>
      <c r="D40">
        <f t="shared" si="6"/>
        <v>27</v>
      </c>
      <c r="E40" s="3">
        <f>Tabell6[[#This Row],[Att fördela]]</f>
        <v>-7.1428571428571425E-2</v>
      </c>
      <c r="F40">
        <f>Tabell6[[#This Row],[Pris/m3 ink.moms]]</f>
        <v>15.780000000000001</v>
      </c>
      <c r="G40" s="2">
        <f>(Tabell4101112131415161718[[#This Row],[Förbrukning]]+Tabell4101112131415161718[[#This Row],[Utjämning]])*Tabell4101112131415161718[[#This Row],[Kr/m3]]</f>
        <v>424.93285714285713</v>
      </c>
      <c r="H40" s="8">
        <f>Tabell6[[#This Row],[Summa fast avg/hushåll]]</f>
        <v>578.16714285714284</v>
      </c>
      <c r="I40" s="8">
        <f>Tabell6[[#This Row],[Medlems avg]]/14</f>
        <v>1000</v>
      </c>
      <c r="J40" s="8"/>
      <c r="K40" s="8">
        <f>IF(Tabell4101112131415161718[[#This Row],[Nuvarande]], SUM(Tabell4101112131415161718[[#This Row],[Summa förbrukning]:[Lån]])+Tabell4101112131415161718[[#This Row],[Korr]],0)</f>
        <v>2003.1</v>
      </c>
      <c r="L40" s="2"/>
    </row>
    <row r="41" spans="1:12" x14ac:dyDescent="0.25">
      <c r="A41" s="4">
        <f>Tabell6[[#This Row],[Avläsnings datum]]</f>
        <v>44926</v>
      </c>
      <c r="B41">
        <v>1493</v>
      </c>
      <c r="C41">
        <f t="shared" si="5"/>
        <v>1459</v>
      </c>
      <c r="D41">
        <f t="shared" si="6"/>
        <v>34</v>
      </c>
      <c r="E41" s="3">
        <f>Tabell6[[#This Row],[Att fördela]]</f>
        <v>0</v>
      </c>
      <c r="F41">
        <f>Tabell6[[#This Row],[Pris/m3 ink.moms]]</f>
        <v>15.780000000000001</v>
      </c>
      <c r="G41" s="2">
        <f>(Tabell4101112131415161718[[#This Row],[Förbrukning]]+Tabell4101112131415161718[[#This Row],[Utjämning]])*Tabell4101112131415161718[[#This Row],[Kr/m3]]</f>
        <v>536.52</v>
      </c>
      <c r="H41" s="8">
        <f>Tabell6[[#This Row],[Summa fast avg/hushåll]]</f>
        <v>578.16714285714284</v>
      </c>
      <c r="I41" s="8">
        <f>Tabell6[[#This Row],[Medlems avg]]/14</f>
        <v>1000</v>
      </c>
      <c r="J41" s="8"/>
      <c r="K41" s="8">
        <f>IF(Tabell4101112131415161718[[#This Row],[Nuvarande]], SUM(Tabell4101112131415161718[[#This Row],[Summa förbrukning]:[Lån]])+Tabell4101112131415161718[[#This Row],[Korr]],0)</f>
        <v>2114.687142857143</v>
      </c>
      <c r="L41" s="2"/>
    </row>
    <row r="42" spans="1:12" x14ac:dyDescent="0.25">
      <c r="A42" s="4">
        <f>Tabell6[[#This Row],[Avläsnings datum]]</f>
        <v>45046</v>
      </c>
      <c r="B42">
        <v>1526</v>
      </c>
      <c r="C42">
        <f t="shared" si="5"/>
        <v>1493</v>
      </c>
      <c r="D42">
        <f t="shared" si="6"/>
        <v>33</v>
      </c>
      <c r="E42" s="3">
        <f>Tabell6[[#This Row],[Att fördela]]</f>
        <v>0.14285714285714285</v>
      </c>
      <c r="F42">
        <f>Tabell6[[#This Row],[Pris/m3 ink.moms]]</f>
        <v>17.829999999999998</v>
      </c>
      <c r="G42" s="2">
        <f>(Tabell4101112131415161718[[#This Row],[Förbrukning]]+Tabell4101112131415161718[[#This Row],[Utjämning]])*Tabell4101112131415161718[[#This Row],[Kr/m3]]</f>
        <v>590.93714285714282</v>
      </c>
      <c r="H42" s="8">
        <f>Tabell6[[#This Row],[Summa fast avg/hushåll]]</f>
        <v>652.99952380952379</v>
      </c>
      <c r="I42" s="8">
        <f>Tabell6[[#This Row],[Medlems avg]]/14</f>
        <v>1000</v>
      </c>
      <c r="J42" s="8"/>
      <c r="K42" s="8">
        <f>IF(Tabell4101112131415161718[[#This Row],[Nuvarande]], SUM(Tabell4101112131415161718[[#This Row],[Summa förbrukning]:[Lån]])+Tabell4101112131415161718[[#This Row],[Korr]],0)</f>
        <v>2243.9366666666665</v>
      </c>
      <c r="L42" s="2"/>
    </row>
    <row r="43" spans="1:12" x14ac:dyDescent="0.25">
      <c r="A43" s="4">
        <f>Tabell6[[#This Row],[Avläsnings datum]]</f>
        <v>45169</v>
      </c>
      <c r="B43">
        <v>1562</v>
      </c>
      <c r="C43">
        <f t="shared" si="5"/>
        <v>1526</v>
      </c>
      <c r="D43">
        <f t="shared" si="6"/>
        <v>36</v>
      </c>
      <c r="E43" s="3">
        <f>Tabell6[[#This Row],[Att fördela]]</f>
        <v>-2.2142857142857144</v>
      </c>
      <c r="F43">
        <f>Tabell6[[#This Row],[Pris/m3 ink.moms]]</f>
        <v>17.829999999999998</v>
      </c>
      <c r="G43" s="2">
        <f>(Tabell4101112131415161718[[#This Row],[Förbrukning]]+Tabell4101112131415161718[[#This Row],[Utjämning]])*Tabell4101112131415161718[[#This Row],[Kr/m3]]</f>
        <v>602.39928571428561</v>
      </c>
      <c r="H43" s="8">
        <f>Tabell6[[#This Row],[Summa fast avg/hushåll]]</f>
        <v>652.99952380952379</v>
      </c>
      <c r="I43" s="8">
        <f>Tabell6[[#This Row],[Medlems avg]]/14</f>
        <v>1000</v>
      </c>
      <c r="J43" s="8"/>
      <c r="K43" s="8">
        <f>IF(Tabell4101112131415161718[[#This Row],[Nuvarande]], SUM(Tabell4101112131415161718[[#This Row],[Summa förbrukning]:[Lån]])+Tabell4101112131415161718[[#This Row],[Korr]],0)</f>
        <v>2255.3988095238092</v>
      </c>
      <c r="L43" s="2"/>
    </row>
    <row r="44" spans="1:12" x14ac:dyDescent="0.25">
      <c r="A44" s="4">
        <f>Tabell6[[#This Row],[Avläsnings datum]]</f>
        <v>45291</v>
      </c>
      <c r="B44">
        <v>1597</v>
      </c>
      <c r="C44">
        <f t="shared" si="5"/>
        <v>1562</v>
      </c>
      <c r="D44">
        <f t="shared" si="6"/>
        <v>35</v>
      </c>
      <c r="E44" s="3">
        <f>Tabell6[[#This Row],[Att fördela]]</f>
        <v>-0.7857142857142857</v>
      </c>
      <c r="F44">
        <f>Tabell6[[#This Row],[Pris/m3 ink.moms]]</f>
        <v>17.829999999999998</v>
      </c>
      <c r="G44" s="2">
        <f>(Tabell4101112131415161718[[#This Row],[Förbrukning]]+Tabell4101112131415161718[[#This Row],[Utjämning]])*Tabell4101112131415161718[[#This Row],[Kr/m3]]</f>
        <v>610.04071428571422</v>
      </c>
      <c r="H44" s="8">
        <f>Tabell6[[#This Row],[Summa fast avg/hushåll]]</f>
        <v>652.99952380952379</v>
      </c>
      <c r="I44" s="8">
        <f>Tabell6[[#This Row],[Medlems avg]]/14</f>
        <v>1000</v>
      </c>
      <c r="J44" s="8"/>
      <c r="K44" s="8">
        <f>IF(Tabell4101112131415161718[[#This Row],[Nuvarande]], SUM(Tabell4101112131415161718[[#This Row],[Summa förbrukning]:[Lån]])+Tabell4101112131415161718[[#This Row],[Korr]],0)</f>
        <v>2263.0402380952382</v>
      </c>
      <c r="L44" s="2"/>
    </row>
    <row r="45" spans="1:12" x14ac:dyDescent="0.25">
      <c r="A45" s="4">
        <f>Tabell6[[#This Row],[Avläsnings datum]]</f>
        <v>45412</v>
      </c>
      <c r="B45">
        <v>1629</v>
      </c>
      <c r="C45">
        <f t="shared" si="5"/>
        <v>1597</v>
      </c>
      <c r="D45">
        <f t="shared" si="6"/>
        <v>32</v>
      </c>
      <c r="E45" s="3">
        <f>Tabell6[[#This Row],[Att fördela]]</f>
        <v>-7.1428571428571425E-2</v>
      </c>
      <c r="F45">
        <f>Tabell6[[#This Row],[Pris/m3 ink.moms]]</f>
        <v>17.829999999999998</v>
      </c>
      <c r="G45" s="2">
        <f>(Tabell4101112131415161718[[#This Row],[Förbrukning]]+Tabell4101112131415161718[[#This Row],[Utjämning]])*Tabell4101112131415161718[[#This Row],[Kr/m3]]</f>
        <v>569.28642857142847</v>
      </c>
      <c r="H45" s="8">
        <f>Tabell6[[#This Row],[Summa fast avg/hushåll]]</f>
        <v>652.99952380952379</v>
      </c>
      <c r="I45" s="8">
        <f>Tabell6[[#This Row],[Medlems avg]]/14</f>
        <v>1000</v>
      </c>
      <c r="J45" s="8"/>
      <c r="K45" s="8">
        <f>IF(Tabell4101112131415161718[[#This Row],[Nuvarande]], SUM(Tabell4101112131415161718[[#This Row],[Summa förbrukning]:[Lån]])+Tabell4101112131415161718[[#This Row],[Korr]],0)</f>
        <v>2222.285952380952</v>
      </c>
      <c r="L45" s="2"/>
    </row>
    <row r="46" spans="1:12" x14ac:dyDescent="0.25">
      <c r="A46" s="4">
        <f>Tabell6[[#This Row],[Avläsnings datum]]</f>
        <v>45535</v>
      </c>
      <c r="B46">
        <v>1662</v>
      </c>
      <c r="C46">
        <f t="shared" si="5"/>
        <v>1629</v>
      </c>
      <c r="D46">
        <f t="shared" si="6"/>
        <v>33</v>
      </c>
      <c r="E46" s="3">
        <f>Tabell6[[#This Row],[Att fördela]]</f>
        <v>-1.3571428571428572</v>
      </c>
      <c r="F46">
        <f>Tabell6[[#This Row],[Pris/m3 ink.moms]]</f>
        <v>21</v>
      </c>
      <c r="G46" s="2">
        <f>(Tabell4101112131415161718[[#This Row],[Förbrukning]]+Tabell4101112131415161718[[#This Row],[Utjämning]])*Tabell4101112131415161718[[#This Row],[Kr/m3]]</f>
        <v>664.5</v>
      </c>
      <c r="H46" s="8">
        <f>Tabell6[[#This Row],[Summa fast avg/hushåll]]</f>
        <v>763.97428571428566</v>
      </c>
      <c r="I46" s="8">
        <f>Tabell6[[#This Row],[Medlems avg]]/14</f>
        <v>1000</v>
      </c>
      <c r="J46" s="8"/>
      <c r="K46" s="8">
        <f>IF(Tabell4101112131415161718[[#This Row],[Nuvarande]], SUM(Tabell4101112131415161718[[#This Row],[Summa förbrukning]:[Lån]])+Tabell4101112131415161718[[#This Row],[Korr]],0)</f>
        <v>2428.4742857142855</v>
      </c>
      <c r="L46" s="2"/>
    </row>
    <row r="47" spans="1:12" x14ac:dyDescent="0.25">
      <c r="A47" s="4">
        <f>Tabell6[[#This Row],[Avläsnings datum]]</f>
        <v>45657</v>
      </c>
      <c r="B47">
        <v>1695</v>
      </c>
      <c r="C47">
        <f t="shared" si="5"/>
        <v>1662</v>
      </c>
      <c r="D47">
        <f t="shared" si="6"/>
        <v>33</v>
      </c>
      <c r="E47" s="3">
        <f>Tabell6[[#This Row],[Att fördela]]</f>
        <v>-1.7142857142857142</v>
      </c>
      <c r="F47">
        <f>Tabell6[[#This Row],[Pris/m3 ink.moms]]</f>
        <v>21</v>
      </c>
      <c r="G47" s="2">
        <f>(Tabell4101112131415161718[[#This Row],[Förbrukning]]+Tabell4101112131415161718[[#This Row],[Utjämning]])*Tabell4101112131415161718[[#This Row],[Kr/m3]]</f>
        <v>657</v>
      </c>
      <c r="H47" s="8">
        <f>Tabell6[[#This Row],[Summa fast avg/hushåll]]</f>
        <v>763.97428571428566</v>
      </c>
      <c r="I47" s="8">
        <f>Tabell6[[#This Row],[Medlems avg]]/14</f>
        <v>1000</v>
      </c>
      <c r="J47" s="8"/>
      <c r="K47" s="8">
        <f>IF(Tabell4101112131415161718[[#This Row],[Nuvarande]], SUM(Tabell4101112131415161718[[#This Row],[Summa förbrukning]:[Lån]])+Tabell4101112131415161718[[#This Row],[Korr]],0)</f>
        <v>2420.9742857142855</v>
      </c>
      <c r="L47" s="2"/>
    </row>
    <row r="48" spans="1:12" x14ac:dyDescent="0.25">
      <c r="A48" s="4">
        <f>Tabell6[[#This Row],[Avläsnings datum]]</f>
        <v>45777</v>
      </c>
      <c r="B48">
        <v>1727</v>
      </c>
      <c r="C48">
        <f t="shared" si="5"/>
        <v>1695</v>
      </c>
      <c r="D48">
        <f t="shared" si="6"/>
        <v>32</v>
      </c>
      <c r="E48" s="3">
        <f>Tabell6[[#This Row],[Att fördela]]</f>
        <v>-1.5</v>
      </c>
      <c r="F48">
        <f>Tabell6[[#This Row],[Pris/m3 ink.moms]]</f>
        <v>24</v>
      </c>
      <c r="G48" s="2">
        <f>(Tabell4101112131415161718[[#This Row],[Förbrukning]]+Tabell4101112131415161718[[#This Row],[Utjämning]])*Tabell4101112131415161718[[#This Row],[Kr/m3]]</f>
        <v>732</v>
      </c>
      <c r="H48" s="8">
        <f>Tabell6[[#This Row],[Summa fast avg/hushåll]]</f>
        <v>879.14738095238101</v>
      </c>
      <c r="I48" s="8">
        <f>Tabell6[[#This Row],[Medlems avg]]/14</f>
        <v>1000</v>
      </c>
      <c r="J48" s="8"/>
      <c r="K48" s="8">
        <f>IF(Tabell4101112131415161718[[#This Row],[Nuvarande]], SUM(Tabell4101112131415161718[[#This Row],[Summa förbrukning]:[Lån]])+Tabell4101112131415161718[[#This Row],[Korr]],0)</f>
        <v>2611.1473809523809</v>
      </c>
      <c r="L48" s="2"/>
    </row>
    <row r="49" spans="1:12" x14ac:dyDescent="0.25">
      <c r="A49" s="4">
        <f>Tabell6[[#This Row],[Avläsnings datum]]</f>
        <v>45900</v>
      </c>
      <c r="C49">
        <f t="shared" si="5"/>
        <v>1727</v>
      </c>
      <c r="D49">
        <f t="shared" si="6"/>
        <v>0</v>
      </c>
      <c r="E49" s="3">
        <f>Tabell6[[#This Row],[Att fördela]]</f>
        <v>0</v>
      </c>
      <c r="F49">
        <f>Tabell6[[#This Row],[Pris/m3 ink.moms]]</f>
        <v>24</v>
      </c>
      <c r="G49" s="2">
        <f>(Tabell4101112131415161718[[#This Row],[Förbrukning]]+Tabell4101112131415161718[[#This Row],[Utjämning]])*Tabell4101112131415161718[[#This Row],[Kr/m3]]</f>
        <v>0</v>
      </c>
      <c r="H49" s="8">
        <f>Tabell6[[#This Row],[Summa fast avg/hushåll]]</f>
        <v>879.14738095238101</v>
      </c>
      <c r="I49" s="8">
        <f>Tabell6[[#This Row],[Medlems avg]]/14</f>
        <v>1000</v>
      </c>
      <c r="J49" s="8"/>
      <c r="K49" s="8">
        <f>IF(Tabell4101112131415161718[[#This Row],[Nuvarande]], SUM(Tabell4101112131415161718[[#This Row],[Summa förbrukning]:[Lån]])+Tabell4101112131415161718[[#This Row],[Korr]],0)</f>
        <v>0</v>
      </c>
      <c r="L49" s="2"/>
    </row>
    <row r="50" spans="1:12" x14ac:dyDescent="0.25">
      <c r="A50" s="4">
        <f>Tabell6[[#This Row],[Avläsnings datum]]</f>
        <v>46022</v>
      </c>
      <c r="C50">
        <f t="shared" si="5"/>
        <v>0</v>
      </c>
      <c r="D50">
        <f t="shared" si="6"/>
        <v>0</v>
      </c>
      <c r="E50" s="3">
        <f>Tabell6[[#This Row],[Att fördela]]</f>
        <v>0</v>
      </c>
      <c r="F50">
        <f>Tabell6[[#This Row],[Pris/m3 ink.moms]]</f>
        <v>24</v>
      </c>
      <c r="G50" s="2">
        <f>(Tabell4101112131415161718[[#This Row],[Förbrukning]]+Tabell4101112131415161718[[#This Row],[Utjämning]])*Tabell4101112131415161718[[#This Row],[Kr/m3]]</f>
        <v>0</v>
      </c>
      <c r="H50" s="8">
        <f>Tabell6[[#This Row],[Summa fast avg/hushåll]]</f>
        <v>879.14738095238101</v>
      </c>
      <c r="I50" s="8">
        <f>Tabell6[[#This Row],[Medlems avg]]/14</f>
        <v>1000</v>
      </c>
      <c r="J50" s="8"/>
      <c r="K50" s="8">
        <f>IF(Tabell4101112131415161718[[#This Row],[Nuvarande]], SUM(Tabell4101112131415161718[[#This Row],[Summa förbrukning]:[Lån]])+Tabell4101112131415161718[[#This Row],[Korr]],0)</f>
        <v>0</v>
      </c>
      <c r="L50" s="2"/>
    </row>
    <row r="51" spans="1:12" x14ac:dyDescent="0.25">
      <c r="A51" s="4">
        <f>Tabell6[[#This Row],[Avläsnings datum]]</f>
        <v>46142</v>
      </c>
      <c r="C51">
        <f t="shared" si="5"/>
        <v>0</v>
      </c>
      <c r="D51">
        <f t="shared" si="6"/>
        <v>0</v>
      </c>
      <c r="E51" s="3">
        <f>Tabell6[[#This Row],[Att fördela]]</f>
        <v>0</v>
      </c>
      <c r="F51">
        <f>Tabell6[[#This Row],[Pris/m3 ink.moms]]</f>
        <v>24</v>
      </c>
      <c r="G51" s="2">
        <f>(Tabell4101112131415161718[[#This Row],[Förbrukning]]+Tabell4101112131415161718[[#This Row],[Utjämning]])*Tabell4101112131415161718[[#This Row],[Kr/m3]]</f>
        <v>0</v>
      </c>
      <c r="H51" s="8">
        <f>Tabell6[[#This Row],[Summa fast avg/hushåll]]</f>
        <v>879.14738095238101</v>
      </c>
      <c r="I51" s="8">
        <f>Tabell6[[#This Row],[Medlems avg]]/14</f>
        <v>1000</v>
      </c>
      <c r="J51" s="8"/>
      <c r="K51" s="8">
        <f>IF(Tabell4101112131415161718[[#This Row],[Nuvarande]], SUM(Tabell4101112131415161718[[#This Row],[Summa förbrukning]:[Lån]])+Tabell4101112131415161718[[#This Row],[Korr]],0)</f>
        <v>0</v>
      </c>
      <c r="L51" s="2"/>
    </row>
    <row r="52" spans="1:12" x14ac:dyDescent="0.25">
      <c r="A52" s="4">
        <f>Tabell6[[#This Row],[Avläsnings datum]]</f>
        <v>46265</v>
      </c>
      <c r="C52">
        <f t="shared" si="5"/>
        <v>0</v>
      </c>
      <c r="D52">
        <f t="shared" si="6"/>
        <v>0</v>
      </c>
      <c r="E52" s="3">
        <f>Tabell6[[#This Row],[Att fördela]]</f>
        <v>0</v>
      </c>
      <c r="F52">
        <f>Tabell6[[#This Row],[Pris/m3 ink.moms]]</f>
        <v>24</v>
      </c>
      <c r="G52" s="2">
        <f>(Tabell4101112131415161718[[#This Row],[Förbrukning]]+Tabell4101112131415161718[[#This Row],[Utjämning]])*Tabell4101112131415161718[[#This Row],[Kr/m3]]</f>
        <v>0</v>
      </c>
      <c r="H52" s="8">
        <f>Tabell6[[#This Row],[Summa fast avg/hushåll]]</f>
        <v>879.14738095238101</v>
      </c>
      <c r="I52" s="8">
        <f>Tabell6[[#This Row],[Medlems avg]]/14</f>
        <v>1000</v>
      </c>
      <c r="J52" s="8"/>
      <c r="K52" s="8">
        <f>IF(Tabell4101112131415161718[[#This Row],[Nuvarande]], SUM(Tabell4101112131415161718[[#This Row],[Summa förbrukning]:[Lån]])+Tabell4101112131415161718[[#This Row],[Korr]],0)</f>
        <v>0</v>
      </c>
      <c r="L52" s="2"/>
    </row>
    <row r="53" spans="1:12" x14ac:dyDescent="0.25">
      <c r="A53" s="4">
        <f>Tabell6[[#This Row],[Avläsnings datum]]</f>
        <v>46387</v>
      </c>
      <c r="C53">
        <f t="shared" si="5"/>
        <v>0</v>
      </c>
      <c r="D53">
        <f t="shared" si="6"/>
        <v>0</v>
      </c>
      <c r="E53" s="3">
        <f>Tabell6[[#This Row],[Att fördela]]</f>
        <v>0</v>
      </c>
      <c r="F53">
        <f>Tabell6[[#This Row],[Pris/m3 ink.moms]]</f>
        <v>24</v>
      </c>
      <c r="G53" s="2">
        <f>(Tabell4101112131415161718[[#This Row],[Förbrukning]]+Tabell4101112131415161718[[#This Row],[Utjämning]])*Tabell4101112131415161718[[#This Row],[Kr/m3]]</f>
        <v>0</v>
      </c>
      <c r="H53" s="8">
        <f>Tabell6[[#This Row],[Summa fast avg/hushåll]]</f>
        <v>879.14738095238101</v>
      </c>
      <c r="I53" s="8">
        <f>Tabell6[[#This Row],[Medlems avg]]/14</f>
        <v>1000</v>
      </c>
      <c r="J53" s="8"/>
      <c r="K53" s="8">
        <f>IF(Tabell4101112131415161718[[#This Row],[Nuvarande]], SUM(Tabell4101112131415161718[[#This Row],[Summa förbrukning]:[Lån]])+Tabell4101112131415161718[[#This Row],[Korr]],0)</f>
        <v>0</v>
      </c>
      <c r="L53" s="2"/>
    </row>
    <row r="54" spans="1:12" x14ac:dyDescent="0.25">
      <c r="A54" s="4">
        <f>Tabell6[[#This Row],[Avläsnings datum]]</f>
        <v>46507</v>
      </c>
      <c r="C54">
        <f t="shared" si="5"/>
        <v>0</v>
      </c>
      <c r="D54">
        <f t="shared" si="6"/>
        <v>0</v>
      </c>
      <c r="E54" s="3">
        <f>Tabell6[[#This Row],[Att fördela]]</f>
        <v>0</v>
      </c>
      <c r="F54">
        <f>Tabell6[[#This Row],[Pris/m3 ink.moms]]</f>
        <v>24</v>
      </c>
      <c r="G54" s="2">
        <f>(Tabell4101112131415161718[[#This Row],[Förbrukning]]+Tabell4101112131415161718[[#This Row],[Utjämning]])*Tabell4101112131415161718[[#This Row],[Kr/m3]]</f>
        <v>0</v>
      </c>
      <c r="H54" s="8">
        <f>Tabell6[[#This Row],[Summa fast avg/hushåll]]</f>
        <v>879.14738095238101</v>
      </c>
      <c r="I54" s="8">
        <f>Tabell6[[#This Row],[Medlems avg]]/14</f>
        <v>1000</v>
      </c>
      <c r="J54" s="8"/>
      <c r="K54" s="8">
        <f>IF(Tabell4101112131415161718[[#This Row],[Nuvarande]], SUM(Tabell4101112131415161718[[#This Row],[Summa förbrukning]:[Lån]])+Tabell4101112131415161718[[#This Row],[Korr]],0)</f>
        <v>0</v>
      </c>
      <c r="L54" s="2"/>
    </row>
    <row r="55" spans="1:12" x14ac:dyDescent="0.25">
      <c r="A55" s="4">
        <f>Tabell6[[#This Row],[Avläsnings datum]]</f>
        <v>46630</v>
      </c>
      <c r="C55">
        <f t="shared" si="5"/>
        <v>0</v>
      </c>
      <c r="D55">
        <f t="shared" si="6"/>
        <v>0</v>
      </c>
      <c r="E55" s="3">
        <f>Tabell6[[#This Row],[Att fördela]]</f>
        <v>0</v>
      </c>
      <c r="F55">
        <f>Tabell6[[#This Row],[Pris/m3 ink.moms]]</f>
        <v>24</v>
      </c>
      <c r="G55" s="2">
        <f>(Tabell4101112131415161718[[#This Row],[Förbrukning]]+Tabell4101112131415161718[[#This Row],[Utjämning]])*Tabell4101112131415161718[[#This Row],[Kr/m3]]</f>
        <v>0</v>
      </c>
      <c r="H55" s="8">
        <f>Tabell6[[#This Row],[Summa fast avg/hushåll]]</f>
        <v>879.14738095238101</v>
      </c>
      <c r="I55" s="8">
        <f>Tabell6[[#This Row],[Medlems avg]]/14</f>
        <v>1000</v>
      </c>
      <c r="J55" s="8"/>
      <c r="K55" s="8">
        <f>IF(Tabell4101112131415161718[[#This Row],[Nuvarande]], SUM(Tabell4101112131415161718[[#This Row],[Summa förbrukning]:[Lån]])+Tabell4101112131415161718[[#This Row],[Korr]],0)</f>
        <v>0</v>
      </c>
      <c r="L55" s="2"/>
    </row>
    <row r="56" spans="1:12" x14ac:dyDescent="0.25">
      <c r="A56" s="4">
        <f>Tabell6[[#This Row],[Avläsnings datum]]</f>
        <v>46752</v>
      </c>
      <c r="C56">
        <f t="shared" si="5"/>
        <v>0</v>
      </c>
      <c r="D56">
        <f t="shared" si="6"/>
        <v>0</v>
      </c>
      <c r="E56" s="3">
        <f>Tabell6[[#This Row],[Att fördela]]</f>
        <v>0</v>
      </c>
      <c r="F56">
        <f>Tabell6[[#This Row],[Pris/m3 ink.moms]]</f>
        <v>24</v>
      </c>
      <c r="G56" s="2">
        <f>(Tabell4101112131415161718[[#This Row],[Förbrukning]]+Tabell4101112131415161718[[#This Row],[Utjämning]])*Tabell4101112131415161718[[#This Row],[Kr/m3]]</f>
        <v>0</v>
      </c>
      <c r="H56" s="8">
        <f>Tabell6[[#This Row],[Summa fast avg/hushåll]]</f>
        <v>879.14738095238101</v>
      </c>
      <c r="I56" s="8">
        <f>Tabell6[[#This Row],[Medlems avg]]/14</f>
        <v>1000</v>
      </c>
      <c r="J56" s="8"/>
      <c r="K56" s="8">
        <f>IF(Tabell4101112131415161718[[#This Row],[Nuvarande]], SUM(Tabell4101112131415161718[[#This Row],[Summa förbrukning]:[Lån]])+Tabell4101112131415161718[[#This Row],[Korr]],0)</f>
        <v>0</v>
      </c>
      <c r="L56" s="2"/>
    </row>
    <row r="57" spans="1:12" x14ac:dyDescent="0.25">
      <c r="A57" s="4">
        <f>Tabell6[[#This Row],[Avläsnings datum]]</f>
        <v>46873</v>
      </c>
      <c r="C57">
        <f t="shared" si="5"/>
        <v>0</v>
      </c>
      <c r="D57">
        <f t="shared" si="6"/>
        <v>0</v>
      </c>
      <c r="E57" s="3">
        <f>Tabell6[[#This Row],[Att fördela]]</f>
        <v>0</v>
      </c>
      <c r="F57">
        <f>Tabell6[[#This Row],[Pris/m3 ink.moms]]</f>
        <v>24</v>
      </c>
      <c r="G57" s="2">
        <f>(Tabell4101112131415161718[[#This Row],[Förbrukning]]+Tabell4101112131415161718[[#This Row],[Utjämning]])*Tabell4101112131415161718[[#This Row],[Kr/m3]]</f>
        <v>0</v>
      </c>
      <c r="H57" s="8">
        <f>Tabell6[[#This Row],[Summa fast avg/hushåll]]</f>
        <v>879.14738095238101</v>
      </c>
      <c r="I57" s="8">
        <f>Tabell6[[#This Row],[Medlems avg]]/14</f>
        <v>1000</v>
      </c>
      <c r="J57" s="8"/>
      <c r="K57" s="8">
        <f>IF(Tabell4101112131415161718[[#This Row],[Nuvarande]], SUM(Tabell4101112131415161718[[#This Row],[Summa förbrukning]:[Lån]])+Tabell4101112131415161718[[#This Row],[Korr]],0)</f>
        <v>0</v>
      </c>
      <c r="L57" s="2"/>
    </row>
    <row r="58" spans="1:12" x14ac:dyDescent="0.25">
      <c r="A58" s="4">
        <f>Tabell6[[#This Row],[Avläsnings datum]]</f>
        <v>46996</v>
      </c>
      <c r="C58">
        <f t="shared" si="5"/>
        <v>0</v>
      </c>
      <c r="D58">
        <f t="shared" si="6"/>
        <v>0</v>
      </c>
      <c r="E58" s="3">
        <f>Tabell6[[#This Row],[Att fördela]]</f>
        <v>0</v>
      </c>
      <c r="F58">
        <f>Tabell6[[#This Row],[Pris/m3 ink.moms]]</f>
        <v>24</v>
      </c>
      <c r="G58" s="2">
        <f>(Tabell4101112131415161718[[#This Row],[Förbrukning]]+Tabell4101112131415161718[[#This Row],[Utjämning]])*Tabell4101112131415161718[[#This Row],[Kr/m3]]</f>
        <v>0</v>
      </c>
      <c r="H58" s="8">
        <f>Tabell6[[#This Row],[Summa fast avg/hushåll]]</f>
        <v>879.14738095238101</v>
      </c>
      <c r="I58" s="8">
        <f>Tabell6[[#This Row],[Medlems avg]]/14</f>
        <v>1000</v>
      </c>
      <c r="J58" s="8"/>
      <c r="K58" s="8">
        <f>IF(Tabell4101112131415161718[[#This Row],[Nuvarande]], SUM(Tabell4101112131415161718[[#This Row],[Summa förbrukning]:[Lån]])+Tabell4101112131415161718[[#This Row],[Korr]],0)</f>
        <v>0</v>
      </c>
      <c r="L58" s="2"/>
    </row>
    <row r="59" spans="1:12" x14ac:dyDescent="0.25">
      <c r="A59" s="4">
        <f>Tabell6[[#This Row],[Avläsnings datum]]</f>
        <v>47118</v>
      </c>
      <c r="C59">
        <f t="shared" si="5"/>
        <v>0</v>
      </c>
      <c r="D59">
        <f t="shared" si="6"/>
        <v>0</v>
      </c>
      <c r="E59" s="3">
        <f>Tabell6[[#This Row],[Att fördela]]</f>
        <v>0</v>
      </c>
      <c r="F59">
        <f>Tabell6[[#This Row],[Pris/m3 ink.moms]]</f>
        <v>24</v>
      </c>
      <c r="G59" s="2">
        <f>(Tabell4101112131415161718[[#This Row],[Förbrukning]]+Tabell4101112131415161718[[#This Row],[Utjämning]])*Tabell4101112131415161718[[#This Row],[Kr/m3]]</f>
        <v>0</v>
      </c>
      <c r="H59" s="8">
        <f>Tabell6[[#This Row],[Summa fast avg/hushåll]]</f>
        <v>879.14738095238101</v>
      </c>
      <c r="I59" s="8">
        <f>Tabell6[[#This Row],[Medlems avg]]/14</f>
        <v>1000</v>
      </c>
      <c r="J59" s="8"/>
      <c r="K59" s="8">
        <f>IF(Tabell4101112131415161718[[#This Row],[Nuvarande]], SUM(Tabell4101112131415161718[[#This Row],[Summa förbrukning]:[Lån]])+Tabell4101112131415161718[[#This Row],[Korr]],0)</f>
        <v>0</v>
      </c>
      <c r="L59" s="2"/>
    </row>
    <row r="60" spans="1:12" x14ac:dyDescent="0.25">
      <c r="A60" s="4">
        <f>Tabell6[[#This Row],[Avläsnings datum]]</f>
        <v>47238</v>
      </c>
      <c r="C60">
        <f t="shared" si="5"/>
        <v>0</v>
      </c>
      <c r="D60">
        <f t="shared" si="6"/>
        <v>0</v>
      </c>
      <c r="E60" s="3">
        <f>Tabell6[[#This Row],[Att fördela]]</f>
        <v>0</v>
      </c>
      <c r="F60">
        <f>Tabell6[[#This Row],[Pris/m3 ink.moms]]</f>
        <v>24</v>
      </c>
      <c r="G60" s="2">
        <f>(Tabell4101112131415161718[[#This Row],[Förbrukning]]+Tabell4101112131415161718[[#This Row],[Utjämning]])*Tabell4101112131415161718[[#This Row],[Kr/m3]]</f>
        <v>0</v>
      </c>
      <c r="H60" s="8">
        <f>Tabell6[[#This Row],[Summa fast avg/hushåll]]</f>
        <v>879.14738095238101</v>
      </c>
      <c r="I60" s="8">
        <f>Tabell6[[#This Row],[Medlems avg]]/14</f>
        <v>1000</v>
      </c>
      <c r="J60" s="8"/>
      <c r="K60" s="8">
        <f>IF(Tabell4101112131415161718[[#This Row],[Nuvarande]], SUM(Tabell4101112131415161718[[#This Row],[Summa förbrukning]:[Lån]])+Tabell4101112131415161718[[#This Row],[Korr]],0)</f>
        <v>0</v>
      </c>
      <c r="L60" s="2"/>
    </row>
  </sheetData>
  <pageMargins left="0.7" right="0.7" top="0.75" bottom="0.75" header="0.3" footer="0.3"/>
  <pageSetup paperSize="9" orientation="portrait" r:id="rId1"/>
  <ignoredErrors>
    <ignoredError sqref="A21:A36" calculatedColumn="1"/>
  </ignoredErrors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3"/>
  <dimension ref="A1:L60"/>
  <sheetViews>
    <sheetView workbookViewId="0">
      <selection activeCell="B49" sqref="B49"/>
    </sheetView>
  </sheetViews>
  <sheetFormatPr defaultRowHeight="15" x14ac:dyDescent="0.25"/>
  <cols>
    <col min="1" max="1" width="20.28515625" customWidth="1"/>
    <col min="2" max="2" width="13" bestFit="1" customWidth="1"/>
    <col min="3" max="3" width="13.85546875" bestFit="1" customWidth="1"/>
    <col min="4" max="5" width="15.140625" customWidth="1"/>
    <col min="6" max="6" width="11.140625" customWidth="1"/>
    <col min="7" max="7" width="21" style="2" bestFit="1" customWidth="1"/>
    <col min="8" max="8" width="10.28515625" style="2" bestFit="1" customWidth="1"/>
    <col min="9" max="9" width="15.140625" bestFit="1" customWidth="1"/>
    <col min="11" max="11" width="12" bestFit="1" customWidth="1"/>
  </cols>
  <sheetData>
    <row r="1" spans="1:12" x14ac:dyDescent="0.25">
      <c r="A1">
        <v>26</v>
      </c>
      <c r="J1" s="6" t="s">
        <v>31</v>
      </c>
    </row>
    <row r="2" spans="1:12" x14ac:dyDescent="0.25">
      <c r="J2" s="5" t="s">
        <v>43</v>
      </c>
    </row>
    <row r="3" spans="1:12" x14ac:dyDescent="0.25">
      <c r="B3">
        <f>VLOOKUP('Huvud mätare'!$A1,$A5:$K87,2)</f>
        <v>186</v>
      </c>
      <c r="C3">
        <f>VLOOKUP('Huvud mätare'!$A1,$A5:$K87,3)</f>
        <v>158</v>
      </c>
      <c r="D3">
        <f>VLOOKUP('Huvud mätare'!$A1,$A5:$K87,4)</f>
        <v>28</v>
      </c>
      <c r="E3">
        <f>VLOOKUP('Huvud mätare'!$A1,$A5:$K87,5)</f>
        <v>-1.5</v>
      </c>
      <c r="F3">
        <f>VLOOKUP('Huvud mätare'!$A1,$A5:$K87,6)</f>
        <v>24</v>
      </c>
      <c r="G3" s="2">
        <f>VLOOKUP('Huvud mätare'!$A1,$A5:$K87,7)</f>
        <v>636</v>
      </c>
      <c r="H3" s="2">
        <f>VLOOKUP('Huvud mätare'!$A1,$A5:$K87,8)</f>
        <v>879.14738095238101</v>
      </c>
      <c r="I3">
        <f>VLOOKUP('Huvud mätare'!$A1,$A5:$K87,9)</f>
        <v>1000</v>
      </c>
      <c r="J3">
        <f>VLOOKUP('Huvud mätare'!$A1,$A5:$K87,10)</f>
        <v>0</v>
      </c>
      <c r="K3">
        <f>VLOOKUP('Huvud mätare'!$A1,$A5:$K87,11)</f>
        <v>2515.1473809523809</v>
      </c>
      <c r="L3">
        <f>VLOOKUP('Huvud mätare'!$A1,$A5:$L87,12)</f>
        <v>0</v>
      </c>
    </row>
    <row r="4" spans="1:12" ht="15" customHeight="1" x14ac:dyDescent="0.25">
      <c r="A4" t="s">
        <v>12</v>
      </c>
      <c r="B4" s="1" t="s">
        <v>33</v>
      </c>
      <c r="C4" s="1" t="s">
        <v>34</v>
      </c>
      <c r="D4" t="s">
        <v>35</v>
      </c>
      <c r="E4" t="s">
        <v>36</v>
      </c>
      <c r="F4" t="s">
        <v>37</v>
      </c>
      <c r="G4" s="2" t="s">
        <v>38</v>
      </c>
      <c r="H4" s="2" t="s">
        <v>25</v>
      </c>
      <c r="I4" t="s">
        <v>30</v>
      </c>
      <c r="J4" t="s">
        <v>39</v>
      </c>
      <c r="K4" t="s">
        <v>40</v>
      </c>
      <c r="L4" t="s">
        <v>41</v>
      </c>
    </row>
    <row r="5" spans="1:12" x14ac:dyDescent="0.25">
      <c r="A5" s="4">
        <f>Tabell6[[#This Row],[Avläsnings datum]]</f>
        <v>40543</v>
      </c>
      <c r="B5">
        <v>2013</v>
      </c>
      <c r="C5">
        <v>1963</v>
      </c>
      <c r="D5">
        <f t="shared" ref="D5:D21" si="0">IF(B5-C5&lt;0,0,B5-C5)</f>
        <v>50</v>
      </c>
      <c r="E5" s="3">
        <f>Tabell6[[#This Row],[Att fördela]]</f>
        <v>0.15714285714286039</v>
      </c>
      <c r="F5">
        <f>Tabell6[[#This Row],[Pris/m3 ink.moms]]</f>
        <v>16.88</v>
      </c>
      <c r="G5" s="2">
        <f>(Tabell410111213141516171819[[#This Row],[Förbrukning]]+Tabell410111213141516171819[[#This Row],[Utjämning]])*Tabell410111213141516171819[[#This Row],[Kr/m3]]</f>
        <v>846.65257142857138</v>
      </c>
      <c r="H5" s="27">
        <f>Tabell6[[#This Row],[Summa fast avg/hushåll]]</f>
        <v>378.07142857142856</v>
      </c>
      <c r="I5" s="2">
        <f>Tabell6[[#This Row],[Medlems avg]]/14</f>
        <v>0</v>
      </c>
      <c r="J5" s="8"/>
      <c r="K5" s="8">
        <f>IF(Tabell410111213141516171819[[#This Row],[Nuvarande]], SUM(Tabell410111213141516171819[[#This Row],[Summa förbrukning]:[Lån]])+Tabell410111213141516171819[[#This Row],[Korr]],0)</f>
        <v>1224.7239999999999</v>
      </c>
      <c r="L5" s="2"/>
    </row>
    <row r="6" spans="1:12" x14ac:dyDescent="0.25">
      <c r="A6" s="4">
        <f>Tabell6[[#This Row],[Avläsnings datum]]</f>
        <v>40664</v>
      </c>
      <c r="B6">
        <v>2055</v>
      </c>
      <c r="C6">
        <f t="shared" ref="C6:C21" si="1">B5</f>
        <v>2013</v>
      </c>
      <c r="D6">
        <f t="shared" si="0"/>
        <v>42</v>
      </c>
      <c r="E6" s="3">
        <f>Tabell6[[#This Row],[Att fördela]]</f>
        <v>2.8571428571418828E-2</v>
      </c>
      <c r="F6">
        <f>Tabell6[[#This Row],[Pris/m3 ink.moms]]</f>
        <v>16.88</v>
      </c>
      <c r="G6" s="2">
        <f>(Tabell410111213141516171819[[#This Row],[Förbrukning]]+Tabell410111213141516171819[[#This Row],[Utjämning]])*Tabell410111213141516171819[[#This Row],[Kr/m3]]</f>
        <v>709.4422857142855</v>
      </c>
      <c r="H6" s="27">
        <f>Tabell6[[#This Row],[Summa fast avg/hushåll]]</f>
        <v>378.07142857142856</v>
      </c>
      <c r="I6" s="8">
        <f>Tabell6[[#This Row],[Medlems avg]]/14</f>
        <v>0</v>
      </c>
      <c r="J6" s="8"/>
      <c r="K6" s="8">
        <f>IF(Tabell410111213141516171819[[#This Row],[Nuvarande]], SUM(Tabell410111213141516171819[[#This Row],[Summa förbrukning]:[Lån]])+Tabell410111213141516171819[[#This Row],[Korr]],0)</f>
        <v>1087.5137142857141</v>
      </c>
      <c r="L6" s="2"/>
    </row>
    <row r="7" spans="1:12" x14ac:dyDescent="0.25">
      <c r="A7" s="4">
        <f>Tabell6[[#This Row],[Avläsnings datum]]</f>
        <v>40786</v>
      </c>
      <c r="B7">
        <v>2092</v>
      </c>
      <c r="C7">
        <f t="shared" si="1"/>
        <v>2055</v>
      </c>
      <c r="D7">
        <f t="shared" si="0"/>
        <v>37</v>
      </c>
      <c r="E7" s="3">
        <f>Tabell6[[#This Row],[Att fördela]]</f>
        <v>-2.8571428571426947E-2</v>
      </c>
      <c r="F7">
        <f>Tabell6[[#This Row],[Pris/m3 ink.moms]]</f>
        <v>16.88</v>
      </c>
      <c r="G7" s="2">
        <f>(Tabell410111213141516171819[[#This Row],[Förbrukning]]+Tabell410111213141516171819[[#This Row],[Utjämning]])*Tabell410111213141516171819[[#This Row],[Kr/m3]]</f>
        <v>624.07771428571436</v>
      </c>
      <c r="H7" s="27">
        <f>Tabell6[[#This Row],[Summa fast avg/hushåll]]</f>
        <v>378.07142857142856</v>
      </c>
      <c r="I7" s="8">
        <f>Tabell6[[#This Row],[Medlems avg]]/14</f>
        <v>0</v>
      </c>
      <c r="J7" s="8"/>
      <c r="K7" s="8">
        <f>IF(Tabell410111213141516171819[[#This Row],[Nuvarande]], SUM(Tabell410111213141516171819[[#This Row],[Summa förbrukning]:[Lån]])+Tabell410111213141516171819[[#This Row],[Korr]],0)</f>
        <v>1002.1491428571429</v>
      </c>
      <c r="L7" s="2"/>
    </row>
    <row r="8" spans="1:12" x14ac:dyDescent="0.25">
      <c r="A8" s="4">
        <f>Tabell6[[#This Row],[Avläsnings datum]]</f>
        <v>40908</v>
      </c>
      <c r="B8">
        <v>2130</v>
      </c>
      <c r="C8">
        <f t="shared" si="1"/>
        <v>2092</v>
      </c>
      <c r="D8">
        <f t="shared" si="0"/>
        <v>38</v>
      </c>
      <c r="E8" s="3">
        <f>Tabell6[[#This Row],[Att fördela]]</f>
        <v>-0.22857142857142371</v>
      </c>
      <c r="F8">
        <f>Tabell6[[#This Row],[Pris/m3 ink.moms]]</f>
        <v>16.825000000000003</v>
      </c>
      <c r="G8" s="2">
        <f>(Tabell410111213141516171819[[#This Row],[Förbrukning]]+Tabell410111213141516171819[[#This Row],[Utjämning]])*Tabell410111213141516171819[[#This Row],[Kr/m3]]</f>
        <v>635.50428571428597</v>
      </c>
      <c r="H8" s="27">
        <f>Tabell6[[#This Row],[Summa fast avg/hushåll]]</f>
        <v>378.07142857142856</v>
      </c>
      <c r="I8" s="8">
        <f>Tabell6[[#This Row],[Medlems avg]]/14</f>
        <v>1000</v>
      </c>
      <c r="J8" s="8">
        <v>760</v>
      </c>
      <c r="K8" s="8">
        <f>IF(Tabell410111213141516171819[[#This Row],[Nuvarande]], SUM(Tabell410111213141516171819[[#This Row],[Summa förbrukning]:[Lån]])+Tabell410111213141516171819[[#This Row],[Korr]],0)</f>
        <v>2773.5757142857146</v>
      </c>
      <c r="L8" s="2"/>
    </row>
    <row r="9" spans="1:12" x14ac:dyDescent="0.25">
      <c r="A9" s="4">
        <f>Tabell6[[#This Row],[Avläsnings datum]]</f>
        <v>41029</v>
      </c>
      <c r="B9">
        <v>2171</v>
      </c>
      <c r="C9">
        <f t="shared" si="1"/>
        <v>2130</v>
      </c>
      <c r="D9">
        <f t="shared" si="0"/>
        <v>41</v>
      </c>
      <c r="E9" s="3">
        <f>Tabell6[[#This Row],[Att fördela]]</f>
        <v>-1</v>
      </c>
      <c r="F9">
        <f>Tabell6[[#This Row],[Pris/m3 ink.moms]]</f>
        <v>16.825000000000003</v>
      </c>
      <c r="G9" s="2">
        <f>(Tabell410111213141516171819[[#This Row],[Förbrukning]]+Tabell410111213141516171819[[#This Row],[Utjämning]])*Tabell410111213141516171819[[#This Row],[Kr/m3]]</f>
        <v>673.00000000000011</v>
      </c>
      <c r="H9" s="27">
        <f>Tabell6[[#This Row],[Summa fast avg/hushåll]]</f>
        <v>378.07142857142856</v>
      </c>
      <c r="I9" s="8">
        <f>Tabell6[[#This Row],[Medlems avg]]/14</f>
        <v>1000</v>
      </c>
      <c r="J9" s="8">
        <f>Lån!D10</f>
        <v>746.28571428571433</v>
      </c>
      <c r="K9" s="8">
        <f>IF(Tabell410111213141516171819[[#This Row],[Nuvarande]], SUM(Tabell410111213141516171819[[#This Row],[Summa förbrukning]:[Lån]])+Tabell410111213141516171819[[#This Row],[Korr]],0)</f>
        <v>2797.3571428571427</v>
      </c>
      <c r="L9" s="2"/>
    </row>
    <row r="10" spans="1:12" x14ac:dyDescent="0.25">
      <c r="A10" s="4">
        <f>Tabell6[[#This Row],[Avläsnings datum]]</f>
        <v>41152</v>
      </c>
      <c r="B10">
        <v>2207</v>
      </c>
      <c r="C10">
        <f t="shared" si="1"/>
        <v>2171</v>
      </c>
      <c r="D10">
        <f t="shared" si="0"/>
        <v>36</v>
      </c>
      <c r="E10" s="3">
        <f>Tabell6[[#This Row],[Att fördela]]</f>
        <v>-0.14285714285714285</v>
      </c>
      <c r="F10">
        <f>Tabell6[[#This Row],[Pris/m3 ink.moms]]</f>
        <v>16.825000000000003</v>
      </c>
      <c r="G10" s="2">
        <f>(Tabell410111213141516171819[[#This Row],[Förbrukning]]+Tabell410111213141516171819[[#This Row],[Utjämning]])*Tabell410111213141516171819[[#This Row],[Kr/m3]]</f>
        <v>603.29642857142858</v>
      </c>
      <c r="H10" s="27">
        <f>Tabell6[[#This Row],[Summa fast avg/hushåll]]</f>
        <v>378.07142857142856</v>
      </c>
      <c r="I10" s="8">
        <f>Tabell6[[#This Row],[Medlems avg]]/14</f>
        <v>1000</v>
      </c>
      <c r="J10" s="8">
        <f>Lån!D14</f>
        <v>736.85714285714289</v>
      </c>
      <c r="K10" s="8">
        <f>IF(Tabell410111213141516171819[[#This Row],[Nuvarande]], SUM(Tabell410111213141516171819[[#This Row],[Summa förbrukning]:[Lån]])+Tabell410111213141516171819[[#This Row],[Korr]],0)</f>
        <v>2718.2250000000004</v>
      </c>
      <c r="L10" s="2"/>
    </row>
    <row r="11" spans="1:12" x14ac:dyDescent="0.25">
      <c r="A11" s="4">
        <f>Tabell6[[#This Row],[Avläsnings datum]]</f>
        <v>41274</v>
      </c>
      <c r="B11">
        <v>2226</v>
      </c>
      <c r="C11">
        <f t="shared" si="1"/>
        <v>2207</v>
      </c>
      <c r="D11">
        <f t="shared" si="0"/>
        <v>19</v>
      </c>
      <c r="E11" s="3">
        <f>Tabell6[[#This Row],[Att fördela]]</f>
        <v>-0.9285714285714286</v>
      </c>
      <c r="F11">
        <f>Tabell6[[#This Row],[Pris/m3 ink.moms]]</f>
        <v>14.8125</v>
      </c>
      <c r="G11" s="2">
        <f>(Tabell410111213141516171819[[#This Row],[Förbrukning]]+Tabell410111213141516171819[[#This Row],[Utjämning]])*Tabell410111213141516171819[[#This Row],[Kr/m3]]</f>
        <v>267.68303571428572</v>
      </c>
      <c r="H11" s="27">
        <f>Tabell6[[#This Row],[Summa fast avg/hushåll]]</f>
        <v>542.26190476190482</v>
      </c>
      <c r="I11" s="8">
        <f>Tabell6[[#This Row],[Medlems avg]]/14</f>
        <v>1000</v>
      </c>
      <c r="J11" s="15">
        <f>Lån!D18</f>
        <v>721.57142857142856</v>
      </c>
      <c r="K11" s="8">
        <f>IF(Tabell410111213141516171819[[#This Row],[Nuvarande]], SUM(Tabell410111213141516171819[[#This Row],[Summa förbrukning]:[Lån]])+Tabell410111213141516171819[[#This Row],[Korr]],0)</f>
        <v>2531.5163690476193</v>
      </c>
      <c r="L11" s="2"/>
    </row>
    <row r="12" spans="1:12" x14ac:dyDescent="0.25">
      <c r="A12" s="4">
        <f>Tabell6[[#This Row],[Avläsnings datum]]</f>
        <v>41394</v>
      </c>
      <c r="B12">
        <v>2283</v>
      </c>
      <c r="C12">
        <f t="shared" si="1"/>
        <v>2226</v>
      </c>
      <c r="D12">
        <f t="shared" si="0"/>
        <v>57</v>
      </c>
      <c r="E12" s="3">
        <f>Tabell6[[#This Row],[Att fördela]]</f>
        <v>-1.5714285714285714</v>
      </c>
      <c r="F12">
        <f>Tabell6[[#This Row],[Pris/m3 ink.moms]]</f>
        <v>14.8125</v>
      </c>
      <c r="G12" s="2">
        <f>(Tabell410111213141516171819[[#This Row],[Förbrukning]]+Tabell410111213141516171819[[#This Row],[Utjämning]])*Tabell410111213141516171819[[#This Row],[Kr/m3]]</f>
        <v>821.03571428571433</v>
      </c>
      <c r="H12" s="27">
        <f>Tabell6[[#This Row],[Summa fast avg/hushåll]]</f>
        <v>542.26190476190482</v>
      </c>
      <c r="I12" s="8">
        <f>Tabell6[[#This Row],[Medlems avg]]/14</f>
        <v>1000</v>
      </c>
      <c r="J12" s="8">
        <f>Lån!D22</f>
        <v>705.57142857142856</v>
      </c>
      <c r="K12" s="8">
        <f>IF(Tabell410111213141516171819[[#This Row],[Nuvarande]], SUM(Tabell410111213141516171819[[#This Row],[Summa förbrukning]:[Lån]])+Tabell410111213141516171819[[#This Row],[Korr]],0)</f>
        <v>3068.8690476190477</v>
      </c>
      <c r="L12" s="2"/>
    </row>
    <row r="13" spans="1:12" x14ac:dyDescent="0.25">
      <c r="A13" s="4">
        <f>Tabell6[[#This Row],[Avläsnings datum]]</f>
        <v>41517</v>
      </c>
      <c r="B13">
        <v>2333</v>
      </c>
      <c r="C13">
        <f t="shared" si="1"/>
        <v>2283</v>
      </c>
      <c r="D13">
        <f t="shared" si="0"/>
        <v>50</v>
      </c>
      <c r="E13" s="3">
        <f>Tabell6[[#This Row],[Att fördela]]</f>
        <v>-0.8571428571428571</v>
      </c>
      <c r="F13">
        <f>Tabell6[[#This Row],[Pris/m3 ink.moms]]</f>
        <v>14.8125</v>
      </c>
      <c r="G13" s="2">
        <f>(Tabell410111213141516171819[[#This Row],[Förbrukning]]+Tabell410111213141516171819[[#This Row],[Utjämning]])*Tabell410111213141516171819[[#This Row],[Kr/m3]]</f>
        <v>727.92857142857144</v>
      </c>
      <c r="H13" s="27">
        <f>Tabell6[[#This Row],[Summa fast avg/hushåll]]</f>
        <v>542.26190476190482</v>
      </c>
      <c r="I13" s="8">
        <f>Tabell6[[#This Row],[Medlems avg]]/14</f>
        <v>1000</v>
      </c>
      <c r="J13" s="8">
        <f>Lån!D26</f>
        <v>696.85714285714289</v>
      </c>
      <c r="K13" s="8">
        <f>IF(Tabell410111213141516171819[[#This Row],[Nuvarande]], SUM(Tabell410111213141516171819[[#This Row],[Summa förbrukning]:[Lån]])+Tabell410111213141516171819[[#This Row],[Korr]],0)</f>
        <v>2967.0476190476193</v>
      </c>
      <c r="L13" s="2"/>
    </row>
    <row r="14" spans="1:12" x14ac:dyDescent="0.25">
      <c r="A14" s="4">
        <f>Tabell6[[#This Row],[Avläsnings datum]]</f>
        <v>41639</v>
      </c>
      <c r="B14">
        <v>2390</v>
      </c>
      <c r="C14">
        <f t="shared" si="1"/>
        <v>2333</v>
      </c>
      <c r="D14">
        <f t="shared" si="0"/>
        <v>57</v>
      </c>
      <c r="E14" s="3">
        <f>Tabell6[[#This Row],[Att fördela]]</f>
        <v>-2.5</v>
      </c>
      <c r="F14">
        <f>Tabell6[[#This Row],[Pris/m3 ink.moms]]</f>
        <v>14.8125</v>
      </c>
      <c r="G14" s="2">
        <f>(Tabell410111213141516171819[[#This Row],[Förbrukning]]+Tabell410111213141516171819[[#This Row],[Utjämning]])*Tabell410111213141516171819[[#This Row],[Kr/m3]]</f>
        <v>807.28125</v>
      </c>
      <c r="H14" s="27">
        <f>Tabell6[[#This Row],[Summa fast avg/hushåll]]</f>
        <v>547.85714285714289</v>
      </c>
      <c r="I14" s="8">
        <f>Tabell6[[#This Row],[Medlems avg]]/14</f>
        <v>1000</v>
      </c>
      <c r="J14" s="8">
        <f>Lån!D30</f>
        <v>682.28571428571433</v>
      </c>
      <c r="K14" s="8">
        <f>IF(Tabell410111213141516171819[[#This Row],[Nuvarande]], SUM(Tabell410111213141516171819[[#This Row],[Summa förbrukning]:[Lån]])+Tabell410111213141516171819[[#This Row],[Korr]],0)</f>
        <v>3037.4241071428573</v>
      </c>
      <c r="L14" s="2"/>
    </row>
    <row r="15" spans="1:12" x14ac:dyDescent="0.25">
      <c r="A15" s="4">
        <f>Tabell6[[#This Row],[Avläsnings datum]]</f>
        <v>41759</v>
      </c>
      <c r="B15">
        <v>2440</v>
      </c>
      <c r="C15">
        <f t="shared" si="1"/>
        <v>2390</v>
      </c>
      <c r="D15">
        <f t="shared" si="0"/>
        <v>50</v>
      </c>
      <c r="E15" s="3">
        <f>Tabell6[[#This Row],[Att fördela]]</f>
        <v>-1.5714285714285714</v>
      </c>
      <c r="F15">
        <f>Tabell6[[#This Row],[Pris/m3 ink.moms]]</f>
        <v>14.9625</v>
      </c>
      <c r="G15" s="2">
        <f>(Tabell410111213141516171819[[#This Row],[Förbrukning]]+Tabell410111213141516171819[[#This Row],[Utjämning]])*Tabell410111213141516171819[[#This Row],[Kr/m3]]</f>
        <v>724.61250000000007</v>
      </c>
      <c r="H15" s="27">
        <f>Tabell6[[#This Row],[Summa fast avg/hushåll]]</f>
        <v>547.85714285714289</v>
      </c>
      <c r="I15" s="8">
        <f>Tabell6[[#This Row],[Medlems avg]]/14</f>
        <v>1000</v>
      </c>
      <c r="J15" s="8">
        <v>666</v>
      </c>
      <c r="K15" s="8">
        <f>IF(Tabell410111213141516171819[[#This Row],[Nuvarande]], SUM(Tabell410111213141516171819[[#This Row],[Summa förbrukning]:[Lån]])+Tabell410111213141516171819[[#This Row],[Korr]],0)</f>
        <v>2836.6482142857144</v>
      </c>
      <c r="L15" s="2">
        <f t="shared" ref="L15" si="2">K13-K12</f>
        <v>-101.82142857142844</v>
      </c>
    </row>
    <row r="16" spans="1:12" x14ac:dyDescent="0.25">
      <c r="A16" s="4">
        <f>Tabell6[[#This Row],[Avläsnings datum]]</f>
        <v>41882</v>
      </c>
      <c r="B16">
        <v>2488</v>
      </c>
      <c r="C16">
        <f t="shared" si="1"/>
        <v>2440</v>
      </c>
      <c r="D16">
        <f t="shared" si="0"/>
        <v>48</v>
      </c>
      <c r="E16" s="3">
        <f>Tabell6[[#This Row],[Att fördela]]</f>
        <v>-1.7857142857142858</v>
      </c>
      <c r="F16">
        <f>Tabell6[[#This Row],[Pris/m3 ink.moms]]</f>
        <v>14.9625</v>
      </c>
      <c r="G16" s="2">
        <f>(Tabell410111213141516171819[[#This Row],[Förbrukning]]+Tabell410111213141516171819[[#This Row],[Utjämning]])*Tabell410111213141516171819[[#This Row],[Kr/m3]]</f>
        <v>691.48125000000005</v>
      </c>
      <c r="H16" s="27">
        <f>Tabell6[[#This Row],[Summa fast avg/hushåll]]</f>
        <v>547.85714285714289</v>
      </c>
      <c r="I16" s="8">
        <f>Tabell6[[#This Row],[Medlems avg]]/14</f>
        <v>1000</v>
      </c>
      <c r="J16" s="8">
        <v>657</v>
      </c>
      <c r="K16" s="8">
        <f>IF(Tabell410111213141516171819[[#This Row],[Nuvarande]], SUM(Tabell410111213141516171819[[#This Row],[Summa förbrukning]:[Lån]])+Tabell410111213141516171819[[#This Row],[Korr]],0)</f>
        <v>2896.3383928571429</v>
      </c>
      <c r="L16" s="2"/>
    </row>
    <row r="17" spans="1:12" x14ac:dyDescent="0.25">
      <c r="A17" s="4">
        <f>Tabell6[[#This Row],[Avläsnings datum]]</f>
        <v>42004</v>
      </c>
      <c r="B17">
        <v>2542</v>
      </c>
      <c r="C17">
        <f t="shared" si="1"/>
        <v>2488</v>
      </c>
      <c r="D17">
        <f t="shared" si="0"/>
        <v>54</v>
      </c>
      <c r="E17" s="3">
        <f>Tabell6[[#This Row],[Att fördela]]</f>
        <v>-2.0714285714285716</v>
      </c>
      <c r="F17">
        <f>Tabell6[[#This Row],[Pris/m3 ink.moms]]</f>
        <v>14.9625</v>
      </c>
      <c r="G17" s="2">
        <f>(Tabell410111213141516171819[[#This Row],[Förbrukning]]+Tabell410111213141516171819[[#This Row],[Utjämning]])*Tabell410111213141516171819[[#This Row],[Kr/m3]]</f>
        <v>776.98125000000005</v>
      </c>
      <c r="H17" s="27">
        <f>Tabell6[[#This Row],[Summa fast avg/hushåll]]</f>
        <v>547.85714285714289</v>
      </c>
      <c r="I17" s="8">
        <f>Tabell6[[#This Row],[Medlems avg]]/14</f>
        <v>1000</v>
      </c>
      <c r="J17" s="8">
        <v>642</v>
      </c>
      <c r="K17" s="8">
        <f>IF(Tabell410111213141516171819[[#This Row],[Nuvarande]], SUM(Tabell410111213141516171819[[#This Row],[Summa förbrukning]:[Lån]])+Tabell410111213141516171819[[#This Row],[Korr]],0)</f>
        <v>2966.8383928571429</v>
      </c>
      <c r="L17" s="2"/>
    </row>
    <row r="18" spans="1:12" x14ac:dyDescent="0.25">
      <c r="A18" s="4">
        <f>Tabell6[[#This Row],[Avläsnings datum]]</f>
        <v>42124</v>
      </c>
      <c r="B18">
        <v>2598</v>
      </c>
      <c r="C18">
        <f t="shared" si="1"/>
        <v>2542</v>
      </c>
      <c r="D18">
        <f t="shared" si="0"/>
        <v>56</v>
      </c>
      <c r="E18" s="3">
        <f>Tabell6[[#This Row],[Att fördela]]</f>
        <v>-2.5</v>
      </c>
      <c r="F18">
        <f>Tabell6[[#This Row],[Pris/m3 ink.moms]]</f>
        <v>14.9625</v>
      </c>
      <c r="G18" s="2">
        <f>(Tabell410111213141516171819[[#This Row],[Förbrukning]]+Tabell410111213141516171819[[#This Row],[Utjämning]])*Tabell410111213141516171819[[#This Row],[Kr/m3]]</f>
        <v>800.49374999999998</v>
      </c>
      <c r="H18" s="27">
        <f>Tabell6[[#This Row],[Summa fast avg/hushåll]]</f>
        <v>547.85714285714289</v>
      </c>
      <c r="I18" s="8">
        <f>Tabell6[[#This Row],[Medlems avg]]/14</f>
        <v>600</v>
      </c>
      <c r="J18" s="8">
        <f>Lån!D46</f>
        <v>627</v>
      </c>
      <c r="K18" s="8">
        <f>IF(Tabell410111213141516171819[[#This Row],[Nuvarande]], SUM(Tabell410111213141516171819[[#This Row],[Summa förbrukning]:[Lån]])+Tabell410111213141516171819[[#This Row],[Korr]],0)</f>
        <v>2575.3508928571428</v>
      </c>
      <c r="L18" s="2"/>
    </row>
    <row r="19" spans="1:12" x14ac:dyDescent="0.25">
      <c r="A19" s="4">
        <f>Tabell6[[#This Row],[Avläsnings datum]]</f>
        <v>42247</v>
      </c>
      <c r="B19">
        <v>2637</v>
      </c>
      <c r="C19">
        <f t="shared" si="1"/>
        <v>2598</v>
      </c>
      <c r="D19">
        <f t="shared" si="0"/>
        <v>39</v>
      </c>
      <c r="E19" s="3">
        <f>Tabell6[[#This Row],[Att fördela]]</f>
        <v>-2.2857142857142856</v>
      </c>
      <c r="F19">
        <f>Tabell6[[#This Row],[Pris/m3 ink.moms]]</f>
        <v>14.9625</v>
      </c>
      <c r="G19" s="2">
        <f>(Tabell410111213141516171819[[#This Row],[Förbrukning]]+Tabell410111213141516171819[[#This Row],[Utjämning]])*Tabell410111213141516171819[[#This Row],[Kr/m3]]</f>
        <v>549.33749999999998</v>
      </c>
      <c r="H19" s="27">
        <f>Tabell6[[#This Row],[Summa fast avg/hushåll]]</f>
        <v>547.85714285714289</v>
      </c>
      <c r="I19" s="8">
        <f>Tabell6[[#This Row],[Medlems avg]]/14</f>
        <v>600</v>
      </c>
      <c r="J19" s="2">
        <f>Lån!D50</f>
        <v>616.28571428571433</v>
      </c>
      <c r="K19" s="8">
        <f>IF(Tabell410111213141516171819[[#This Row],[Nuvarande]], SUM(Tabell410111213141516171819[[#This Row],[Summa förbrukning]:[Lån]])+Tabell410111213141516171819[[#This Row],[Korr]],0)</f>
        <v>2313.480357142857</v>
      </c>
      <c r="L19" s="2"/>
    </row>
    <row r="20" spans="1:12" x14ac:dyDescent="0.25">
      <c r="A20" s="4">
        <f>Tabell6[[#This Row],[Avläsnings datum]]</f>
        <v>42369</v>
      </c>
      <c r="B20">
        <v>2689</v>
      </c>
      <c r="C20">
        <f t="shared" si="1"/>
        <v>2637</v>
      </c>
      <c r="D20">
        <f t="shared" si="0"/>
        <v>52</v>
      </c>
      <c r="E20" s="3">
        <f>Tabell6[[#This Row],[Att fördela]]</f>
        <v>-2.8571428571428572</v>
      </c>
      <c r="F20">
        <f>Tabell6[[#This Row],[Pris/m3 ink.moms]]</f>
        <v>14.9625</v>
      </c>
      <c r="G20" s="2">
        <f>(Tabell410111213141516171819[[#This Row],[Förbrukning]]+Tabell410111213141516171819[[#This Row],[Utjämning]])*Tabell410111213141516171819[[#This Row],[Kr/m3]]</f>
        <v>735.30000000000007</v>
      </c>
      <c r="H20" s="27">
        <f>Tabell6[[#This Row],[Summa fast avg/hushåll]]</f>
        <v>547.85714285714289</v>
      </c>
      <c r="I20" s="8">
        <f>Tabell6[[#This Row],[Medlems avg]]/14</f>
        <v>600</v>
      </c>
      <c r="J20" s="26">
        <f>Lån!D54</f>
        <v>599.71428571428567</v>
      </c>
      <c r="K20" s="8">
        <f>IF(Tabell410111213141516171819[[#This Row],[Nuvarande]], SUM(Tabell410111213141516171819[[#This Row],[Summa förbrukning]:[Lån]])+Tabell410111213141516171819[[#This Row],[Korr]],0)</f>
        <v>2482.8714285714286</v>
      </c>
      <c r="L20" s="2"/>
    </row>
    <row r="21" spans="1:12" x14ac:dyDescent="0.25">
      <c r="A21" s="4">
        <v>42490</v>
      </c>
      <c r="B21">
        <v>2759</v>
      </c>
      <c r="C21">
        <f t="shared" si="1"/>
        <v>2689</v>
      </c>
      <c r="D21">
        <f t="shared" si="0"/>
        <v>70</v>
      </c>
      <c r="E21" s="3">
        <f>Tabell6[[#This Row],[Att fördela]]</f>
        <v>-3.5</v>
      </c>
      <c r="F21">
        <f>Tabell6[[#This Row],[Pris/m3 ink.moms]]</f>
        <v>14.9625</v>
      </c>
      <c r="G21" s="2">
        <f>(Tabell410111213141516171819[[#This Row],[Förbrukning]]+Tabell410111213141516171819[[#This Row],[Utjämning]])*Tabell410111213141516171819[[#This Row],[Kr/m3]]</f>
        <v>995.00625000000002</v>
      </c>
      <c r="H21" s="27">
        <f>Tabell6[[#This Row],[Summa fast avg/hushåll]]</f>
        <v>547.85714285714289</v>
      </c>
      <c r="I21" s="8">
        <f>Tabell6[[#This Row],[Medlems avg]]/14</f>
        <v>600</v>
      </c>
      <c r="J21" s="26">
        <f>Lån!D58</f>
        <v>578.57142857142856</v>
      </c>
      <c r="K21" s="8">
        <f>IF(Tabell410111213141516171819[[#This Row],[Nuvarande]], SUM(Tabell410111213141516171819[[#This Row],[Summa förbrukning]:[Lån]])+Tabell410111213141516171819[[#This Row],[Korr]],0)</f>
        <v>-0.4357142857143117</v>
      </c>
      <c r="L21" s="2">
        <f>(K19-K18)+115-2575</f>
        <v>-2721.8705357142858</v>
      </c>
    </row>
    <row r="22" spans="1:12" x14ac:dyDescent="0.25">
      <c r="A22" s="4">
        <v>42613</v>
      </c>
      <c r="B22">
        <v>2779</v>
      </c>
      <c r="C22">
        <f t="shared" ref="C22:C36" si="3">B21</f>
        <v>2759</v>
      </c>
      <c r="D22">
        <f t="shared" ref="D22:D36" si="4">IF(B22-C22&lt;0,0,B22-C22)</f>
        <v>20</v>
      </c>
      <c r="E22" s="3">
        <f>Tabell6[[#This Row],[Att fördela]]</f>
        <v>-1.0714285714285714</v>
      </c>
      <c r="F22">
        <f>Tabell6[[#This Row],[Pris/m3 ink.moms]]</f>
        <v>14.9625</v>
      </c>
      <c r="G22" s="2">
        <f>(Tabell410111213141516171819[[#This Row],[Förbrukning]]+Tabell410111213141516171819[[#This Row],[Utjämning]])*Tabell410111213141516171819[[#This Row],[Kr/m3]]</f>
        <v>283.21875</v>
      </c>
      <c r="H22" s="27">
        <f>Tabell6[[#This Row],[Summa fast avg/hushåll]]</f>
        <v>547.85714285714289</v>
      </c>
      <c r="I22" s="8">
        <f>Tabell6[[#This Row],[Medlems avg]]/14</f>
        <v>600</v>
      </c>
      <c r="J22" s="26">
        <f>Lån!D62+2320</f>
        <v>2888.5714285714284</v>
      </c>
      <c r="K22" s="8">
        <f>IF(Tabell410111213141516171819[[#This Row],[Nuvarande]], SUM(Tabell410111213141516171819[[#This Row],[Summa förbrukning]:[Lån]])+Tabell410111213141516171819[[#This Row],[Korr]],0)</f>
        <v>4204.6473214285716</v>
      </c>
      <c r="L22" s="2">
        <f>-115</f>
        <v>-115</v>
      </c>
    </row>
    <row r="23" spans="1:12" x14ac:dyDescent="0.25">
      <c r="A23" s="4">
        <v>42735</v>
      </c>
      <c r="B23">
        <v>2831</v>
      </c>
      <c r="C23">
        <f t="shared" si="3"/>
        <v>2779</v>
      </c>
      <c r="D23">
        <f t="shared" si="4"/>
        <v>52</v>
      </c>
      <c r="E23" s="3">
        <f>Tabell6[[#This Row],[Att fördela]]</f>
        <v>-3.7142857142857144</v>
      </c>
      <c r="F23">
        <f>Tabell6[[#This Row],[Pris/m3 ink.moms]]</f>
        <v>14.9625</v>
      </c>
      <c r="G23" s="2">
        <f>(Tabell410111213141516171819[[#This Row],[Förbrukning]]+Tabell410111213141516171819[[#This Row],[Utjämning]])*Tabell410111213141516171819[[#This Row],[Kr/m3]]</f>
        <v>722.47500000000002</v>
      </c>
      <c r="H23" s="27">
        <f>Tabell6[[#This Row],[Summa fast avg/hushåll]]</f>
        <v>547.85714285714289</v>
      </c>
      <c r="I23" s="8">
        <f>Tabell6[[#This Row],[Medlems avg]]/14</f>
        <v>600</v>
      </c>
      <c r="J23" s="8"/>
      <c r="K23" s="8">
        <f>IF(Tabell410111213141516171819[[#This Row],[Nuvarande]], SUM(Tabell410111213141516171819[[#This Row],[Summa förbrukning]:[Lån]])+Tabell410111213141516171819[[#This Row],[Korr]],0)</f>
        <v>1870.332142857143</v>
      </c>
      <c r="L23" s="2"/>
    </row>
    <row r="24" spans="1:12" x14ac:dyDescent="0.25">
      <c r="A24" s="4">
        <v>42855</v>
      </c>
      <c r="B24">
        <v>2890</v>
      </c>
      <c r="C24">
        <f t="shared" si="3"/>
        <v>2831</v>
      </c>
      <c r="D24">
        <f t="shared" si="4"/>
        <v>59</v>
      </c>
      <c r="E24" s="3">
        <f>Tabell6[[#This Row],[Att fördela]]</f>
        <v>-2</v>
      </c>
      <c r="F24">
        <f>Tabell6[[#This Row],[Pris/m3 ink.moms]]</f>
        <v>14.9625</v>
      </c>
      <c r="G24" s="2">
        <f>(Tabell410111213141516171819[[#This Row],[Förbrukning]]+Tabell410111213141516171819[[#This Row],[Utjämning]])*Tabell410111213141516171819[[#This Row],[Kr/m3]]</f>
        <v>852.86250000000007</v>
      </c>
      <c r="H24" s="27">
        <f>Tabell6[[#This Row],[Summa fast avg/hushåll]]</f>
        <v>547.85714285714289</v>
      </c>
      <c r="I24" s="8">
        <f>Tabell6[[#This Row],[Medlems avg]]/14</f>
        <v>700</v>
      </c>
      <c r="J24" s="8"/>
      <c r="K24" s="8">
        <f>IF(Tabell410111213141516171819[[#This Row],[Nuvarande]], SUM(Tabell410111213141516171819[[#This Row],[Summa förbrukning]:[Lån]])+Tabell410111213141516171819[[#This Row],[Korr]],0)</f>
        <v>2100.7196428571428</v>
      </c>
      <c r="L24" s="2"/>
    </row>
    <row r="25" spans="1:12" x14ac:dyDescent="0.25">
      <c r="A25" s="4">
        <v>42978</v>
      </c>
      <c r="B25">
        <v>2945</v>
      </c>
      <c r="C25">
        <f t="shared" si="3"/>
        <v>2890</v>
      </c>
      <c r="D25">
        <f t="shared" si="4"/>
        <v>55</v>
      </c>
      <c r="E25" s="3">
        <f>Tabell6[[#This Row],[Att fördela]]</f>
        <v>-3.3571428571428572</v>
      </c>
      <c r="F25">
        <f>Tabell6[[#This Row],[Pris/m3 ink.moms]]</f>
        <v>14.9625</v>
      </c>
      <c r="G25" s="2">
        <f>(Tabell410111213141516171819[[#This Row],[Förbrukning]]+Tabell410111213141516171819[[#This Row],[Utjämning]])*Tabell410111213141516171819[[#This Row],[Kr/m3]]</f>
        <v>772.70625000000007</v>
      </c>
      <c r="H25" s="27">
        <f>Tabell6[[#This Row],[Summa fast avg/hushåll]]</f>
        <v>547.85714285714289</v>
      </c>
      <c r="I25" s="8">
        <f>Tabell6[[#This Row],[Medlems avg]]/14</f>
        <v>700</v>
      </c>
      <c r="J25" s="8"/>
      <c r="K25" s="8">
        <f>IF(Tabell410111213141516171819[[#This Row],[Nuvarande]], SUM(Tabell410111213141516171819[[#This Row],[Summa förbrukning]:[Lån]])+Tabell410111213141516171819[[#This Row],[Korr]],0)</f>
        <v>2020.5633928571428</v>
      </c>
      <c r="L25" s="2"/>
    </row>
    <row r="26" spans="1:12" x14ac:dyDescent="0.25">
      <c r="A26" s="4">
        <v>43100</v>
      </c>
      <c r="B26">
        <v>3003</v>
      </c>
      <c r="C26">
        <f t="shared" si="3"/>
        <v>2945</v>
      </c>
      <c r="D26">
        <f t="shared" si="4"/>
        <v>58</v>
      </c>
      <c r="E26" s="3">
        <f>Tabell6[[#This Row],[Att fördela]]</f>
        <v>-1.8571428571428572</v>
      </c>
      <c r="F26">
        <f>Tabell6[[#This Row],[Pris/m3 ink.moms]]</f>
        <v>14.9625</v>
      </c>
      <c r="G26" s="2">
        <f>(Tabell410111213141516171819[[#This Row],[Förbrukning]]+Tabell410111213141516171819[[#This Row],[Utjämning]])*Tabell410111213141516171819[[#This Row],[Kr/m3]]</f>
        <v>840.03750000000002</v>
      </c>
      <c r="H26" s="27">
        <f>Tabell6[[#This Row],[Summa fast avg/hushåll]]</f>
        <v>547.85714285714289</v>
      </c>
      <c r="I26" s="8">
        <f>Tabell6[[#This Row],[Medlems avg]]/14</f>
        <v>700</v>
      </c>
      <c r="J26" s="8"/>
      <c r="K26" s="8">
        <f>IF(Tabell410111213141516171819[[#This Row],[Nuvarande]], SUM(Tabell410111213141516171819[[#This Row],[Summa förbrukning]:[Lån]])+Tabell410111213141516171819[[#This Row],[Korr]],0)</f>
        <v>2087.894642857143</v>
      </c>
      <c r="L26" s="2"/>
    </row>
    <row r="27" spans="1:12" x14ac:dyDescent="0.25">
      <c r="A27" s="4">
        <v>43220</v>
      </c>
      <c r="B27">
        <v>3047</v>
      </c>
      <c r="C27">
        <f t="shared" si="3"/>
        <v>3003</v>
      </c>
      <c r="D27">
        <f t="shared" si="4"/>
        <v>44</v>
      </c>
      <c r="E27" s="3">
        <f>Tabell6[[#This Row],[Att fördela]]</f>
        <v>-2.5714285714285716</v>
      </c>
      <c r="F27">
        <f>Tabell6[[#This Row],[Pris/m3 ink.moms]]</f>
        <v>14.9625</v>
      </c>
      <c r="G27" s="2">
        <f>(Tabell410111213141516171819[[#This Row],[Förbrukning]]+Tabell410111213141516171819[[#This Row],[Utjämning]])*Tabell410111213141516171819[[#This Row],[Kr/m3]]</f>
        <v>619.875</v>
      </c>
      <c r="H27" s="27">
        <f>Tabell6[[#This Row],[Summa fast avg/hushåll]]</f>
        <v>547.85714285714289</v>
      </c>
      <c r="I27" s="8">
        <f>Tabell6[[#This Row],[Medlems avg]]/14</f>
        <v>1000</v>
      </c>
      <c r="J27" s="8"/>
      <c r="K27" s="8">
        <f>IF(Tabell410111213141516171819[[#This Row],[Nuvarande]], SUM(Tabell410111213141516171819[[#This Row],[Summa förbrukning]:[Lån]])+Tabell410111213141516171819[[#This Row],[Korr]],0)</f>
        <v>2167.7321428571431</v>
      </c>
      <c r="L27" s="2"/>
    </row>
    <row r="28" spans="1:12" x14ac:dyDescent="0.25">
      <c r="A28" s="4">
        <v>43343</v>
      </c>
      <c r="B28">
        <v>3093</v>
      </c>
      <c r="C28">
        <f t="shared" si="3"/>
        <v>3047</v>
      </c>
      <c r="D28">
        <f t="shared" si="4"/>
        <v>46</v>
      </c>
      <c r="E28" s="3">
        <f>Tabell6[[#This Row],[Att fördela]]</f>
        <v>-2.2142857142857144</v>
      </c>
      <c r="F28">
        <f>Tabell6[[#This Row],[Pris/m3 ink.moms]]</f>
        <v>14.9625</v>
      </c>
      <c r="G28" s="2">
        <f>(Tabell410111213141516171819[[#This Row],[Förbrukning]]+Tabell410111213141516171819[[#This Row],[Utjämning]])*Tabell410111213141516171819[[#This Row],[Kr/m3]]</f>
        <v>655.14374999999995</v>
      </c>
      <c r="H28" s="27">
        <f>Tabell6[[#This Row],[Summa fast avg/hushåll]]</f>
        <v>547.85714285714289</v>
      </c>
      <c r="I28" s="8">
        <f>Tabell6[[#This Row],[Medlems avg]]/14</f>
        <v>1000</v>
      </c>
      <c r="J28" s="8"/>
      <c r="K28" s="8">
        <f>IF(Tabell410111213141516171819[[#This Row],[Nuvarande]], SUM(Tabell410111213141516171819[[#This Row],[Summa förbrukning]:[Lån]])+Tabell410111213141516171819[[#This Row],[Korr]],0)</f>
        <v>2203.0008928571428</v>
      </c>
      <c r="L28" s="2"/>
    </row>
    <row r="29" spans="1:12" x14ac:dyDescent="0.25">
      <c r="A29" s="4">
        <v>43465</v>
      </c>
      <c r="B29">
        <v>3141</v>
      </c>
      <c r="C29">
        <f t="shared" si="3"/>
        <v>3093</v>
      </c>
      <c r="D29">
        <f t="shared" si="4"/>
        <v>48</v>
      </c>
      <c r="E29" s="3">
        <f>Tabell6[[#This Row],[Att fördela]]</f>
        <v>-1.5</v>
      </c>
      <c r="F29">
        <f>Tabell6[[#This Row],[Pris/m3 ink.moms]]</f>
        <v>15.780000000000001</v>
      </c>
      <c r="G29" s="2">
        <f>(Tabell410111213141516171819[[#This Row],[Förbrukning]]+Tabell410111213141516171819[[#This Row],[Utjämning]])*Tabell410111213141516171819[[#This Row],[Kr/m3]]</f>
        <v>733.7700000000001</v>
      </c>
      <c r="H29" s="27">
        <f>Tabell6[[#This Row],[Summa fast avg/hushåll]]</f>
        <v>547.85714285714289</v>
      </c>
      <c r="I29" s="8">
        <f>Tabell6[[#This Row],[Medlems avg]]/14</f>
        <v>1000</v>
      </c>
      <c r="J29" s="8"/>
      <c r="K29" s="8">
        <f>IF(Tabell410111213141516171819[[#This Row],[Nuvarande]], SUM(Tabell410111213141516171819[[#This Row],[Summa förbrukning]:[Lån]])+Tabell410111213141516171819[[#This Row],[Korr]],0)</f>
        <v>2281.6271428571431</v>
      </c>
      <c r="L29" s="2"/>
    </row>
    <row r="30" spans="1:12" x14ac:dyDescent="0.25">
      <c r="A30" s="4">
        <v>43585</v>
      </c>
      <c r="B30">
        <v>3183</v>
      </c>
      <c r="C30">
        <f t="shared" si="3"/>
        <v>3141</v>
      </c>
      <c r="D30">
        <f t="shared" si="4"/>
        <v>42</v>
      </c>
      <c r="E30" s="3">
        <f>Tabell6[[#This Row],[Att fördela]]</f>
        <v>-7.2857142857142856</v>
      </c>
      <c r="F30">
        <f>Tabell6[[#This Row],[Pris/m3 ink.moms]]</f>
        <v>15.780000000000001</v>
      </c>
      <c r="G30" s="2">
        <f>(Tabell410111213141516171819[[#This Row],[Förbrukning]]+Tabell410111213141516171819[[#This Row],[Utjämning]])*Tabell410111213141516171819[[#This Row],[Kr/m3]]</f>
        <v>547.79142857142858</v>
      </c>
      <c r="H30" s="27">
        <f>Tabell6[[#This Row],[Summa fast avg/hushåll]]</f>
        <v>578.16714285714284</v>
      </c>
      <c r="I30" s="8">
        <f>Tabell6[[#This Row],[Medlems avg]]/14</f>
        <v>1000</v>
      </c>
      <c r="J30" s="8"/>
      <c r="K30" s="8">
        <f>IF(Tabell410111213141516171819[[#This Row],[Nuvarande]], SUM(Tabell410111213141516171819[[#This Row],[Summa förbrukning]:[Lån]])+Tabell410111213141516171819[[#This Row],[Korr]],0)</f>
        <v>2125.9585714285713</v>
      </c>
      <c r="L30" s="2"/>
    </row>
    <row r="31" spans="1:12" x14ac:dyDescent="0.25">
      <c r="A31" s="4">
        <v>43708</v>
      </c>
      <c r="B31">
        <v>3228</v>
      </c>
      <c r="C31">
        <f t="shared" si="3"/>
        <v>3183</v>
      </c>
      <c r="D31">
        <f t="shared" si="4"/>
        <v>45</v>
      </c>
      <c r="E31" s="3">
        <f>Tabell6[[#This Row],[Att fördela]]</f>
        <v>-3.4285714285714284</v>
      </c>
      <c r="F31">
        <f>Tabell6[[#This Row],[Pris/m3 ink.moms]]</f>
        <v>15.780000000000001</v>
      </c>
      <c r="G31" s="2">
        <f>(Tabell410111213141516171819[[#This Row],[Förbrukning]]+Tabell410111213141516171819[[#This Row],[Utjämning]])*Tabell410111213141516171819[[#This Row],[Kr/m3]]</f>
        <v>655.99714285714288</v>
      </c>
      <c r="H31" s="27">
        <f>Tabell6[[#This Row],[Summa fast avg/hushåll]]</f>
        <v>578.16714285714284</v>
      </c>
      <c r="I31" s="8">
        <f>Tabell6[[#This Row],[Medlems avg]]/14</f>
        <v>1000</v>
      </c>
      <c r="J31" s="8"/>
      <c r="K31" s="8">
        <f>IF(Tabell410111213141516171819[[#This Row],[Nuvarande]], SUM(Tabell410111213141516171819[[#This Row],[Summa förbrukning]:[Lån]])+Tabell410111213141516171819[[#This Row],[Korr]],0)</f>
        <v>2234.1642857142856</v>
      </c>
      <c r="L31" s="2"/>
    </row>
    <row r="32" spans="1:12" x14ac:dyDescent="0.25">
      <c r="A32" s="4">
        <v>43830</v>
      </c>
      <c r="B32">
        <v>3275</v>
      </c>
      <c r="C32">
        <f t="shared" si="3"/>
        <v>3228</v>
      </c>
      <c r="D32">
        <f t="shared" si="4"/>
        <v>47</v>
      </c>
      <c r="E32" s="3">
        <f>Tabell6[[#This Row],[Att fördela]]</f>
        <v>-3</v>
      </c>
      <c r="F32">
        <f>Tabell6[[#This Row],[Pris/m3 ink.moms]]</f>
        <v>15.780000000000001</v>
      </c>
      <c r="G32" s="2">
        <f>(Tabell410111213141516171819[[#This Row],[Förbrukning]]+Tabell410111213141516171819[[#This Row],[Utjämning]])*Tabell410111213141516171819[[#This Row],[Kr/m3]]</f>
        <v>694.32</v>
      </c>
      <c r="H32" s="27">
        <f>Tabell6[[#This Row],[Summa fast avg/hushåll]]</f>
        <v>578.16714285714284</v>
      </c>
      <c r="I32" s="8">
        <f>Tabell6[[#This Row],[Medlems avg]]/14</f>
        <v>1000</v>
      </c>
      <c r="J32" s="8"/>
      <c r="K32" s="8">
        <f>IF(Tabell410111213141516171819[[#This Row],[Nuvarande]], SUM(Tabell410111213141516171819[[#This Row],[Summa förbrukning]:[Lån]])+Tabell410111213141516171819[[#This Row],[Korr]],0)</f>
        <v>2272.4871428571428</v>
      </c>
      <c r="L32" s="2"/>
    </row>
    <row r="33" spans="1:12" x14ac:dyDescent="0.25">
      <c r="A33" s="4">
        <v>43951</v>
      </c>
      <c r="B33">
        <v>3321</v>
      </c>
      <c r="C33">
        <f t="shared" si="3"/>
        <v>3275</v>
      </c>
      <c r="D33">
        <f t="shared" si="4"/>
        <v>46</v>
      </c>
      <c r="E33" s="3">
        <f>Tabell6[[#This Row],[Att fördela]]</f>
        <v>-1.9285714285714286</v>
      </c>
      <c r="F33">
        <f>Tabell6[[#This Row],[Pris/m3 ink.moms]]</f>
        <v>15.780000000000001</v>
      </c>
      <c r="G33" s="2">
        <f>(Tabell410111213141516171819[[#This Row],[Förbrukning]]+Tabell410111213141516171819[[#This Row],[Utjämning]])*Tabell410111213141516171819[[#This Row],[Kr/m3]]</f>
        <v>695.44714285714292</v>
      </c>
      <c r="H33" s="27">
        <f>Tabell6[[#This Row],[Summa fast avg/hushåll]]</f>
        <v>578.16714285714284</v>
      </c>
      <c r="I33" s="8">
        <f>Tabell6[[#This Row],[Medlems avg]]/14</f>
        <v>1000</v>
      </c>
      <c r="J33" s="8"/>
      <c r="K33" s="8">
        <f>IF(Tabell410111213141516171819[[#This Row],[Nuvarande]], SUM(Tabell410111213141516171819[[#This Row],[Summa förbrukning]:[Lån]])+Tabell410111213141516171819[[#This Row],[Korr]],0)</f>
        <v>2273.6142857142859</v>
      </c>
      <c r="L33" s="2"/>
    </row>
    <row r="34" spans="1:12" x14ac:dyDescent="0.25">
      <c r="A34" s="4">
        <v>44074</v>
      </c>
      <c r="B34">
        <v>3370</v>
      </c>
      <c r="C34">
        <f t="shared" si="3"/>
        <v>3321</v>
      </c>
      <c r="D34">
        <f t="shared" si="4"/>
        <v>49</v>
      </c>
      <c r="E34" s="3">
        <f>Tabell6[[#This Row],[Att fördela]]</f>
        <v>-1.8571428571428572</v>
      </c>
      <c r="F34">
        <f>Tabell6[[#This Row],[Pris/m3 ink.moms]]</f>
        <v>15.780000000000001</v>
      </c>
      <c r="G34" s="2">
        <f>(Tabell410111213141516171819[[#This Row],[Förbrukning]]+Tabell410111213141516171819[[#This Row],[Utjämning]])*Tabell410111213141516171819[[#This Row],[Kr/m3]]</f>
        <v>743.91428571428582</v>
      </c>
      <c r="H34" s="27">
        <f>Tabell6[[#This Row],[Summa fast avg/hushåll]]</f>
        <v>578.16714285714284</v>
      </c>
      <c r="I34" s="8">
        <f>Tabell6[[#This Row],[Medlems avg]]/14</f>
        <v>1000</v>
      </c>
      <c r="J34" s="8"/>
      <c r="K34" s="8">
        <f>IF(Tabell410111213141516171819[[#This Row],[Nuvarande]], SUM(Tabell410111213141516171819[[#This Row],[Summa förbrukning]:[Lån]])+Tabell410111213141516171819[[#This Row],[Korr]],0)</f>
        <v>2322.0814285714287</v>
      </c>
      <c r="L34" s="2"/>
    </row>
    <row r="35" spans="1:12" x14ac:dyDescent="0.25">
      <c r="A35" s="4">
        <v>44196</v>
      </c>
      <c r="B35">
        <v>3411</v>
      </c>
      <c r="C35">
        <f t="shared" si="3"/>
        <v>3370</v>
      </c>
      <c r="D35">
        <f t="shared" si="4"/>
        <v>41</v>
      </c>
      <c r="E35" s="3">
        <f>Tabell6[[#This Row],[Att fördela]]</f>
        <v>-2.2142857142857144</v>
      </c>
      <c r="F35">
        <f>Tabell6[[#This Row],[Pris/m3 ink.moms]]</f>
        <v>15.780000000000001</v>
      </c>
      <c r="G35" s="2">
        <f>(Tabell410111213141516171819[[#This Row],[Förbrukning]]+Tabell410111213141516171819[[#This Row],[Utjämning]])*Tabell410111213141516171819[[#This Row],[Kr/m3]]</f>
        <v>612.03857142857146</v>
      </c>
      <c r="H35" s="27">
        <f>Tabell6[[#This Row],[Summa fast avg/hushåll]]</f>
        <v>578.16714285714284</v>
      </c>
      <c r="I35" s="8">
        <f>Tabell6[[#This Row],[Medlems avg]]/14</f>
        <v>1000</v>
      </c>
      <c r="J35" s="8"/>
      <c r="K35" s="8">
        <f>IF(Tabell410111213141516171819[[#This Row],[Nuvarande]], SUM(Tabell410111213141516171819[[#This Row],[Summa förbrukning]:[Lån]])+Tabell410111213141516171819[[#This Row],[Korr]],0)</f>
        <v>2190.2057142857143</v>
      </c>
      <c r="L35" s="2"/>
    </row>
    <row r="36" spans="1:12" x14ac:dyDescent="0.25">
      <c r="A36" s="4">
        <v>44316</v>
      </c>
      <c r="B36">
        <v>3450</v>
      </c>
      <c r="C36">
        <f t="shared" si="3"/>
        <v>3411</v>
      </c>
      <c r="D36">
        <f t="shared" si="4"/>
        <v>39</v>
      </c>
      <c r="E36" s="3">
        <f>Tabell6[[#This Row],[Att fördela]]</f>
        <v>-1.0714285714285714</v>
      </c>
      <c r="F36">
        <f>Tabell6[[#This Row],[Pris/m3 ink.moms]]</f>
        <v>15.780000000000001</v>
      </c>
      <c r="G36" s="2">
        <f>(Tabell410111213141516171819[[#This Row],[Förbrukning]]+Tabell410111213141516171819[[#This Row],[Utjämning]])*Tabell410111213141516171819[[#This Row],[Kr/m3]]</f>
        <v>598.51285714285723</v>
      </c>
      <c r="H36" s="27">
        <f>Tabell6[[#This Row],[Summa fast avg/hushåll]]</f>
        <v>578.16714285714284</v>
      </c>
      <c r="I36" s="8">
        <f>Tabell6[[#This Row],[Medlems avg]]/14</f>
        <v>1000</v>
      </c>
      <c r="J36" s="8"/>
      <c r="K36" s="8">
        <f>IF(Tabell410111213141516171819[[#This Row],[Nuvarande]], SUM(Tabell410111213141516171819[[#This Row],[Summa förbrukning]:[Lån]])+Tabell410111213141516171819[[#This Row],[Korr]],0)</f>
        <v>2176.6800000000003</v>
      </c>
      <c r="L36" s="2"/>
    </row>
    <row r="37" spans="1:12" x14ac:dyDescent="0.25">
      <c r="A37" s="4">
        <f>Tabell6[[#This Row],[Avläsnings datum]]</f>
        <v>44439</v>
      </c>
      <c r="B37">
        <v>3490</v>
      </c>
      <c r="C37">
        <f t="shared" ref="C37:C60" si="5">B36</f>
        <v>3450</v>
      </c>
      <c r="D37">
        <f t="shared" ref="D37:D60" si="6">IF(B37-C37&lt;0,0,B37-C37)</f>
        <v>40</v>
      </c>
      <c r="E37" s="3">
        <f>Tabell6[[#This Row],[Att fördela]]</f>
        <v>-2.4285714285714284</v>
      </c>
      <c r="F37">
        <f>Tabell6[[#This Row],[Pris/m3 ink.moms]]</f>
        <v>15.780000000000001</v>
      </c>
      <c r="G37" s="2">
        <f>(Tabell410111213141516171819[[#This Row],[Förbrukning]]+Tabell410111213141516171819[[#This Row],[Utjämning]])*Tabell410111213141516171819[[#This Row],[Kr/m3]]</f>
        <v>592.87714285714287</v>
      </c>
      <c r="H37" s="27">
        <f>Tabell6[[#This Row],[Summa fast avg/hushåll]]</f>
        <v>578.16714285714284</v>
      </c>
      <c r="I37" s="8">
        <f>Tabell6[[#This Row],[Medlems avg]]/14</f>
        <v>1000</v>
      </c>
      <c r="J37" s="8"/>
      <c r="K37" s="8">
        <f>IF(Tabell410111213141516171819[[#This Row],[Nuvarande]], SUM(Tabell410111213141516171819[[#This Row],[Summa förbrukning]:[Lån]])+Tabell410111213141516171819[[#This Row],[Korr]],0)</f>
        <v>2171.0442857142857</v>
      </c>
      <c r="L37" s="2"/>
    </row>
    <row r="38" spans="1:12" x14ac:dyDescent="0.25">
      <c r="A38" s="4">
        <f>Tabell6[[#This Row],[Avläsnings datum]]</f>
        <v>44561</v>
      </c>
      <c r="B38">
        <v>3516</v>
      </c>
      <c r="C38">
        <f t="shared" si="5"/>
        <v>3490</v>
      </c>
      <c r="D38">
        <f t="shared" si="6"/>
        <v>26</v>
      </c>
      <c r="E38" s="3">
        <f>Tabell6[[#This Row],[Att fördela]]</f>
        <v>-1.3571428571428572</v>
      </c>
      <c r="F38">
        <f>Tabell6[[#This Row],[Pris/m3 ink.moms]]</f>
        <v>15.780000000000001</v>
      </c>
      <c r="G38" s="2">
        <f>(Tabell410111213141516171819[[#This Row],[Förbrukning]]+Tabell410111213141516171819[[#This Row],[Utjämning]])*Tabell410111213141516171819[[#This Row],[Kr/m3]]</f>
        <v>388.86428571428576</v>
      </c>
      <c r="H38" s="27">
        <f>Tabell6[[#This Row],[Summa fast avg/hushåll]]</f>
        <v>578.16714285714284</v>
      </c>
      <c r="I38" s="8">
        <f>Tabell6[[#This Row],[Medlems avg]]/14</f>
        <v>1000</v>
      </c>
      <c r="J38" s="8"/>
      <c r="K38" s="8">
        <f>IF(Tabell410111213141516171819[[#This Row],[Nuvarande]], SUM(Tabell410111213141516171819[[#This Row],[Summa förbrukning]:[Lån]])+Tabell410111213141516171819[[#This Row],[Korr]],0)</f>
        <v>1967.0314285714285</v>
      </c>
      <c r="L38" s="2"/>
    </row>
    <row r="39" spans="1:12" x14ac:dyDescent="0.25">
      <c r="A39" s="4">
        <f>Tabell6[[#This Row],[Avläsnings datum]]</f>
        <v>44681</v>
      </c>
      <c r="B39">
        <v>3558</v>
      </c>
      <c r="C39">
        <f t="shared" si="5"/>
        <v>3516</v>
      </c>
      <c r="D39">
        <f t="shared" si="6"/>
        <v>42</v>
      </c>
      <c r="E39" s="3">
        <f>Tabell6[[#This Row],[Att fördela]]</f>
        <v>-2.7142857142857144</v>
      </c>
      <c r="F39">
        <f>Tabell6[[#This Row],[Pris/m3 ink.moms]]</f>
        <v>15.780000000000001</v>
      </c>
      <c r="G39" s="2">
        <f>(Tabell410111213141516171819[[#This Row],[Förbrukning]]+Tabell410111213141516171819[[#This Row],[Utjämning]])*Tabell410111213141516171819[[#This Row],[Kr/m3]]</f>
        <v>619.92857142857144</v>
      </c>
      <c r="H39" s="27">
        <f>Tabell6[[#This Row],[Summa fast avg/hushåll]]</f>
        <v>578.16714285714284</v>
      </c>
      <c r="I39" s="8">
        <f>Tabell6[[#This Row],[Medlems avg]]/14</f>
        <v>1000</v>
      </c>
      <c r="J39" s="8"/>
      <c r="K39" s="8">
        <f>IF(Tabell410111213141516171819[[#This Row],[Nuvarande]], SUM(Tabell410111213141516171819[[#This Row],[Summa förbrukning]:[Lån]])+Tabell410111213141516171819[[#This Row],[Korr]],0)</f>
        <v>2198.0957142857142</v>
      </c>
      <c r="L39" s="2"/>
    </row>
    <row r="40" spans="1:12" x14ac:dyDescent="0.25">
      <c r="A40" s="4">
        <f>Tabell6[[#This Row],[Avläsnings datum]]</f>
        <v>44804</v>
      </c>
      <c r="B40">
        <v>3558</v>
      </c>
      <c r="C40">
        <f t="shared" si="5"/>
        <v>3558</v>
      </c>
      <c r="D40">
        <f t="shared" si="6"/>
        <v>0</v>
      </c>
      <c r="E40" s="3">
        <f>Tabell6[[#This Row],[Att fördela]]</f>
        <v>-7.1428571428571425E-2</v>
      </c>
      <c r="F40">
        <f>Tabell6[[#This Row],[Pris/m3 ink.moms]]</f>
        <v>15.780000000000001</v>
      </c>
      <c r="G40" s="2">
        <f>(Tabell410111213141516171819[[#This Row],[Förbrukning]]+Tabell410111213141516171819[[#This Row],[Utjämning]])*Tabell410111213141516171819[[#This Row],[Kr/m3]]</f>
        <v>-1.1271428571428572</v>
      </c>
      <c r="H40" s="27">
        <f>Tabell6[[#This Row],[Summa fast avg/hushåll]]</f>
        <v>578.16714285714284</v>
      </c>
      <c r="I40" s="8">
        <f>Tabell6[[#This Row],[Medlems avg]]/14</f>
        <v>1000</v>
      </c>
      <c r="J40" s="8"/>
      <c r="K40" s="8">
        <f>IF(Tabell410111213141516171819[[#This Row],[Nuvarande]], SUM(Tabell410111213141516171819[[#This Row],[Summa förbrukning]:[Lån]])+Tabell410111213141516171819[[#This Row],[Korr]],0)</f>
        <v>1577.04</v>
      </c>
      <c r="L40" s="2"/>
    </row>
    <row r="41" spans="1:12" x14ac:dyDescent="0.25">
      <c r="A41" s="4">
        <f>Tabell6[[#This Row],[Avläsnings datum]]</f>
        <v>44926</v>
      </c>
      <c r="B41">
        <v>3583</v>
      </c>
      <c r="C41">
        <f t="shared" si="5"/>
        <v>3558</v>
      </c>
      <c r="D41">
        <f t="shared" si="6"/>
        <v>25</v>
      </c>
      <c r="E41" s="3">
        <f>Tabell6[[#This Row],[Att fördela]]</f>
        <v>0</v>
      </c>
      <c r="F41">
        <f>Tabell6[[#This Row],[Pris/m3 ink.moms]]</f>
        <v>15.780000000000001</v>
      </c>
      <c r="G41" s="2">
        <f>(Tabell410111213141516171819[[#This Row],[Förbrukning]]+Tabell410111213141516171819[[#This Row],[Utjämning]])*Tabell410111213141516171819[[#This Row],[Kr/m3]]</f>
        <v>394.5</v>
      </c>
      <c r="H41" s="27">
        <f>Tabell6[[#This Row],[Summa fast avg/hushåll]]</f>
        <v>578.16714285714284</v>
      </c>
      <c r="I41" s="8">
        <f>Tabell6[[#This Row],[Medlems avg]]/14</f>
        <v>1000</v>
      </c>
      <c r="J41" s="8"/>
      <c r="K41" s="8">
        <f>IF(Tabell410111213141516171819[[#This Row],[Nuvarande]], SUM(Tabell410111213141516171819[[#This Row],[Summa förbrukning]:[Lån]])+Tabell410111213141516171819[[#This Row],[Korr]],0)</f>
        <v>1972.6671428571428</v>
      </c>
      <c r="L41" s="2"/>
    </row>
    <row r="42" spans="1:12" x14ac:dyDescent="0.25">
      <c r="A42" s="4">
        <f>Tabell6[[#This Row],[Avläsnings datum]]</f>
        <v>45046</v>
      </c>
      <c r="B42">
        <v>31</v>
      </c>
      <c r="C42">
        <v>11</v>
      </c>
      <c r="D42">
        <f t="shared" si="6"/>
        <v>20</v>
      </c>
      <c r="E42" s="3">
        <f>Tabell6[[#This Row],[Att fördela]]</f>
        <v>0.14285714285714285</v>
      </c>
      <c r="F42">
        <f>Tabell6[[#This Row],[Pris/m3 ink.moms]]</f>
        <v>17.829999999999998</v>
      </c>
      <c r="G42" s="2">
        <f>(Tabell410111213141516171819[[#This Row],[Förbrukning]]+Tabell410111213141516171819[[#This Row],[Utjämning]])*Tabell410111213141516171819[[#This Row],[Kr/m3]]</f>
        <v>359.1471428571428</v>
      </c>
      <c r="H42" s="27">
        <f>Tabell6[[#This Row],[Summa fast avg/hushåll]]</f>
        <v>652.99952380952379</v>
      </c>
      <c r="I42" s="8">
        <f>Tabell6[[#This Row],[Medlems avg]]/14</f>
        <v>1000</v>
      </c>
      <c r="J42" s="8"/>
      <c r="K42" s="8">
        <f>IF(Tabell410111213141516171819[[#This Row],[Nuvarande]], SUM(Tabell410111213141516171819[[#This Row],[Summa förbrukning]:[Lån]])+Tabell410111213141516171819[[#This Row],[Korr]],0)</f>
        <v>2012.1466666666665</v>
      </c>
      <c r="L42" s="2"/>
    </row>
    <row r="43" spans="1:12" x14ac:dyDescent="0.25">
      <c r="A43" s="4">
        <f>Tabell6[[#This Row],[Avläsnings datum]]</f>
        <v>45169</v>
      </c>
      <c r="B43">
        <v>54</v>
      </c>
      <c r="C43">
        <f t="shared" si="5"/>
        <v>31</v>
      </c>
      <c r="D43">
        <f t="shared" si="6"/>
        <v>23</v>
      </c>
      <c r="E43" s="3">
        <f>Tabell6[[#This Row],[Att fördela]]</f>
        <v>-2.2142857142857144</v>
      </c>
      <c r="F43">
        <f>Tabell6[[#This Row],[Pris/m3 ink.moms]]</f>
        <v>17.829999999999998</v>
      </c>
      <c r="G43" s="2">
        <f>(Tabell410111213141516171819[[#This Row],[Förbrukning]]+Tabell410111213141516171819[[#This Row],[Utjämning]])*Tabell410111213141516171819[[#This Row],[Kr/m3]]</f>
        <v>370.60928571428565</v>
      </c>
      <c r="H43" s="27">
        <f>Tabell6[[#This Row],[Summa fast avg/hushåll]]</f>
        <v>652.99952380952379</v>
      </c>
      <c r="I43" s="8">
        <f>Tabell6[[#This Row],[Medlems avg]]/14</f>
        <v>1000</v>
      </c>
      <c r="J43" s="8"/>
      <c r="K43" s="8">
        <f>IF(Tabell410111213141516171819[[#This Row],[Nuvarande]], SUM(Tabell410111213141516171819[[#This Row],[Summa förbrukning]:[Lån]])+Tabell410111213141516171819[[#This Row],[Korr]],0)</f>
        <v>2023.6088095238094</v>
      </c>
      <c r="L43" s="2"/>
    </row>
    <row r="44" spans="1:12" x14ac:dyDescent="0.25">
      <c r="A44" s="4">
        <f>Tabell6[[#This Row],[Avläsnings datum]]</f>
        <v>45291</v>
      </c>
      <c r="B44">
        <v>78</v>
      </c>
      <c r="C44">
        <f t="shared" si="5"/>
        <v>54</v>
      </c>
      <c r="D44">
        <f t="shared" si="6"/>
        <v>24</v>
      </c>
      <c r="E44" s="3">
        <f>Tabell6[[#This Row],[Att fördela]]</f>
        <v>-0.7857142857142857</v>
      </c>
      <c r="F44">
        <f>Tabell6[[#This Row],[Pris/m3 ink.moms]]</f>
        <v>17.829999999999998</v>
      </c>
      <c r="G44" s="2">
        <f>(Tabell410111213141516171819[[#This Row],[Förbrukning]]+Tabell410111213141516171819[[#This Row],[Utjämning]])*Tabell410111213141516171819[[#This Row],[Kr/m3]]</f>
        <v>413.91071428571428</v>
      </c>
      <c r="H44" s="27">
        <f>Tabell6[[#This Row],[Summa fast avg/hushåll]]</f>
        <v>652.99952380952379</v>
      </c>
      <c r="I44" s="8">
        <f>Tabell6[[#This Row],[Medlems avg]]/14</f>
        <v>1000</v>
      </c>
      <c r="J44" s="8"/>
      <c r="K44" s="8">
        <f>IF(Tabell410111213141516171819[[#This Row],[Nuvarande]], SUM(Tabell410111213141516171819[[#This Row],[Summa förbrukning]:[Lån]])+Tabell410111213141516171819[[#This Row],[Korr]],0)</f>
        <v>2066.9102380952381</v>
      </c>
      <c r="L44" s="2"/>
    </row>
    <row r="45" spans="1:12" x14ac:dyDescent="0.25">
      <c r="A45" s="4">
        <f>Tabell6[[#This Row],[Avläsnings datum]]</f>
        <v>45412</v>
      </c>
      <c r="B45">
        <v>107</v>
      </c>
      <c r="C45">
        <f t="shared" si="5"/>
        <v>78</v>
      </c>
      <c r="D45">
        <f t="shared" si="6"/>
        <v>29</v>
      </c>
      <c r="E45" s="3">
        <f>Tabell6[[#This Row],[Att fördela]]</f>
        <v>-7.1428571428571425E-2</v>
      </c>
      <c r="F45">
        <f>Tabell6[[#This Row],[Pris/m3 ink.moms]]</f>
        <v>17.829999999999998</v>
      </c>
      <c r="G45" s="2">
        <f>(Tabell410111213141516171819[[#This Row],[Förbrukning]]+Tabell410111213141516171819[[#This Row],[Utjämning]])*Tabell410111213141516171819[[#This Row],[Kr/m3]]</f>
        <v>515.79642857142846</v>
      </c>
      <c r="H45" s="27">
        <f>Tabell6[[#This Row],[Summa fast avg/hushåll]]</f>
        <v>652.99952380952379</v>
      </c>
      <c r="I45" s="8">
        <f>Tabell6[[#This Row],[Medlems avg]]/14</f>
        <v>1000</v>
      </c>
      <c r="J45" s="8"/>
      <c r="K45" s="8">
        <f>IF(Tabell410111213141516171819[[#This Row],[Nuvarande]], SUM(Tabell410111213141516171819[[#This Row],[Summa förbrukning]:[Lån]])+Tabell410111213141516171819[[#This Row],[Korr]],0)</f>
        <v>2168.7959523809523</v>
      </c>
      <c r="L45" s="2"/>
    </row>
    <row r="46" spans="1:12" x14ac:dyDescent="0.25">
      <c r="A46" s="4">
        <f>Tabell6[[#This Row],[Avläsnings datum]]</f>
        <v>45535</v>
      </c>
      <c r="B46">
        <v>130</v>
      </c>
      <c r="C46">
        <f t="shared" si="5"/>
        <v>107</v>
      </c>
      <c r="D46">
        <f t="shared" si="6"/>
        <v>23</v>
      </c>
      <c r="E46" s="3">
        <f>Tabell6[[#This Row],[Att fördela]]</f>
        <v>-1.3571428571428572</v>
      </c>
      <c r="F46">
        <f>Tabell6[[#This Row],[Pris/m3 ink.moms]]</f>
        <v>21</v>
      </c>
      <c r="G46" s="2">
        <f>(Tabell410111213141516171819[[#This Row],[Förbrukning]]+Tabell410111213141516171819[[#This Row],[Utjämning]])*Tabell410111213141516171819[[#This Row],[Kr/m3]]</f>
        <v>454.5</v>
      </c>
      <c r="H46" s="27">
        <f>Tabell6[[#This Row],[Summa fast avg/hushåll]]</f>
        <v>763.97428571428566</v>
      </c>
      <c r="I46" s="8">
        <f>Tabell6[[#This Row],[Medlems avg]]/14</f>
        <v>1000</v>
      </c>
      <c r="J46" s="8"/>
      <c r="K46" s="8">
        <f>IF(Tabell410111213141516171819[[#This Row],[Nuvarande]], SUM(Tabell410111213141516171819[[#This Row],[Summa förbrukning]:[Lån]])+Tabell410111213141516171819[[#This Row],[Korr]],0)</f>
        <v>2218.4742857142855</v>
      </c>
      <c r="L46" s="2"/>
    </row>
    <row r="47" spans="1:12" x14ac:dyDescent="0.25">
      <c r="A47" s="4">
        <f>Tabell6[[#This Row],[Avläsnings datum]]</f>
        <v>45657</v>
      </c>
      <c r="B47">
        <v>158</v>
      </c>
      <c r="C47">
        <f t="shared" si="5"/>
        <v>130</v>
      </c>
      <c r="D47">
        <f t="shared" si="6"/>
        <v>28</v>
      </c>
      <c r="E47" s="3">
        <f>Tabell6[[#This Row],[Att fördela]]</f>
        <v>-1.7142857142857142</v>
      </c>
      <c r="F47">
        <f>Tabell6[[#This Row],[Pris/m3 ink.moms]]</f>
        <v>21</v>
      </c>
      <c r="G47" s="2">
        <f>(Tabell410111213141516171819[[#This Row],[Förbrukning]]+Tabell410111213141516171819[[#This Row],[Utjämning]])*Tabell410111213141516171819[[#This Row],[Kr/m3]]</f>
        <v>552</v>
      </c>
      <c r="H47" s="27">
        <f>Tabell6[[#This Row],[Summa fast avg/hushåll]]</f>
        <v>763.97428571428566</v>
      </c>
      <c r="I47" s="8">
        <f>Tabell6[[#This Row],[Medlems avg]]/14</f>
        <v>1000</v>
      </c>
      <c r="J47" s="8"/>
      <c r="K47" s="8">
        <f>IF(Tabell410111213141516171819[[#This Row],[Nuvarande]], SUM(Tabell410111213141516171819[[#This Row],[Summa förbrukning]:[Lån]])+Tabell410111213141516171819[[#This Row],[Korr]],0)</f>
        <v>2315.9742857142855</v>
      </c>
      <c r="L47" s="2"/>
    </row>
    <row r="48" spans="1:12" x14ac:dyDescent="0.25">
      <c r="A48" s="4">
        <f>Tabell6[[#This Row],[Avläsnings datum]]</f>
        <v>45777</v>
      </c>
      <c r="B48">
        <v>186</v>
      </c>
      <c r="C48">
        <f t="shared" si="5"/>
        <v>158</v>
      </c>
      <c r="D48">
        <f t="shared" si="6"/>
        <v>28</v>
      </c>
      <c r="E48" s="3">
        <f>Tabell6[[#This Row],[Att fördela]]</f>
        <v>-1.5</v>
      </c>
      <c r="F48">
        <f>Tabell6[[#This Row],[Pris/m3 ink.moms]]</f>
        <v>24</v>
      </c>
      <c r="G48" s="2">
        <f>(Tabell410111213141516171819[[#This Row],[Förbrukning]]+Tabell410111213141516171819[[#This Row],[Utjämning]])*Tabell410111213141516171819[[#This Row],[Kr/m3]]</f>
        <v>636</v>
      </c>
      <c r="H48" s="27">
        <f>Tabell6[[#This Row],[Summa fast avg/hushåll]]</f>
        <v>879.14738095238101</v>
      </c>
      <c r="I48" s="8">
        <f>Tabell6[[#This Row],[Medlems avg]]/14</f>
        <v>1000</v>
      </c>
      <c r="J48" s="8"/>
      <c r="K48" s="8">
        <f>IF(Tabell410111213141516171819[[#This Row],[Nuvarande]], SUM(Tabell410111213141516171819[[#This Row],[Summa förbrukning]:[Lån]])+Tabell410111213141516171819[[#This Row],[Korr]],0)</f>
        <v>2515.1473809523809</v>
      </c>
      <c r="L48" s="2"/>
    </row>
    <row r="49" spans="1:12" x14ac:dyDescent="0.25">
      <c r="A49" s="4">
        <f>Tabell6[[#This Row],[Avläsnings datum]]</f>
        <v>45900</v>
      </c>
      <c r="C49">
        <f t="shared" si="5"/>
        <v>186</v>
      </c>
      <c r="D49">
        <f t="shared" si="6"/>
        <v>0</v>
      </c>
      <c r="E49" s="3">
        <f>Tabell6[[#This Row],[Att fördela]]</f>
        <v>0</v>
      </c>
      <c r="F49">
        <f>Tabell6[[#This Row],[Pris/m3 ink.moms]]</f>
        <v>24</v>
      </c>
      <c r="G49" s="2">
        <f>(Tabell410111213141516171819[[#This Row],[Förbrukning]]+Tabell410111213141516171819[[#This Row],[Utjämning]])*Tabell410111213141516171819[[#This Row],[Kr/m3]]</f>
        <v>0</v>
      </c>
      <c r="H49" s="27">
        <f>Tabell6[[#This Row],[Summa fast avg/hushåll]]</f>
        <v>879.14738095238101</v>
      </c>
      <c r="I49" s="8">
        <f>Tabell6[[#This Row],[Medlems avg]]/14</f>
        <v>1000</v>
      </c>
      <c r="J49" s="8"/>
      <c r="K49" s="8">
        <f>IF(Tabell410111213141516171819[[#This Row],[Nuvarande]], SUM(Tabell410111213141516171819[[#This Row],[Summa förbrukning]:[Lån]])+Tabell410111213141516171819[[#This Row],[Korr]],0)</f>
        <v>0</v>
      </c>
      <c r="L49" s="2"/>
    </row>
    <row r="50" spans="1:12" x14ac:dyDescent="0.25">
      <c r="A50" s="4">
        <f>Tabell6[[#This Row],[Avläsnings datum]]</f>
        <v>46022</v>
      </c>
      <c r="C50">
        <f t="shared" si="5"/>
        <v>0</v>
      </c>
      <c r="D50">
        <f t="shared" si="6"/>
        <v>0</v>
      </c>
      <c r="E50" s="3">
        <f>Tabell6[[#This Row],[Att fördela]]</f>
        <v>0</v>
      </c>
      <c r="F50">
        <f>Tabell6[[#This Row],[Pris/m3 ink.moms]]</f>
        <v>24</v>
      </c>
      <c r="G50" s="2">
        <f>(Tabell410111213141516171819[[#This Row],[Förbrukning]]+Tabell410111213141516171819[[#This Row],[Utjämning]])*Tabell410111213141516171819[[#This Row],[Kr/m3]]</f>
        <v>0</v>
      </c>
      <c r="H50" s="27">
        <f>Tabell6[[#This Row],[Summa fast avg/hushåll]]</f>
        <v>879.14738095238101</v>
      </c>
      <c r="I50" s="8">
        <f>Tabell6[[#This Row],[Medlems avg]]/14</f>
        <v>1000</v>
      </c>
      <c r="J50" s="8"/>
      <c r="K50" s="8">
        <f>IF(Tabell410111213141516171819[[#This Row],[Nuvarande]], SUM(Tabell410111213141516171819[[#This Row],[Summa förbrukning]:[Lån]])+Tabell410111213141516171819[[#This Row],[Korr]],0)</f>
        <v>0</v>
      </c>
      <c r="L50" s="2"/>
    </row>
    <row r="51" spans="1:12" x14ac:dyDescent="0.25">
      <c r="A51" s="4">
        <f>Tabell6[[#This Row],[Avläsnings datum]]</f>
        <v>46142</v>
      </c>
      <c r="C51">
        <f t="shared" si="5"/>
        <v>0</v>
      </c>
      <c r="D51">
        <f t="shared" si="6"/>
        <v>0</v>
      </c>
      <c r="E51" s="3">
        <f>Tabell6[[#This Row],[Att fördela]]</f>
        <v>0</v>
      </c>
      <c r="F51">
        <f>Tabell6[[#This Row],[Pris/m3 ink.moms]]</f>
        <v>24</v>
      </c>
      <c r="G51" s="2">
        <f>(Tabell410111213141516171819[[#This Row],[Förbrukning]]+Tabell410111213141516171819[[#This Row],[Utjämning]])*Tabell410111213141516171819[[#This Row],[Kr/m3]]</f>
        <v>0</v>
      </c>
      <c r="H51" s="27">
        <f>Tabell6[[#This Row],[Summa fast avg/hushåll]]</f>
        <v>879.14738095238101</v>
      </c>
      <c r="I51" s="8">
        <f>Tabell6[[#This Row],[Medlems avg]]/14</f>
        <v>1000</v>
      </c>
      <c r="J51" s="8"/>
      <c r="K51" s="8">
        <f>IF(Tabell410111213141516171819[[#This Row],[Nuvarande]], SUM(Tabell410111213141516171819[[#This Row],[Summa förbrukning]:[Lån]])+Tabell410111213141516171819[[#This Row],[Korr]],0)</f>
        <v>0</v>
      </c>
      <c r="L51" s="2"/>
    </row>
    <row r="52" spans="1:12" x14ac:dyDescent="0.25">
      <c r="A52" s="4">
        <f>Tabell6[[#This Row],[Avläsnings datum]]</f>
        <v>46265</v>
      </c>
      <c r="C52">
        <f t="shared" si="5"/>
        <v>0</v>
      </c>
      <c r="D52">
        <f t="shared" si="6"/>
        <v>0</v>
      </c>
      <c r="E52" s="3">
        <f>Tabell6[[#This Row],[Att fördela]]</f>
        <v>0</v>
      </c>
      <c r="F52">
        <f>Tabell6[[#This Row],[Pris/m3 ink.moms]]</f>
        <v>24</v>
      </c>
      <c r="G52" s="2">
        <f>(Tabell410111213141516171819[[#This Row],[Förbrukning]]+Tabell410111213141516171819[[#This Row],[Utjämning]])*Tabell410111213141516171819[[#This Row],[Kr/m3]]</f>
        <v>0</v>
      </c>
      <c r="H52" s="27">
        <f>Tabell6[[#This Row],[Summa fast avg/hushåll]]</f>
        <v>879.14738095238101</v>
      </c>
      <c r="I52" s="8">
        <f>Tabell6[[#This Row],[Medlems avg]]/14</f>
        <v>1000</v>
      </c>
      <c r="J52" s="8"/>
      <c r="K52" s="8">
        <f>IF(Tabell410111213141516171819[[#This Row],[Nuvarande]], SUM(Tabell410111213141516171819[[#This Row],[Summa förbrukning]:[Lån]])+Tabell410111213141516171819[[#This Row],[Korr]],0)</f>
        <v>0</v>
      </c>
      <c r="L52" s="2"/>
    </row>
    <row r="53" spans="1:12" x14ac:dyDescent="0.25">
      <c r="A53" s="4">
        <f>Tabell6[[#This Row],[Avläsnings datum]]</f>
        <v>46387</v>
      </c>
      <c r="C53">
        <f t="shared" si="5"/>
        <v>0</v>
      </c>
      <c r="D53">
        <f t="shared" si="6"/>
        <v>0</v>
      </c>
      <c r="E53" s="3">
        <f>Tabell6[[#This Row],[Att fördela]]</f>
        <v>0</v>
      </c>
      <c r="F53">
        <f>Tabell6[[#This Row],[Pris/m3 ink.moms]]</f>
        <v>24</v>
      </c>
      <c r="G53" s="2">
        <f>(Tabell410111213141516171819[[#This Row],[Förbrukning]]+Tabell410111213141516171819[[#This Row],[Utjämning]])*Tabell410111213141516171819[[#This Row],[Kr/m3]]</f>
        <v>0</v>
      </c>
      <c r="H53" s="27">
        <f>Tabell6[[#This Row],[Summa fast avg/hushåll]]</f>
        <v>879.14738095238101</v>
      </c>
      <c r="I53" s="8">
        <f>Tabell6[[#This Row],[Medlems avg]]/14</f>
        <v>1000</v>
      </c>
      <c r="J53" s="8"/>
      <c r="K53" s="8">
        <f>IF(Tabell410111213141516171819[[#This Row],[Nuvarande]], SUM(Tabell410111213141516171819[[#This Row],[Summa förbrukning]:[Lån]])+Tabell410111213141516171819[[#This Row],[Korr]],0)</f>
        <v>0</v>
      </c>
      <c r="L53" s="2"/>
    </row>
    <row r="54" spans="1:12" x14ac:dyDescent="0.25">
      <c r="A54" s="4">
        <f>Tabell6[[#This Row],[Avläsnings datum]]</f>
        <v>46507</v>
      </c>
      <c r="C54">
        <f t="shared" si="5"/>
        <v>0</v>
      </c>
      <c r="D54">
        <f t="shared" si="6"/>
        <v>0</v>
      </c>
      <c r="E54" s="3">
        <f>Tabell6[[#This Row],[Att fördela]]</f>
        <v>0</v>
      </c>
      <c r="F54">
        <f>Tabell6[[#This Row],[Pris/m3 ink.moms]]</f>
        <v>24</v>
      </c>
      <c r="G54" s="2">
        <f>(Tabell410111213141516171819[[#This Row],[Förbrukning]]+Tabell410111213141516171819[[#This Row],[Utjämning]])*Tabell410111213141516171819[[#This Row],[Kr/m3]]</f>
        <v>0</v>
      </c>
      <c r="H54" s="27">
        <f>Tabell6[[#This Row],[Summa fast avg/hushåll]]</f>
        <v>879.14738095238101</v>
      </c>
      <c r="I54" s="8">
        <f>Tabell6[[#This Row],[Medlems avg]]/14</f>
        <v>1000</v>
      </c>
      <c r="J54" s="8"/>
      <c r="K54" s="8">
        <f>IF(Tabell410111213141516171819[[#This Row],[Nuvarande]], SUM(Tabell410111213141516171819[[#This Row],[Summa förbrukning]:[Lån]])+Tabell410111213141516171819[[#This Row],[Korr]],0)</f>
        <v>0</v>
      </c>
      <c r="L54" s="2"/>
    </row>
    <row r="55" spans="1:12" x14ac:dyDescent="0.25">
      <c r="A55" s="4">
        <f>Tabell6[[#This Row],[Avläsnings datum]]</f>
        <v>46630</v>
      </c>
      <c r="C55">
        <f t="shared" si="5"/>
        <v>0</v>
      </c>
      <c r="D55">
        <f t="shared" si="6"/>
        <v>0</v>
      </c>
      <c r="E55" s="3">
        <f>Tabell6[[#This Row],[Att fördela]]</f>
        <v>0</v>
      </c>
      <c r="F55">
        <f>Tabell6[[#This Row],[Pris/m3 ink.moms]]</f>
        <v>24</v>
      </c>
      <c r="G55" s="2">
        <f>(Tabell410111213141516171819[[#This Row],[Förbrukning]]+Tabell410111213141516171819[[#This Row],[Utjämning]])*Tabell410111213141516171819[[#This Row],[Kr/m3]]</f>
        <v>0</v>
      </c>
      <c r="H55" s="27">
        <f>Tabell6[[#This Row],[Summa fast avg/hushåll]]</f>
        <v>879.14738095238101</v>
      </c>
      <c r="I55" s="8">
        <f>Tabell6[[#This Row],[Medlems avg]]/14</f>
        <v>1000</v>
      </c>
      <c r="J55" s="8"/>
      <c r="K55" s="8">
        <f>IF(Tabell410111213141516171819[[#This Row],[Nuvarande]], SUM(Tabell410111213141516171819[[#This Row],[Summa förbrukning]:[Lån]])+Tabell410111213141516171819[[#This Row],[Korr]],0)</f>
        <v>0</v>
      </c>
      <c r="L55" s="2"/>
    </row>
    <row r="56" spans="1:12" x14ac:dyDescent="0.25">
      <c r="A56" s="4">
        <f>Tabell6[[#This Row],[Avläsnings datum]]</f>
        <v>46752</v>
      </c>
      <c r="C56">
        <f t="shared" si="5"/>
        <v>0</v>
      </c>
      <c r="D56">
        <f t="shared" si="6"/>
        <v>0</v>
      </c>
      <c r="E56" s="3">
        <f>Tabell6[[#This Row],[Att fördela]]</f>
        <v>0</v>
      </c>
      <c r="F56">
        <f>Tabell6[[#This Row],[Pris/m3 ink.moms]]</f>
        <v>24</v>
      </c>
      <c r="G56" s="2">
        <f>(Tabell410111213141516171819[[#This Row],[Förbrukning]]+Tabell410111213141516171819[[#This Row],[Utjämning]])*Tabell410111213141516171819[[#This Row],[Kr/m3]]</f>
        <v>0</v>
      </c>
      <c r="H56" s="27">
        <f>Tabell6[[#This Row],[Summa fast avg/hushåll]]</f>
        <v>879.14738095238101</v>
      </c>
      <c r="I56" s="8">
        <f>Tabell6[[#This Row],[Medlems avg]]/14</f>
        <v>1000</v>
      </c>
      <c r="J56" s="8"/>
      <c r="K56" s="8">
        <f>IF(Tabell410111213141516171819[[#This Row],[Nuvarande]], SUM(Tabell410111213141516171819[[#This Row],[Summa förbrukning]:[Lån]])+Tabell410111213141516171819[[#This Row],[Korr]],0)</f>
        <v>0</v>
      </c>
      <c r="L56" s="2"/>
    </row>
    <row r="57" spans="1:12" x14ac:dyDescent="0.25">
      <c r="A57" s="4">
        <f>Tabell6[[#This Row],[Avläsnings datum]]</f>
        <v>46873</v>
      </c>
      <c r="C57">
        <f t="shared" si="5"/>
        <v>0</v>
      </c>
      <c r="D57">
        <f t="shared" si="6"/>
        <v>0</v>
      </c>
      <c r="E57" s="3">
        <f>Tabell6[[#This Row],[Att fördela]]</f>
        <v>0</v>
      </c>
      <c r="F57">
        <f>Tabell6[[#This Row],[Pris/m3 ink.moms]]</f>
        <v>24</v>
      </c>
      <c r="G57" s="2">
        <f>(Tabell410111213141516171819[[#This Row],[Förbrukning]]+Tabell410111213141516171819[[#This Row],[Utjämning]])*Tabell410111213141516171819[[#This Row],[Kr/m3]]</f>
        <v>0</v>
      </c>
      <c r="H57" s="27">
        <f>Tabell6[[#This Row],[Summa fast avg/hushåll]]</f>
        <v>879.14738095238101</v>
      </c>
      <c r="I57" s="8">
        <f>Tabell6[[#This Row],[Medlems avg]]/14</f>
        <v>1000</v>
      </c>
      <c r="J57" s="8"/>
      <c r="K57" s="8">
        <f>IF(Tabell410111213141516171819[[#This Row],[Nuvarande]], SUM(Tabell410111213141516171819[[#This Row],[Summa förbrukning]:[Lån]])+Tabell410111213141516171819[[#This Row],[Korr]],0)</f>
        <v>0</v>
      </c>
      <c r="L57" s="2"/>
    </row>
    <row r="58" spans="1:12" x14ac:dyDescent="0.25">
      <c r="A58" s="4">
        <f>Tabell6[[#This Row],[Avläsnings datum]]</f>
        <v>46996</v>
      </c>
      <c r="C58">
        <f t="shared" si="5"/>
        <v>0</v>
      </c>
      <c r="D58">
        <f t="shared" si="6"/>
        <v>0</v>
      </c>
      <c r="E58" s="3">
        <f>Tabell6[[#This Row],[Att fördela]]</f>
        <v>0</v>
      </c>
      <c r="F58">
        <f>Tabell6[[#This Row],[Pris/m3 ink.moms]]</f>
        <v>24</v>
      </c>
      <c r="G58" s="2">
        <f>(Tabell410111213141516171819[[#This Row],[Förbrukning]]+Tabell410111213141516171819[[#This Row],[Utjämning]])*Tabell410111213141516171819[[#This Row],[Kr/m3]]</f>
        <v>0</v>
      </c>
      <c r="H58" s="27">
        <f>Tabell6[[#This Row],[Summa fast avg/hushåll]]</f>
        <v>879.14738095238101</v>
      </c>
      <c r="I58" s="8">
        <f>Tabell6[[#This Row],[Medlems avg]]/14</f>
        <v>1000</v>
      </c>
      <c r="J58" s="8"/>
      <c r="K58" s="8">
        <f>IF(Tabell410111213141516171819[[#This Row],[Nuvarande]], SUM(Tabell410111213141516171819[[#This Row],[Summa förbrukning]:[Lån]])+Tabell410111213141516171819[[#This Row],[Korr]],0)</f>
        <v>0</v>
      </c>
      <c r="L58" s="2"/>
    </row>
    <row r="59" spans="1:12" x14ac:dyDescent="0.25">
      <c r="A59" s="4">
        <f>Tabell6[[#This Row],[Avläsnings datum]]</f>
        <v>47118</v>
      </c>
      <c r="C59">
        <f t="shared" si="5"/>
        <v>0</v>
      </c>
      <c r="D59">
        <f t="shared" si="6"/>
        <v>0</v>
      </c>
      <c r="E59" s="3">
        <f>Tabell6[[#This Row],[Att fördela]]</f>
        <v>0</v>
      </c>
      <c r="F59">
        <f>Tabell6[[#This Row],[Pris/m3 ink.moms]]</f>
        <v>24</v>
      </c>
      <c r="G59" s="2">
        <f>(Tabell410111213141516171819[[#This Row],[Förbrukning]]+Tabell410111213141516171819[[#This Row],[Utjämning]])*Tabell410111213141516171819[[#This Row],[Kr/m3]]</f>
        <v>0</v>
      </c>
      <c r="H59" s="27">
        <f>Tabell6[[#This Row],[Summa fast avg/hushåll]]</f>
        <v>879.14738095238101</v>
      </c>
      <c r="I59" s="8">
        <f>Tabell6[[#This Row],[Medlems avg]]/14</f>
        <v>1000</v>
      </c>
      <c r="J59" s="8"/>
      <c r="K59" s="8">
        <f>IF(Tabell410111213141516171819[[#This Row],[Nuvarande]], SUM(Tabell410111213141516171819[[#This Row],[Summa förbrukning]:[Lån]])+Tabell410111213141516171819[[#This Row],[Korr]],0)</f>
        <v>0</v>
      </c>
      <c r="L59" s="2"/>
    </row>
    <row r="60" spans="1:12" x14ac:dyDescent="0.25">
      <c r="A60" s="4">
        <f>Tabell6[[#This Row],[Avläsnings datum]]</f>
        <v>47238</v>
      </c>
      <c r="C60">
        <f t="shared" si="5"/>
        <v>0</v>
      </c>
      <c r="D60">
        <f t="shared" si="6"/>
        <v>0</v>
      </c>
      <c r="E60" s="3">
        <f>Tabell6[[#This Row],[Att fördela]]</f>
        <v>0</v>
      </c>
      <c r="F60">
        <f>Tabell6[[#This Row],[Pris/m3 ink.moms]]</f>
        <v>24</v>
      </c>
      <c r="G60" s="2">
        <f>(Tabell410111213141516171819[[#This Row],[Förbrukning]]+Tabell410111213141516171819[[#This Row],[Utjämning]])*Tabell410111213141516171819[[#This Row],[Kr/m3]]</f>
        <v>0</v>
      </c>
      <c r="H60" s="27">
        <f>Tabell6[[#This Row],[Summa fast avg/hushåll]]</f>
        <v>879.14738095238101</v>
      </c>
      <c r="I60" s="8">
        <f>Tabell6[[#This Row],[Medlems avg]]/14</f>
        <v>1000</v>
      </c>
      <c r="J60" s="8"/>
      <c r="K60" s="8">
        <f>IF(Tabell410111213141516171819[[#This Row],[Nuvarande]], SUM(Tabell410111213141516171819[[#This Row],[Summa förbrukning]:[Lån]])+Tabell410111213141516171819[[#This Row],[Korr]],0)</f>
        <v>0</v>
      </c>
      <c r="L60" s="2"/>
    </row>
  </sheetData>
  <pageMargins left="0.7" right="0.7" top="0.75" bottom="0.75" header="0.3" footer="0.3"/>
  <pageSetup paperSize="9" orientation="portrait" r:id="rId1"/>
  <ignoredErrors>
    <ignoredError sqref="C5 A21:A36" calculatedColumn="1"/>
  </ignoredErrors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Blad14"/>
  <dimension ref="A1:L60"/>
  <sheetViews>
    <sheetView workbookViewId="0">
      <selection activeCell="B49" sqref="B49"/>
    </sheetView>
  </sheetViews>
  <sheetFormatPr defaultRowHeight="15" x14ac:dyDescent="0.25"/>
  <cols>
    <col min="1" max="1" width="20.28515625" customWidth="1"/>
    <col min="2" max="2" width="13" bestFit="1" customWidth="1"/>
    <col min="3" max="3" width="13.85546875" bestFit="1" customWidth="1"/>
    <col min="4" max="5" width="15.140625" customWidth="1"/>
    <col min="6" max="6" width="11.140625" customWidth="1"/>
    <col min="7" max="7" width="21.140625" bestFit="1" customWidth="1"/>
    <col min="8" max="8" width="10.42578125" bestFit="1" customWidth="1"/>
    <col min="11" max="11" width="10.140625" bestFit="1" customWidth="1"/>
  </cols>
  <sheetData>
    <row r="1" spans="1:12" x14ac:dyDescent="0.25">
      <c r="A1">
        <v>28</v>
      </c>
    </row>
    <row r="3" spans="1:12" x14ac:dyDescent="0.25">
      <c r="B3">
        <f>VLOOKUP('Huvud mätare'!$A1,$A5:$K87,2)</f>
        <v>4388</v>
      </c>
      <c r="C3">
        <f>VLOOKUP('Huvud mätare'!$A1,$A5:$K87,3)</f>
        <v>4370</v>
      </c>
      <c r="D3">
        <f>VLOOKUP('Huvud mätare'!$A1,$A5:$K87,4)</f>
        <v>18</v>
      </c>
      <c r="E3">
        <f>VLOOKUP('Huvud mätare'!$A1,$A5:$K87,5)</f>
        <v>-1.5</v>
      </c>
      <c r="F3">
        <f>VLOOKUP('Huvud mätare'!$A1,$A5:$K87,6)</f>
        <v>24</v>
      </c>
      <c r="G3">
        <f>VLOOKUP('Huvud mätare'!$A1,$A5:$K87,7)</f>
        <v>396</v>
      </c>
      <c r="H3">
        <f>VLOOKUP('Huvud mätare'!$A1,$A5:$K87,8)</f>
        <v>879.14738095238101</v>
      </c>
      <c r="I3">
        <f>VLOOKUP('Huvud mätare'!$A1,$A5:$K87,9)</f>
        <v>1000</v>
      </c>
      <c r="J3">
        <f>VLOOKUP('Huvud mätare'!$A1,$A5:$K87,10)</f>
        <v>0</v>
      </c>
      <c r="K3">
        <f>VLOOKUP('Huvud mätare'!$A1,$A5:$K87,11)</f>
        <v>2275.1473809523809</v>
      </c>
      <c r="L3">
        <f>VLOOKUP('Huvud mätare'!$A1,$A5:$L87,12)</f>
        <v>0</v>
      </c>
    </row>
    <row r="4" spans="1:12" ht="15" customHeight="1" x14ac:dyDescent="0.25">
      <c r="A4" t="s">
        <v>12</v>
      </c>
      <c r="B4" s="1" t="s">
        <v>33</v>
      </c>
      <c r="C4" s="1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25</v>
      </c>
      <c r="I4" t="s">
        <v>30</v>
      </c>
      <c r="J4" t="s">
        <v>39</v>
      </c>
      <c r="K4" t="s">
        <v>40</v>
      </c>
      <c r="L4" t="s">
        <v>41</v>
      </c>
    </row>
    <row r="5" spans="1:12" x14ac:dyDescent="0.25">
      <c r="A5" s="4">
        <f>Tabell6[[#This Row],[Avläsnings datum]]</f>
        <v>40543</v>
      </c>
      <c r="B5">
        <v>3305</v>
      </c>
      <c r="C5">
        <v>3261</v>
      </c>
      <c r="D5">
        <f t="shared" ref="D5:D21" si="0">IF(B5-C5&lt;0,0,B5-C5)</f>
        <v>44</v>
      </c>
      <c r="E5" s="3">
        <f>Tabell6[[#This Row],[Att fördela]]</f>
        <v>0.15714285714286039</v>
      </c>
      <c r="F5">
        <f>Tabell6[[#This Row],[Pris/m3 ink.moms]]</f>
        <v>16.88</v>
      </c>
      <c r="G5" s="8">
        <f>(Tabell41011121314151617181920[[#This Row],[Förbrukning]]+Tabell41011121314151617181920[[#This Row],[Utjämning]])*Tabell41011121314151617181920[[#This Row],[Kr/m3]]</f>
        <v>745.3725714285714</v>
      </c>
      <c r="H5" s="8">
        <f>Tabell6[[#This Row],[Summa fast avg/hushåll]]</f>
        <v>378.07142857142856</v>
      </c>
      <c r="I5" s="2">
        <f>Tabell6[[#This Row],[Medlems avg]]/14</f>
        <v>0</v>
      </c>
      <c r="J5" s="8"/>
      <c r="K5" s="8">
        <f>IF(Tabell41011121314151617181920[[#This Row],[Nuvarande]], SUM(Tabell41011121314151617181920[[#This Row],[Summa förbrukning]:[Lån]])+Tabell41011121314151617181920[[#This Row],[Korr]],0)</f>
        <v>1123.444</v>
      </c>
      <c r="L5" s="8"/>
    </row>
    <row r="6" spans="1:12" x14ac:dyDescent="0.25">
      <c r="A6" s="4">
        <f>Tabell6[[#This Row],[Avläsnings datum]]</f>
        <v>40664</v>
      </c>
      <c r="B6">
        <v>3336</v>
      </c>
      <c r="C6">
        <f t="shared" ref="C6:C21" si="1">B5</f>
        <v>3305</v>
      </c>
      <c r="D6">
        <f t="shared" si="0"/>
        <v>31</v>
      </c>
      <c r="E6" s="3">
        <f>Tabell6[[#This Row],[Att fördela]]</f>
        <v>2.8571428571418828E-2</v>
      </c>
      <c r="F6">
        <f>Tabell6[[#This Row],[Pris/m3 ink.moms]]</f>
        <v>16.88</v>
      </c>
      <c r="G6" s="8">
        <f>(Tabell41011121314151617181920[[#This Row],[Förbrukning]]+Tabell41011121314151617181920[[#This Row],[Utjämning]])*Tabell41011121314151617181920[[#This Row],[Kr/m3]]</f>
        <v>523.76228571428555</v>
      </c>
      <c r="H6" s="8">
        <f>Tabell6[[#This Row],[Summa fast avg/hushåll]]</f>
        <v>378.07142857142856</v>
      </c>
      <c r="I6" s="8">
        <f>Tabell6[[#This Row],[Medlems avg]]/14</f>
        <v>0</v>
      </c>
      <c r="J6" s="8"/>
      <c r="K6" s="8">
        <f>IF(Tabell41011121314151617181920[[#This Row],[Nuvarande]], SUM(Tabell41011121314151617181920[[#This Row],[Summa förbrukning]:[Lån]])+Tabell41011121314151617181920[[#This Row],[Korr]],0)</f>
        <v>901.83371428571411</v>
      </c>
      <c r="L6" s="8"/>
    </row>
    <row r="7" spans="1:12" x14ac:dyDescent="0.25">
      <c r="A7" s="4">
        <f>Tabell6[[#This Row],[Avläsnings datum]]</f>
        <v>40786</v>
      </c>
      <c r="B7">
        <v>3367</v>
      </c>
      <c r="C7">
        <f t="shared" si="1"/>
        <v>3336</v>
      </c>
      <c r="D7">
        <f t="shared" si="0"/>
        <v>31</v>
      </c>
      <c r="E7" s="3">
        <f>Tabell6[[#This Row],[Att fördela]]</f>
        <v>-2.8571428571426947E-2</v>
      </c>
      <c r="F7">
        <f>Tabell6[[#This Row],[Pris/m3 ink.moms]]</f>
        <v>16.88</v>
      </c>
      <c r="G7" s="8">
        <f>(Tabell41011121314151617181920[[#This Row],[Förbrukning]]+Tabell41011121314151617181920[[#This Row],[Utjämning]])*Tabell41011121314151617181920[[#This Row],[Kr/m3]]</f>
        <v>522.79771428571428</v>
      </c>
      <c r="H7" s="8">
        <f>Tabell6[[#This Row],[Summa fast avg/hushåll]]</f>
        <v>378.07142857142856</v>
      </c>
      <c r="I7" s="8">
        <f>Tabell6[[#This Row],[Medlems avg]]/14</f>
        <v>0</v>
      </c>
      <c r="J7" s="8"/>
      <c r="K7" s="8">
        <f>IF(Tabell41011121314151617181920[[#This Row],[Nuvarande]], SUM(Tabell41011121314151617181920[[#This Row],[Summa förbrukning]:[Lån]])+Tabell41011121314151617181920[[#This Row],[Korr]],0)</f>
        <v>900.86914285714283</v>
      </c>
      <c r="L7" s="8"/>
    </row>
    <row r="8" spans="1:12" x14ac:dyDescent="0.25">
      <c r="A8" s="4">
        <f>Tabell6[[#This Row],[Avläsnings datum]]</f>
        <v>40908</v>
      </c>
      <c r="B8">
        <v>3394</v>
      </c>
      <c r="C8">
        <f t="shared" si="1"/>
        <v>3367</v>
      </c>
      <c r="D8">
        <f t="shared" si="0"/>
        <v>27</v>
      </c>
      <c r="E8" s="3">
        <f>Tabell6[[#This Row],[Att fördela]]</f>
        <v>-0.22857142857142371</v>
      </c>
      <c r="F8">
        <f>Tabell6[[#This Row],[Pris/m3 ink.moms]]</f>
        <v>16.825000000000003</v>
      </c>
      <c r="G8" s="8">
        <f>(Tabell41011121314151617181920[[#This Row],[Förbrukning]]+Tabell41011121314151617181920[[#This Row],[Utjämning]])*Tabell41011121314151617181920[[#This Row],[Kr/m3]]</f>
        <v>450.42928571428587</v>
      </c>
      <c r="H8" s="8">
        <f>Tabell6[[#This Row],[Summa fast avg/hushåll]]</f>
        <v>378.07142857142856</v>
      </c>
      <c r="I8" s="8">
        <f>Tabell6[[#This Row],[Medlems avg]]/14</f>
        <v>1000</v>
      </c>
      <c r="J8" s="8"/>
      <c r="K8" s="8">
        <f>IF(Tabell41011121314151617181920[[#This Row],[Nuvarande]], SUM(Tabell41011121314151617181920[[#This Row],[Summa förbrukning]:[Lån]])+Tabell41011121314151617181920[[#This Row],[Korr]],0)</f>
        <v>1828.5007142857144</v>
      </c>
      <c r="L8" s="8"/>
    </row>
    <row r="9" spans="1:12" x14ac:dyDescent="0.25">
      <c r="A9" s="4">
        <f>Tabell6[[#This Row],[Avläsnings datum]]</f>
        <v>41029</v>
      </c>
      <c r="B9">
        <v>3419</v>
      </c>
      <c r="C9">
        <f t="shared" si="1"/>
        <v>3394</v>
      </c>
      <c r="D9">
        <f t="shared" si="0"/>
        <v>25</v>
      </c>
      <c r="E9" s="3">
        <f>Tabell6[[#This Row],[Att fördela]]</f>
        <v>-1</v>
      </c>
      <c r="F9">
        <f>Tabell6[[#This Row],[Pris/m3 ink.moms]]</f>
        <v>16.825000000000003</v>
      </c>
      <c r="G9" s="8">
        <f>(Tabell41011121314151617181920[[#This Row],[Förbrukning]]+Tabell41011121314151617181920[[#This Row],[Utjämning]])*Tabell41011121314151617181920[[#This Row],[Kr/m3]]</f>
        <v>403.80000000000007</v>
      </c>
      <c r="H9" s="8">
        <f>Tabell6[[#This Row],[Summa fast avg/hushåll]]</f>
        <v>378.07142857142856</v>
      </c>
      <c r="I9" s="8">
        <f>Tabell6[[#This Row],[Medlems avg]]/14</f>
        <v>1000</v>
      </c>
      <c r="J9" s="8"/>
      <c r="K9" s="8">
        <f>IF(Tabell41011121314151617181920[[#This Row],[Nuvarande]], SUM(Tabell41011121314151617181920[[#This Row],[Summa förbrukning]:[Lån]])+Tabell41011121314151617181920[[#This Row],[Korr]],0)</f>
        <v>1781.8714285714286</v>
      </c>
      <c r="L9" s="8"/>
    </row>
    <row r="10" spans="1:12" x14ac:dyDescent="0.25">
      <c r="A10" s="4">
        <f>Tabell6[[#This Row],[Avläsnings datum]]</f>
        <v>41152</v>
      </c>
      <c r="B10">
        <v>3444</v>
      </c>
      <c r="C10">
        <f t="shared" si="1"/>
        <v>3419</v>
      </c>
      <c r="D10">
        <f t="shared" si="0"/>
        <v>25</v>
      </c>
      <c r="E10" s="3">
        <f>Tabell6[[#This Row],[Att fördela]]</f>
        <v>-0.14285714285714285</v>
      </c>
      <c r="F10">
        <f>Tabell6[[#This Row],[Pris/m3 ink.moms]]</f>
        <v>16.825000000000003</v>
      </c>
      <c r="G10" s="8">
        <f>(Tabell41011121314151617181920[[#This Row],[Förbrukning]]+Tabell41011121314151617181920[[#This Row],[Utjämning]])*Tabell41011121314151617181920[[#This Row],[Kr/m3]]</f>
        <v>418.22142857142865</v>
      </c>
      <c r="H10" s="8">
        <f>Tabell6[[#This Row],[Summa fast avg/hushåll]]</f>
        <v>378.07142857142856</v>
      </c>
      <c r="I10" s="8">
        <f>Tabell6[[#This Row],[Medlems avg]]/14</f>
        <v>1000</v>
      </c>
      <c r="J10" s="8"/>
      <c r="K10" s="8">
        <f>IF(Tabell41011121314151617181920[[#This Row],[Nuvarande]], SUM(Tabell41011121314151617181920[[#This Row],[Summa förbrukning]:[Lån]])+Tabell41011121314151617181920[[#This Row],[Korr]],0)</f>
        <v>1796.2928571428572</v>
      </c>
      <c r="L10" s="8"/>
    </row>
    <row r="11" spans="1:12" x14ac:dyDescent="0.25">
      <c r="A11" s="4">
        <f>Tabell6[[#This Row],[Avläsnings datum]]</f>
        <v>41274</v>
      </c>
      <c r="B11">
        <v>3467</v>
      </c>
      <c r="C11">
        <f t="shared" si="1"/>
        <v>3444</v>
      </c>
      <c r="D11">
        <f t="shared" si="0"/>
        <v>23</v>
      </c>
      <c r="E11" s="3">
        <f>Tabell6[[#This Row],[Att fördela]]</f>
        <v>-0.9285714285714286</v>
      </c>
      <c r="F11">
        <f>Tabell6[[#This Row],[Pris/m3 ink.moms]]</f>
        <v>14.8125</v>
      </c>
      <c r="G11" s="8">
        <f>(Tabell41011121314151617181920[[#This Row],[Förbrukning]]+Tabell41011121314151617181920[[#This Row],[Utjämning]])*Tabell41011121314151617181920[[#This Row],[Kr/m3]]</f>
        <v>326.93303571428572</v>
      </c>
      <c r="H11" s="8">
        <f>Tabell6[[#This Row],[Summa fast avg/hushåll]]</f>
        <v>542.26190476190482</v>
      </c>
      <c r="I11" s="8">
        <f>Tabell6[[#This Row],[Medlems avg]]/14</f>
        <v>1000</v>
      </c>
      <c r="J11" s="8"/>
      <c r="K11" s="8">
        <f>IF(Tabell41011121314151617181920[[#This Row],[Nuvarande]], SUM(Tabell41011121314151617181920[[#This Row],[Summa förbrukning]:[Lån]])+Tabell41011121314151617181920[[#This Row],[Korr]],0)</f>
        <v>1869.1949404761906</v>
      </c>
      <c r="L11" s="8"/>
    </row>
    <row r="12" spans="1:12" x14ac:dyDescent="0.25">
      <c r="A12" s="4">
        <f>Tabell6[[#This Row],[Avläsnings datum]]</f>
        <v>41394</v>
      </c>
      <c r="B12">
        <v>3490</v>
      </c>
      <c r="C12">
        <f t="shared" si="1"/>
        <v>3467</v>
      </c>
      <c r="D12">
        <f t="shared" si="0"/>
        <v>23</v>
      </c>
      <c r="E12" s="3">
        <f>Tabell6[[#This Row],[Att fördela]]</f>
        <v>-1.5714285714285714</v>
      </c>
      <c r="F12">
        <f>Tabell6[[#This Row],[Pris/m3 ink.moms]]</f>
        <v>14.8125</v>
      </c>
      <c r="G12" s="8">
        <f>(Tabell41011121314151617181920[[#This Row],[Förbrukning]]+Tabell41011121314151617181920[[#This Row],[Utjämning]])*Tabell41011121314151617181920[[#This Row],[Kr/m3]]</f>
        <v>317.41071428571428</v>
      </c>
      <c r="H12" s="8">
        <f>Tabell6[[#This Row],[Summa fast avg/hushåll]]</f>
        <v>542.26190476190482</v>
      </c>
      <c r="I12" s="8">
        <f>Tabell6[[#This Row],[Medlems avg]]/14</f>
        <v>1000</v>
      </c>
      <c r="J12" s="8"/>
      <c r="K12" s="8">
        <f>IF(Tabell41011121314151617181920[[#This Row],[Nuvarande]], SUM(Tabell41011121314151617181920[[#This Row],[Summa förbrukning]:[Lån]])+Tabell41011121314151617181920[[#This Row],[Korr]],0)</f>
        <v>1859.672619047619</v>
      </c>
      <c r="L12" s="8"/>
    </row>
    <row r="13" spans="1:12" x14ac:dyDescent="0.25">
      <c r="A13" s="4">
        <f>Tabell6[[#This Row],[Avläsnings datum]]</f>
        <v>41517</v>
      </c>
      <c r="B13">
        <v>3518</v>
      </c>
      <c r="C13">
        <f t="shared" si="1"/>
        <v>3490</v>
      </c>
      <c r="D13">
        <f t="shared" si="0"/>
        <v>28</v>
      </c>
      <c r="E13" s="3">
        <f>Tabell6[[#This Row],[Att fördela]]</f>
        <v>-0.8571428571428571</v>
      </c>
      <c r="F13">
        <f>Tabell6[[#This Row],[Pris/m3 ink.moms]]</f>
        <v>14.8125</v>
      </c>
      <c r="G13" s="8">
        <f>(Tabell41011121314151617181920[[#This Row],[Förbrukning]]+Tabell41011121314151617181920[[#This Row],[Utjämning]])*Tabell41011121314151617181920[[#This Row],[Kr/m3]]</f>
        <v>402.05357142857144</v>
      </c>
      <c r="H13" s="8">
        <f>Tabell6[[#This Row],[Summa fast avg/hushåll]]</f>
        <v>542.26190476190482</v>
      </c>
      <c r="I13" s="8">
        <f>Tabell6[[#This Row],[Medlems avg]]/14</f>
        <v>1000</v>
      </c>
      <c r="J13" s="8"/>
      <c r="K13" s="8">
        <f>IF(Tabell41011121314151617181920[[#This Row],[Nuvarande]], SUM(Tabell41011121314151617181920[[#This Row],[Summa förbrukning]:[Lån]])+Tabell41011121314151617181920[[#This Row],[Korr]],0)</f>
        <v>1944.3154761904761</v>
      </c>
      <c r="L13" s="8"/>
    </row>
    <row r="14" spans="1:12" x14ac:dyDescent="0.25">
      <c r="A14" s="4">
        <f>Tabell6[[#This Row],[Avläsnings datum]]</f>
        <v>41639</v>
      </c>
      <c r="B14">
        <v>3545</v>
      </c>
      <c r="C14">
        <f t="shared" si="1"/>
        <v>3518</v>
      </c>
      <c r="D14">
        <f t="shared" si="0"/>
        <v>27</v>
      </c>
      <c r="E14" s="3">
        <f>Tabell6[[#This Row],[Att fördela]]</f>
        <v>-2.5</v>
      </c>
      <c r="F14">
        <f>Tabell6[[#This Row],[Pris/m3 ink.moms]]</f>
        <v>14.8125</v>
      </c>
      <c r="G14" s="8">
        <f>(Tabell41011121314151617181920[[#This Row],[Förbrukning]]+Tabell41011121314151617181920[[#This Row],[Utjämning]])*Tabell41011121314151617181920[[#This Row],[Kr/m3]]</f>
        <v>362.90625</v>
      </c>
      <c r="H14" s="8">
        <f>Tabell6[[#This Row],[Summa fast avg/hushåll]]</f>
        <v>547.85714285714289</v>
      </c>
      <c r="I14" s="8">
        <f>Tabell6[[#This Row],[Medlems avg]]/14</f>
        <v>1000</v>
      </c>
      <c r="J14" s="8"/>
      <c r="K14" s="8">
        <f>IF(Tabell41011121314151617181920[[#This Row],[Nuvarande]], SUM(Tabell41011121314151617181920[[#This Row],[Summa förbrukning]:[Lån]])+Tabell41011121314151617181920[[#This Row],[Korr]],0)</f>
        <v>1910.7633928571429</v>
      </c>
      <c r="L14" s="8"/>
    </row>
    <row r="15" spans="1:12" x14ac:dyDescent="0.25">
      <c r="A15" s="4">
        <f>Tabell6[[#This Row],[Avläsnings datum]]</f>
        <v>41759</v>
      </c>
      <c r="B15">
        <v>3569</v>
      </c>
      <c r="C15">
        <f t="shared" si="1"/>
        <v>3545</v>
      </c>
      <c r="D15">
        <f t="shared" si="0"/>
        <v>24</v>
      </c>
      <c r="E15" s="3">
        <f>Tabell6[[#This Row],[Att fördela]]</f>
        <v>-1.5714285714285714</v>
      </c>
      <c r="F15">
        <f>Tabell6[[#This Row],[Pris/m3 ink.moms]]</f>
        <v>14.9625</v>
      </c>
      <c r="G15" s="8">
        <f>(Tabell41011121314151617181920[[#This Row],[Förbrukning]]+Tabell41011121314151617181920[[#This Row],[Utjämning]])*Tabell41011121314151617181920[[#This Row],[Kr/m3]]</f>
        <v>335.58749999999998</v>
      </c>
      <c r="H15" s="8">
        <f>Tabell6[[#This Row],[Summa fast avg/hushåll]]</f>
        <v>547.85714285714289</v>
      </c>
      <c r="I15" s="8">
        <f>Tabell6[[#This Row],[Medlems avg]]/14</f>
        <v>1000</v>
      </c>
      <c r="J15" s="8"/>
      <c r="K15" s="8">
        <f>IF(Tabell41011121314151617181920[[#This Row],[Nuvarande]], SUM(Tabell41011121314151617181920[[#This Row],[Summa förbrukning]:[Lån]])+Tabell41011121314151617181920[[#This Row],[Korr]],0)</f>
        <v>1968.0874999999999</v>
      </c>
      <c r="L15" s="8">
        <f t="shared" ref="L15" si="2">K13-K12</f>
        <v>84.64285714285711</v>
      </c>
    </row>
    <row r="16" spans="1:12" x14ac:dyDescent="0.25">
      <c r="A16" s="4">
        <f>Tabell6[[#This Row],[Avläsnings datum]]</f>
        <v>41882</v>
      </c>
      <c r="B16">
        <v>3597</v>
      </c>
      <c r="C16">
        <f t="shared" si="1"/>
        <v>3569</v>
      </c>
      <c r="D16">
        <f t="shared" si="0"/>
        <v>28</v>
      </c>
      <c r="E16" s="3">
        <f>Tabell6[[#This Row],[Att fördela]]</f>
        <v>-1.7857142857142858</v>
      </c>
      <c r="F16">
        <f>Tabell6[[#This Row],[Pris/m3 ink.moms]]</f>
        <v>14.9625</v>
      </c>
      <c r="G16" s="8">
        <f>(Tabell41011121314151617181920[[#This Row],[Förbrukning]]+Tabell41011121314151617181920[[#This Row],[Utjämning]])*Tabell41011121314151617181920[[#This Row],[Kr/m3]]</f>
        <v>392.23125000000005</v>
      </c>
      <c r="H16" s="8">
        <f>Tabell6[[#This Row],[Summa fast avg/hushåll]]</f>
        <v>547.85714285714289</v>
      </c>
      <c r="I16" s="8">
        <f>Tabell6[[#This Row],[Medlems avg]]/14</f>
        <v>1000</v>
      </c>
      <c r="J16" s="8"/>
      <c r="K16" s="8">
        <f>IF(Tabell41011121314151617181920[[#This Row],[Nuvarande]], SUM(Tabell41011121314151617181920[[#This Row],[Summa förbrukning]:[Lån]])+Tabell41011121314151617181920[[#This Row],[Korr]],0)</f>
        <v>1940.0883928571429</v>
      </c>
      <c r="L16" s="8"/>
    </row>
    <row r="17" spans="1:12" x14ac:dyDescent="0.25">
      <c r="A17" s="4">
        <f>Tabell6[[#This Row],[Avläsnings datum]]</f>
        <v>42004</v>
      </c>
      <c r="B17">
        <v>3622</v>
      </c>
      <c r="C17">
        <f t="shared" si="1"/>
        <v>3597</v>
      </c>
      <c r="D17">
        <f t="shared" si="0"/>
        <v>25</v>
      </c>
      <c r="E17" s="3">
        <f>Tabell6[[#This Row],[Att fördela]]</f>
        <v>-2.0714285714285716</v>
      </c>
      <c r="F17">
        <f>Tabell6[[#This Row],[Pris/m3 ink.moms]]</f>
        <v>14.9625</v>
      </c>
      <c r="G17" s="8">
        <f>(Tabell41011121314151617181920[[#This Row],[Förbrukning]]+Tabell41011121314151617181920[[#This Row],[Utjämning]])*Tabell41011121314151617181920[[#This Row],[Kr/m3]]</f>
        <v>343.06874999999997</v>
      </c>
      <c r="H17" s="8">
        <f>Tabell6[[#This Row],[Summa fast avg/hushåll]]</f>
        <v>547.85714285714289</v>
      </c>
      <c r="I17" s="8">
        <f>Tabell6[[#This Row],[Medlems avg]]/14</f>
        <v>1000</v>
      </c>
      <c r="J17" s="8"/>
      <c r="K17" s="8">
        <f>IF(Tabell41011121314151617181920[[#This Row],[Nuvarande]], SUM(Tabell41011121314151617181920[[#This Row],[Summa förbrukning]:[Lån]])+Tabell41011121314151617181920[[#This Row],[Korr]],0)</f>
        <v>1890.9258928571428</v>
      </c>
      <c r="L17" s="8"/>
    </row>
    <row r="18" spans="1:12" x14ac:dyDescent="0.25">
      <c r="A18" s="4">
        <f>Tabell6[[#This Row],[Avläsnings datum]]</f>
        <v>42124</v>
      </c>
      <c r="B18">
        <v>3650</v>
      </c>
      <c r="C18">
        <f t="shared" si="1"/>
        <v>3622</v>
      </c>
      <c r="D18">
        <f t="shared" si="0"/>
        <v>28</v>
      </c>
      <c r="E18" s="3">
        <f>Tabell6[[#This Row],[Att fördela]]</f>
        <v>-2.5</v>
      </c>
      <c r="F18">
        <f>Tabell6[[#This Row],[Pris/m3 ink.moms]]</f>
        <v>14.9625</v>
      </c>
      <c r="G18" s="8">
        <f>(Tabell41011121314151617181920[[#This Row],[Förbrukning]]+Tabell41011121314151617181920[[#This Row],[Utjämning]])*Tabell41011121314151617181920[[#This Row],[Kr/m3]]</f>
        <v>381.54374999999999</v>
      </c>
      <c r="H18" s="8">
        <f>Tabell6[[#This Row],[Summa fast avg/hushåll]]</f>
        <v>547.85714285714289</v>
      </c>
      <c r="I18" s="8">
        <f>Tabell6[[#This Row],[Medlems avg]]/14</f>
        <v>600</v>
      </c>
      <c r="J18" s="8"/>
      <c r="K18" s="8">
        <f>IF(Tabell41011121314151617181920[[#This Row],[Nuvarande]], SUM(Tabell41011121314151617181920[[#This Row],[Summa förbrukning]:[Lån]])+Tabell41011121314151617181920[[#This Row],[Korr]],0)</f>
        <v>1529.4008928571429</v>
      </c>
      <c r="L18" s="8"/>
    </row>
    <row r="19" spans="1:12" x14ac:dyDescent="0.25">
      <c r="A19" s="4">
        <f>Tabell6[[#This Row],[Avläsnings datum]]</f>
        <v>42247</v>
      </c>
      <c r="B19">
        <v>3683</v>
      </c>
      <c r="C19">
        <f t="shared" si="1"/>
        <v>3650</v>
      </c>
      <c r="D19">
        <f t="shared" si="0"/>
        <v>33</v>
      </c>
      <c r="E19" s="3">
        <f>Tabell6[[#This Row],[Att fördela]]</f>
        <v>-2.2857142857142856</v>
      </c>
      <c r="F19">
        <f>Tabell6[[#This Row],[Pris/m3 ink.moms]]</f>
        <v>14.9625</v>
      </c>
      <c r="G19" s="8">
        <f>(Tabell41011121314151617181920[[#This Row],[Förbrukning]]+Tabell41011121314151617181920[[#This Row],[Utjämning]])*Tabell41011121314151617181920[[#This Row],[Kr/m3]]</f>
        <v>459.5625</v>
      </c>
      <c r="H19" s="8">
        <f>Tabell6[[#This Row],[Summa fast avg/hushåll]]</f>
        <v>547.85714285714289</v>
      </c>
      <c r="I19" s="8">
        <f>Tabell6[[#This Row],[Medlems avg]]/14</f>
        <v>600</v>
      </c>
      <c r="J19" s="8"/>
      <c r="K19" s="8">
        <f>IF(Tabell41011121314151617181920[[#This Row],[Nuvarande]], SUM(Tabell41011121314151617181920[[#This Row],[Summa förbrukning]:[Lån]])+Tabell41011121314151617181920[[#This Row],[Korr]],0)</f>
        <v>1607.4196428571429</v>
      </c>
      <c r="L19" s="8"/>
    </row>
    <row r="20" spans="1:12" x14ac:dyDescent="0.25">
      <c r="A20" s="4">
        <f>Tabell6[[#This Row],[Avläsnings datum]]</f>
        <v>42369</v>
      </c>
      <c r="B20">
        <v>3714</v>
      </c>
      <c r="C20">
        <f t="shared" si="1"/>
        <v>3683</v>
      </c>
      <c r="D20">
        <f t="shared" si="0"/>
        <v>31</v>
      </c>
      <c r="E20" s="3">
        <f>Tabell6[[#This Row],[Att fördela]]</f>
        <v>-2.8571428571428572</v>
      </c>
      <c r="F20">
        <f>Tabell6[[#This Row],[Pris/m3 ink.moms]]</f>
        <v>14.9625</v>
      </c>
      <c r="G20" s="8">
        <f>(Tabell41011121314151617181920[[#This Row],[Förbrukning]]+Tabell41011121314151617181920[[#This Row],[Utjämning]])*Tabell41011121314151617181920[[#This Row],[Kr/m3]]</f>
        <v>421.08749999999998</v>
      </c>
      <c r="H20" s="8">
        <f>Tabell6[[#This Row],[Summa fast avg/hushåll]]</f>
        <v>547.85714285714289</v>
      </c>
      <c r="I20" s="8">
        <f>Tabell6[[#This Row],[Medlems avg]]/14</f>
        <v>600</v>
      </c>
      <c r="J20" s="8"/>
      <c r="K20" s="8">
        <f>IF(Tabell41011121314151617181920[[#This Row],[Nuvarande]], SUM(Tabell41011121314151617181920[[#This Row],[Summa förbrukning]:[Lån]])+Tabell41011121314151617181920[[#This Row],[Korr]],0)</f>
        <v>1568.9446428571428</v>
      </c>
      <c r="L20" s="8"/>
    </row>
    <row r="21" spans="1:12" x14ac:dyDescent="0.25">
      <c r="A21" s="4">
        <v>42490</v>
      </c>
      <c r="B21">
        <v>3754</v>
      </c>
      <c r="C21">
        <f t="shared" si="1"/>
        <v>3714</v>
      </c>
      <c r="D21">
        <f t="shared" si="0"/>
        <v>40</v>
      </c>
      <c r="E21" s="3">
        <f>Tabell6[[#This Row],[Att fördela]]</f>
        <v>-3.5</v>
      </c>
      <c r="F21">
        <f>Tabell6[[#This Row],[Pris/m3 ink.moms]]</f>
        <v>14.9625</v>
      </c>
      <c r="G21" s="8">
        <f>(Tabell41011121314151617181920[[#This Row],[Förbrukning]]+Tabell41011121314151617181920[[#This Row],[Utjämning]])*Tabell41011121314151617181920[[#This Row],[Kr/m3]]</f>
        <v>546.13125000000002</v>
      </c>
      <c r="H21" s="8">
        <f>Tabell6[[#This Row],[Summa fast avg/hushåll]]</f>
        <v>547.85714285714289</v>
      </c>
      <c r="I21" s="8">
        <f>Tabell6[[#This Row],[Medlems avg]]/14</f>
        <v>600</v>
      </c>
      <c r="J21" s="8"/>
      <c r="K21" s="8">
        <f>IF(Tabell41011121314151617181920[[#This Row],[Nuvarande]], SUM(Tabell41011121314151617181920[[#This Row],[Summa förbrukning]:[Lån]])+Tabell41011121314151617181920[[#This Row],[Korr]],0)</f>
        <v>1772.007142857143</v>
      </c>
      <c r="L21" s="2">
        <f>K19-K18</f>
        <v>78.018749999999955</v>
      </c>
    </row>
    <row r="22" spans="1:12" x14ac:dyDescent="0.25">
      <c r="A22" s="4">
        <v>42613</v>
      </c>
      <c r="B22">
        <v>3773</v>
      </c>
      <c r="C22">
        <f t="shared" ref="C22:C36" si="3">B21</f>
        <v>3754</v>
      </c>
      <c r="D22">
        <f t="shared" ref="D22:D36" si="4">IF(B22-C22&lt;0,0,B22-C22)</f>
        <v>19</v>
      </c>
      <c r="E22" s="3">
        <f>Tabell6[[#This Row],[Att fördela]]</f>
        <v>-1.0714285714285714</v>
      </c>
      <c r="F22">
        <f>Tabell6[[#This Row],[Pris/m3 ink.moms]]</f>
        <v>14.9625</v>
      </c>
      <c r="G22" s="8">
        <f>(Tabell41011121314151617181920[[#This Row],[Förbrukning]]+Tabell41011121314151617181920[[#This Row],[Utjämning]])*Tabell41011121314151617181920[[#This Row],[Kr/m3]]</f>
        <v>268.25624999999997</v>
      </c>
      <c r="H22" s="8">
        <f>Tabell6[[#This Row],[Summa fast avg/hushåll]]</f>
        <v>547.85714285714289</v>
      </c>
      <c r="I22" s="8">
        <f>Tabell6[[#This Row],[Medlems avg]]/14</f>
        <v>600</v>
      </c>
      <c r="J22" s="8"/>
      <c r="K22" s="8">
        <f>IF(Tabell41011121314151617181920[[#This Row],[Nuvarande]], SUM(Tabell41011121314151617181920[[#This Row],[Summa förbrukning]:[Lån]])+Tabell41011121314151617181920[[#This Row],[Korr]],0)</f>
        <v>1416.1133928571428</v>
      </c>
      <c r="L22" s="2"/>
    </row>
    <row r="23" spans="1:12" x14ac:dyDescent="0.25">
      <c r="A23" s="4">
        <v>42735</v>
      </c>
      <c r="B23">
        <v>3802</v>
      </c>
      <c r="C23">
        <f t="shared" si="3"/>
        <v>3773</v>
      </c>
      <c r="D23">
        <f t="shared" si="4"/>
        <v>29</v>
      </c>
      <c r="E23" s="3">
        <f>Tabell6[[#This Row],[Att fördela]]</f>
        <v>-3.7142857142857144</v>
      </c>
      <c r="F23">
        <f>Tabell6[[#This Row],[Pris/m3 ink.moms]]</f>
        <v>14.9625</v>
      </c>
      <c r="G23" s="8">
        <f>(Tabell41011121314151617181920[[#This Row],[Förbrukning]]+Tabell41011121314151617181920[[#This Row],[Utjämning]])*Tabell41011121314151617181920[[#This Row],[Kr/m3]]</f>
        <v>378.33749999999998</v>
      </c>
      <c r="H23" s="8">
        <f>Tabell6[[#This Row],[Summa fast avg/hushåll]]</f>
        <v>547.85714285714289</v>
      </c>
      <c r="I23" s="8">
        <f>Tabell6[[#This Row],[Medlems avg]]/14</f>
        <v>600</v>
      </c>
      <c r="J23" s="8"/>
      <c r="K23" s="8">
        <f>IF(Tabell41011121314151617181920[[#This Row],[Nuvarande]], SUM(Tabell41011121314151617181920[[#This Row],[Summa förbrukning]:[Lån]])+Tabell41011121314151617181920[[#This Row],[Korr]],0)</f>
        <v>1526.1946428571428</v>
      </c>
      <c r="L23" s="2"/>
    </row>
    <row r="24" spans="1:12" x14ac:dyDescent="0.25">
      <c r="A24" s="4">
        <v>42855</v>
      </c>
      <c r="B24">
        <v>3825</v>
      </c>
      <c r="C24">
        <f t="shared" si="3"/>
        <v>3802</v>
      </c>
      <c r="D24">
        <f t="shared" si="4"/>
        <v>23</v>
      </c>
      <c r="E24" s="3">
        <f>Tabell6[[#This Row],[Att fördela]]</f>
        <v>-2</v>
      </c>
      <c r="F24">
        <f>Tabell6[[#This Row],[Pris/m3 ink.moms]]</f>
        <v>14.9625</v>
      </c>
      <c r="G24" s="8">
        <f>(Tabell41011121314151617181920[[#This Row],[Förbrukning]]+Tabell41011121314151617181920[[#This Row],[Utjämning]])*Tabell41011121314151617181920[[#This Row],[Kr/m3]]</f>
        <v>314.21250000000003</v>
      </c>
      <c r="H24" s="8">
        <f>Tabell6[[#This Row],[Summa fast avg/hushåll]]</f>
        <v>547.85714285714289</v>
      </c>
      <c r="I24" s="8">
        <f>Tabell6[[#This Row],[Medlems avg]]/14</f>
        <v>700</v>
      </c>
      <c r="J24" s="8"/>
      <c r="K24" s="8">
        <f>IF(Tabell41011121314151617181920[[#This Row],[Nuvarande]], SUM(Tabell41011121314151617181920[[#This Row],[Summa förbrukning]:[Lån]])+Tabell41011121314151617181920[[#This Row],[Korr]],0)</f>
        <v>1562.069642857143</v>
      </c>
      <c r="L24" s="2"/>
    </row>
    <row r="25" spans="1:12" x14ac:dyDescent="0.25">
      <c r="A25" s="4">
        <v>42978</v>
      </c>
      <c r="B25">
        <v>3859</v>
      </c>
      <c r="C25">
        <f t="shared" si="3"/>
        <v>3825</v>
      </c>
      <c r="D25">
        <f t="shared" si="4"/>
        <v>34</v>
      </c>
      <c r="E25" s="3">
        <f>Tabell6[[#This Row],[Att fördela]]</f>
        <v>-3.3571428571428572</v>
      </c>
      <c r="F25">
        <f>Tabell6[[#This Row],[Pris/m3 ink.moms]]</f>
        <v>14.9625</v>
      </c>
      <c r="G25" s="8">
        <f>(Tabell41011121314151617181920[[#This Row],[Förbrukning]]+Tabell41011121314151617181920[[#This Row],[Utjämning]])*Tabell41011121314151617181920[[#This Row],[Kr/m3]]</f>
        <v>458.49374999999998</v>
      </c>
      <c r="H25" s="8">
        <f>Tabell6[[#This Row],[Summa fast avg/hushåll]]</f>
        <v>547.85714285714289</v>
      </c>
      <c r="I25" s="8">
        <f>Tabell6[[#This Row],[Medlems avg]]/14</f>
        <v>700</v>
      </c>
      <c r="J25" s="8"/>
      <c r="K25" s="8">
        <f>IF(Tabell41011121314151617181920[[#This Row],[Nuvarande]], SUM(Tabell41011121314151617181920[[#This Row],[Summa förbrukning]:[Lån]])+Tabell41011121314151617181920[[#This Row],[Korr]],0)</f>
        <v>1706.3508928571428</v>
      </c>
      <c r="L25" s="2"/>
    </row>
    <row r="26" spans="1:12" x14ac:dyDescent="0.25">
      <c r="A26" s="4">
        <v>43100</v>
      </c>
      <c r="B26">
        <v>3882</v>
      </c>
      <c r="C26">
        <f t="shared" si="3"/>
        <v>3859</v>
      </c>
      <c r="D26">
        <f t="shared" si="4"/>
        <v>23</v>
      </c>
      <c r="E26" s="3">
        <f>Tabell6[[#This Row],[Att fördela]]</f>
        <v>-1.8571428571428572</v>
      </c>
      <c r="F26">
        <f>Tabell6[[#This Row],[Pris/m3 ink.moms]]</f>
        <v>14.9625</v>
      </c>
      <c r="G26" s="8">
        <f>(Tabell41011121314151617181920[[#This Row],[Förbrukning]]+Tabell41011121314151617181920[[#This Row],[Utjämning]])*Tabell41011121314151617181920[[#This Row],[Kr/m3]]</f>
        <v>316.35000000000002</v>
      </c>
      <c r="H26" s="8">
        <f>Tabell6[[#This Row],[Summa fast avg/hushåll]]</f>
        <v>547.85714285714289</v>
      </c>
      <c r="I26" s="8">
        <f>Tabell6[[#This Row],[Medlems avg]]/14</f>
        <v>700</v>
      </c>
      <c r="J26" s="8"/>
      <c r="K26" s="8">
        <f>IF(Tabell41011121314151617181920[[#This Row],[Nuvarande]], SUM(Tabell41011121314151617181920[[#This Row],[Summa förbrukning]:[Lån]])+Tabell41011121314151617181920[[#This Row],[Korr]],0)</f>
        <v>1564.207142857143</v>
      </c>
      <c r="L26" s="2"/>
    </row>
    <row r="27" spans="1:12" x14ac:dyDescent="0.25">
      <c r="A27" s="4">
        <v>43220</v>
      </c>
      <c r="B27">
        <v>3909</v>
      </c>
      <c r="C27">
        <f t="shared" si="3"/>
        <v>3882</v>
      </c>
      <c r="D27">
        <f t="shared" si="4"/>
        <v>27</v>
      </c>
      <c r="E27" s="3">
        <f>Tabell6[[#This Row],[Att fördela]]</f>
        <v>-2.5714285714285716</v>
      </c>
      <c r="F27">
        <f>Tabell6[[#This Row],[Pris/m3 ink.moms]]</f>
        <v>14.9625</v>
      </c>
      <c r="G27" s="8">
        <f>(Tabell41011121314151617181920[[#This Row],[Förbrukning]]+Tabell41011121314151617181920[[#This Row],[Utjämning]])*Tabell41011121314151617181920[[#This Row],[Kr/m3]]</f>
        <v>365.51249999999999</v>
      </c>
      <c r="H27" s="8">
        <f>Tabell6[[#This Row],[Summa fast avg/hushåll]]</f>
        <v>547.85714285714289</v>
      </c>
      <c r="I27" s="8">
        <f>Tabell6[[#This Row],[Medlems avg]]/14</f>
        <v>1000</v>
      </c>
      <c r="J27" s="8"/>
      <c r="K27" s="8">
        <f>IF(Tabell41011121314151617181920[[#This Row],[Nuvarande]], SUM(Tabell41011121314151617181920[[#This Row],[Summa förbrukning]:[Lån]])+Tabell41011121314151617181920[[#This Row],[Korr]],0)</f>
        <v>1913.3696428571429</v>
      </c>
      <c r="L27" s="2"/>
    </row>
    <row r="28" spans="1:12" x14ac:dyDescent="0.25">
      <c r="A28" s="4">
        <v>43343</v>
      </c>
      <c r="B28">
        <v>3936</v>
      </c>
      <c r="C28">
        <f t="shared" si="3"/>
        <v>3909</v>
      </c>
      <c r="D28">
        <f t="shared" si="4"/>
        <v>27</v>
      </c>
      <c r="E28" s="3">
        <f>Tabell6[[#This Row],[Att fördela]]</f>
        <v>-2.2142857142857144</v>
      </c>
      <c r="F28">
        <f>Tabell6[[#This Row],[Pris/m3 ink.moms]]</f>
        <v>14.9625</v>
      </c>
      <c r="G28" s="8">
        <f>(Tabell41011121314151617181920[[#This Row],[Förbrukning]]+Tabell41011121314151617181920[[#This Row],[Utjämning]])*Tabell41011121314151617181920[[#This Row],[Kr/m3]]</f>
        <v>370.85624999999999</v>
      </c>
      <c r="H28" s="8">
        <f>Tabell6[[#This Row],[Summa fast avg/hushåll]]</f>
        <v>547.85714285714289</v>
      </c>
      <c r="I28" s="8">
        <f>Tabell6[[#This Row],[Medlems avg]]/14</f>
        <v>1000</v>
      </c>
      <c r="J28" s="8"/>
      <c r="K28" s="8">
        <f>IF(Tabell41011121314151617181920[[#This Row],[Nuvarande]], SUM(Tabell41011121314151617181920[[#This Row],[Summa förbrukning]:[Lån]])+Tabell41011121314151617181920[[#This Row],[Korr]],0)</f>
        <v>1918.7133928571429</v>
      </c>
      <c r="L28" s="2"/>
    </row>
    <row r="29" spans="1:12" x14ac:dyDescent="0.25">
      <c r="A29" s="4">
        <v>43465</v>
      </c>
      <c r="B29">
        <v>3961</v>
      </c>
      <c r="C29">
        <f t="shared" si="3"/>
        <v>3936</v>
      </c>
      <c r="D29">
        <f t="shared" si="4"/>
        <v>25</v>
      </c>
      <c r="E29" s="3">
        <f>Tabell6[[#This Row],[Att fördela]]</f>
        <v>-1.5</v>
      </c>
      <c r="F29">
        <f>Tabell6[[#This Row],[Pris/m3 ink.moms]]</f>
        <v>15.780000000000001</v>
      </c>
      <c r="G29" s="8">
        <f>(Tabell41011121314151617181920[[#This Row],[Förbrukning]]+Tabell41011121314151617181920[[#This Row],[Utjämning]])*Tabell41011121314151617181920[[#This Row],[Kr/m3]]</f>
        <v>370.83000000000004</v>
      </c>
      <c r="H29" s="8">
        <f>Tabell6[[#This Row],[Summa fast avg/hushåll]]</f>
        <v>547.85714285714289</v>
      </c>
      <c r="I29" s="8">
        <f>Tabell6[[#This Row],[Medlems avg]]/14</f>
        <v>1000</v>
      </c>
      <c r="J29" s="8"/>
      <c r="K29" s="8">
        <f>IF(Tabell41011121314151617181920[[#This Row],[Nuvarande]], SUM(Tabell41011121314151617181920[[#This Row],[Summa förbrukning]:[Lån]])+Tabell41011121314151617181920[[#This Row],[Korr]],0)</f>
        <v>1918.687142857143</v>
      </c>
      <c r="L29" s="2"/>
    </row>
    <row r="30" spans="1:12" x14ac:dyDescent="0.25">
      <c r="A30" s="4">
        <v>43585</v>
      </c>
      <c r="B30">
        <v>3980</v>
      </c>
      <c r="C30">
        <f t="shared" si="3"/>
        <v>3961</v>
      </c>
      <c r="D30">
        <f t="shared" si="4"/>
        <v>19</v>
      </c>
      <c r="E30" s="3">
        <f>Tabell6[[#This Row],[Att fördela]]</f>
        <v>-7.2857142857142856</v>
      </c>
      <c r="F30">
        <f>Tabell6[[#This Row],[Pris/m3 ink.moms]]</f>
        <v>15.780000000000001</v>
      </c>
      <c r="G30" s="8">
        <f>(Tabell41011121314151617181920[[#This Row],[Förbrukning]]+Tabell41011121314151617181920[[#This Row],[Utjämning]])*Tabell41011121314151617181920[[#This Row],[Kr/m3]]</f>
        <v>184.85142857142861</v>
      </c>
      <c r="H30" s="8">
        <f>Tabell6[[#This Row],[Summa fast avg/hushåll]]</f>
        <v>578.16714285714284</v>
      </c>
      <c r="I30" s="8">
        <f>Tabell6[[#This Row],[Medlems avg]]/14</f>
        <v>1000</v>
      </c>
      <c r="J30" s="8"/>
      <c r="K30" s="8">
        <f>IF(Tabell41011121314151617181920[[#This Row],[Nuvarande]], SUM(Tabell41011121314151617181920[[#This Row],[Summa förbrukning]:[Lån]])+Tabell41011121314151617181920[[#This Row],[Korr]],0)</f>
        <v>1763.0185714285715</v>
      </c>
      <c r="L30" s="2"/>
    </row>
    <row r="31" spans="1:12" x14ac:dyDescent="0.25">
      <c r="A31" s="4">
        <v>43708</v>
      </c>
      <c r="B31">
        <v>4006</v>
      </c>
      <c r="C31">
        <f t="shared" si="3"/>
        <v>3980</v>
      </c>
      <c r="D31">
        <f t="shared" si="4"/>
        <v>26</v>
      </c>
      <c r="E31" s="3">
        <f>Tabell6[[#This Row],[Att fördela]]</f>
        <v>-3.4285714285714284</v>
      </c>
      <c r="F31">
        <f>Tabell6[[#This Row],[Pris/m3 ink.moms]]</f>
        <v>15.780000000000001</v>
      </c>
      <c r="G31" s="8">
        <f>(Tabell41011121314151617181920[[#This Row],[Förbrukning]]+Tabell41011121314151617181920[[#This Row],[Utjämning]])*Tabell41011121314151617181920[[#This Row],[Kr/m3]]</f>
        <v>356.17714285714288</v>
      </c>
      <c r="H31" s="8">
        <f>Tabell6[[#This Row],[Summa fast avg/hushåll]]</f>
        <v>578.16714285714284</v>
      </c>
      <c r="I31" s="8">
        <f>Tabell6[[#This Row],[Medlems avg]]/14</f>
        <v>1000</v>
      </c>
      <c r="J31" s="8"/>
      <c r="K31" s="8">
        <f>IF(Tabell41011121314151617181920[[#This Row],[Nuvarande]], SUM(Tabell41011121314151617181920[[#This Row],[Summa förbrukning]:[Lån]])+Tabell41011121314151617181920[[#This Row],[Korr]],0)</f>
        <v>1934.3442857142857</v>
      </c>
      <c r="L31" s="2"/>
    </row>
    <row r="32" spans="1:12" x14ac:dyDescent="0.25">
      <c r="A32" s="4">
        <v>43830</v>
      </c>
      <c r="B32">
        <v>4026</v>
      </c>
      <c r="C32">
        <f t="shared" si="3"/>
        <v>4006</v>
      </c>
      <c r="D32">
        <f t="shared" si="4"/>
        <v>20</v>
      </c>
      <c r="E32" s="3">
        <f>Tabell6[[#This Row],[Att fördela]]</f>
        <v>-3</v>
      </c>
      <c r="F32">
        <f>Tabell6[[#This Row],[Pris/m3 ink.moms]]</f>
        <v>15.780000000000001</v>
      </c>
      <c r="G32" s="8">
        <f>(Tabell41011121314151617181920[[#This Row],[Förbrukning]]+Tabell41011121314151617181920[[#This Row],[Utjämning]])*Tabell41011121314151617181920[[#This Row],[Kr/m3]]</f>
        <v>268.26</v>
      </c>
      <c r="H32" s="8">
        <f>Tabell6[[#This Row],[Summa fast avg/hushåll]]</f>
        <v>578.16714285714284</v>
      </c>
      <c r="I32" s="8">
        <f>Tabell6[[#This Row],[Medlems avg]]/14</f>
        <v>1000</v>
      </c>
      <c r="J32" s="8"/>
      <c r="K32" s="8">
        <f>IF(Tabell41011121314151617181920[[#This Row],[Nuvarande]], SUM(Tabell41011121314151617181920[[#This Row],[Summa förbrukning]:[Lån]])+Tabell41011121314151617181920[[#This Row],[Korr]],0)</f>
        <v>1846.4271428571428</v>
      </c>
      <c r="L32" s="2"/>
    </row>
    <row r="33" spans="1:12" x14ac:dyDescent="0.25">
      <c r="A33" s="4">
        <v>43951</v>
      </c>
      <c r="B33">
        <v>4047</v>
      </c>
      <c r="C33">
        <f t="shared" si="3"/>
        <v>4026</v>
      </c>
      <c r="D33">
        <f t="shared" si="4"/>
        <v>21</v>
      </c>
      <c r="E33" s="3">
        <f>Tabell6[[#This Row],[Att fördela]]</f>
        <v>-1.9285714285714286</v>
      </c>
      <c r="F33">
        <f>Tabell6[[#This Row],[Pris/m3 ink.moms]]</f>
        <v>15.780000000000001</v>
      </c>
      <c r="G33" s="8">
        <f>(Tabell41011121314151617181920[[#This Row],[Förbrukning]]+Tabell41011121314151617181920[[#This Row],[Utjämning]])*Tabell41011121314151617181920[[#This Row],[Kr/m3]]</f>
        <v>300.94714285714292</v>
      </c>
      <c r="H33" s="8">
        <f>Tabell6[[#This Row],[Summa fast avg/hushåll]]</f>
        <v>578.16714285714284</v>
      </c>
      <c r="I33" s="8">
        <f>Tabell6[[#This Row],[Medlems avg]]/14</f>
        <v>1000</v>
      </c>
      <c r="J33" s="8"/>
      <c r="K33" s="8">
        <f>IF(Tabell41011121314151617181920[[#This Row],[Nuvarande]], SUM(Tabell41011121314151617181920[[#This Row],[Summa förbrukning]:[Lån]])+Tabell41011121314151617181920[[#This Row],[Korr]],0)</f>
        <v>1879.1142857142859</v>
      </c>
      <c r="L33" s="2"/>
    </row>
    <row r="34" spans="1:12" x14ac:dyDescent="0.25">
      <c r="A34" s="4">
        <v>44074</v>
      </c>
      <c r="B34">
        <v>4076</v>
      </c>
      <c r="C34">
        <f t="shared" si="3"/>
        <v>4047</v>
      </c>
      <c r="D34">
        <f t="shared" si="4"/>
        <v>29</v>
      </c>
      <c r="E34" s="3">
        <f>Tabell6[[#This Row],[Att fördela]]</f>
        <v>-1.8571428571428572</v>
      </c>
      <c r="F34">
        <f>Tabell6[[#This Row],[Pris/m3 ink.moms]]</f>
        <v>15.780000000000001</v>
      </c>
      <c r="G34" s="8">
        <f>(Tabell41011121314151617181920[[#This Row],[Förbrukning]]+Tabell41011121314151617181920[[#This Row],[Utjämning]])*Tabell41011121314151617181920[[#This Row],[Kr/m3]]</f>
        <v>428.31428571428575</v>
      </c>
      <c r="H34" s="8">
        <f>Tabell6[[#This Row],[Summa fast avg/hushåll]]</f>
        <v>578.16714285714284</v>
      </c>
      <c r="I34" s="8">
        <f>Tabell6[[#This Row],[Medlems avg]]/14</f>
        <v>1000</v>
      </c>
      <c r="J34" s="8"/>
      <c r="K34" s="8">
        <f>IF(Tabell41011121314151617181920[[#This Row],[Nuvarande]], SUM(Tabell41011121314151617181920[[#This Row],[Summa förbrukning]:[Lån]])+Tabell41011121314151617181920[[#This Row],[Korr]],0)</f>
        <v>2006.4814285714285</v>
      </c>
      <c r="L34" s="2"/>
    </row>
    <row r="35" spans="1:12" x14ac:dyDescent="0.25">
      <c r="A35" s="4">
        <v>44196</v>
      </c>
      <c r="B35">
        <v>4097</v>
      </c>
      <c r="C35">
        <f t="shared" si="3"/>
        <v>4076</v>
      </c>
      <c r="D35">
        <f t="shared" si="4"/>
        <v>21</v>
      </c>
      <c r="E35" s="3">
        <f>Tabell6[[#This Row],[Att fördela]]</f>
        <v>-2.2142857142857144</v>
      </c>
      <c r="F35">
        <f>Tabell6[[#This Row],[Pris/m3 ink.moms]]</f>
        <v>15.780000000000001</v>
      </c>
      <c r="G35" s="8">
        <f>(Tabell41011121314151617181920[[#This Row],[Förbrukning]]+Tabell41011121314151617181920[[#This Row],[Utjämning]])*Tabell41011121314151617181920[[#This Row],[Kr/m3]]</f>
        <v>296.43857142857144</v>
      </c>
      <c r="H35" s="8">
        <f>Tabell6[[#This Row],[Summa fast avg/hushåll]]</f>
        <v>578.16714285714284</v>
      </c>
      <c r="I35" s="8">
        <f>Tabell6[[#This Row],[Medlems avg]]/14</f>
        <v>1000</v>
      </c>
      <c r="J35" s="8"/>
      <c r="K35" s="8">
        <f>IF(Tabell41011121314151617181920[[#This Row],[Nuvarande]], SUM(Tabell41011121314151617181920[[#This Row],[Summa förbrukning]:[Lån]])+Tabell41011121314151617181920[[#This Row],[Korr]],0)</f>
        <v>1874.6057142857144</v>
      </c>
      <c r="L35" s="2"/>
    </row>
    <row r="36" spans="1:12" x14ac:dyDescent="0.25">
      <c r="A36" s="4">
        <v>44316</v>
      </c>
      <c r="B36">
        <v>4116</v>
      </c>
      <c r="C36">
        <f t="shared" si="3"/>
        <v>4097</v>
      </c>
      <c r="D36">
        <f t="shared" si="4"/>
        <v>19</v>
      </c>
      <c r="E36" s="3">
        <f>Tabell6[[#This Row],[Att fördela]]</f>
        <v>-1.0714285714285714</v>
      </c>
      <c r="F36">
        <f>Tabell6[[#This Row],[Pris/m3 ink.moms]]</f>
        <v>15.780000000000001</v>
      </c>
      <c r="G36" s="8">
        <f>(Tabell41011121314151617181920[[#This Row],[Förbrukning]]+Tabell41011121314151617181920[[#This Row],[Utjämning]])*Tabell41011121314151617181920[[#This Row],[Kr/m3]]</f>
        <v>282.91285714285715</v>
      </c>
      <c r="H36" s="8">
        <f>Tabell6[[#This Row],[Summa fast avg/hushåll]]</f>
        <v>578.16714285714284</v>
      </c>
      <c r="I36" s="8">
        <f>Tabell6[[#This Row],[Medlems avg]]/14</f>
        <v>1000</v>
      </c>
      <c r="J36" s="8"/>
      <c r="K36" s="8">
        <f>IF(Tabell41011121314151617181920[[#This Row],[Nuvarande]], SUM(Tabell41011121314151617181920[[#This Row],[Summa förbrukning]:[Lån]])+Tabell41011121314151617181920[[#This Row],[Korr]],0)</f>
        <v>1861.08</v>
      </c>
      <c r="L36" s="2"/>
    </row>
    <row r="37" spans="1:12" x14ac:dyDescent="0.25">
      <c r="A37" s="4">
        <f>Tabell6[[#This Row],[Avläsnings datum]]</f>
        <v>44439</v>
      </c>
      <c r="B37">
        <v>4141</v>
      </c>
      <c r="C37">
        <f t="shared" ref="C37:C60" si="5">B36</f>
        <v>4116</v>
      </c>
      <c r="D37">
        <f t="shared" ref="D37:D60" si="6">IF(B37-C37&lt;0,0,B37-C37)</f>
        <v>25</v>
      </c>
      <c r="E37" s="3">
        <f>Tabell6[[#This Row],[Att fördela]]</f>
        <v>-2.4285714285714284</v>
      </c>
      <c r="F37">
        <f>Tabell6[[#This Row],[Pris/m3 ink.moms]]</f>
        <v>15.780000000000001</v>
      </c>
      <c r="G37" s="8">
        <f>(Tabell41011121314151617181920[[#This Row],[Förbrukning]]+Tabell41011121314151617181920[[#This Row],[Utjämning]])*Tabell41011121314151617181920[[#This Row],[Kr/m3]]</f>
        <v>356.17714285714288</v>
      </c>
      <c r="H37" s="8">
        <f>Tabell6[[#This Row],[Summa fast avg/hushåll]]</f>
        <v>578.16714285714284</v>
      </c>
      <c r="I37" s="8">
        <f>Tabell6[[#This Row],[Medlems avg]]/14</f>
        <v>1000</v>
      </c>
      <c r="J37" s="8"/>
      <c r="K37" s="8">
        <f>IF(Tabell41011121314151617181920[[#This Row],[Nuvarande]], SUM(Tabell41011121314151617181920[[#This Row],[Summa förbrukning]:[Lån]])+Tabell41011121314151617181920[[#This Row],[Korr]],0)</f>
        <v>1934.3442857142857</v>
      </c>
      <c r="L37" s="2"/>
    </row>
    <row r="38" spans="1:12" x14ac:dyDescent="0.25">
      <c r="A38" s="4">
        <f>Tabell6[[#This Row],[Avläsnings datum]]</f>
        <v>44561</v>
      </c>
      <c r="B38">
        <v>4162</v>
      </c>
      <c r="C38">
        <f t="shared" si="5"/>
        <v>4141</v>
      </c>
      <c r="D38">
        <f t="shared" si="6"/>
        <v>21</v>
      </c>
      <c r="E38" s="3">
        <f>Tabell6[[#This Row],[Att fördela]]</f>
        <v>-1.3571428571428572</v>
      </c>
      <c r="F38">
        <f>Tabell6[[#This Row],[Pris/m3 ink.moms]]</f>
        <v>15.780000000000001</v>
      </c>
      <c r="G38" s="8">
        <f>(Tabell41011121314151617181920[[#This Row],[Förbrukning]]+Tabell41011121314151617181920[[#This Row],[Utjämning]])*Tabell41011121314151617181920[[#This Row],[Kr/m3]]</f>
        <v>309.96428571428572</v>
      </c>
      <c r="H38" s="8">
        <f>Tabell6[[#This Row],[Summa fast avg/hushåll]]</f>
        <v>578.16714285714284</v>
      </c>
      <c r="I38" s="8">
        <f>Tabell6[[#This Row],[Medlems avg]]/14</f>
        <v>1000</v>
      </c>
      <c r="J38" s="8"/>
      <c r="K38" s="8">
        <f>IF(Tabell41011121314151617181920[[#This Row],[Nuvarande]], SUM(Tabell41011121314151617181920[[#This Row],[Summa förbrukning]:[Lån]])+Tabell41011121314151617181920[[#This Row],[Korr]],0)</f>
        <v>1888.1314285714286</v>
      </c>
      <c r="L38" s="2"/>
    </row>
    <row r="39" spans="1:12" x14ac:dyDescent="0.25">
      <c r="A39" s="4">
        <f>Tabell6[[#This Row],[Avläsnings datum]]</f>
        <v>44681</v>
      </c>
      <c r="B39">
        <v>4189</v>
      </c>
      <c r="C39">
        <f t="shared" si="5"/>
        <v>4162</v>
      </c>
      <c r="D39">
        <f t="shared" si="6"/>
        <v>27</v>
      </c>
      <c r="E39" s="3">
        <f>Tabell6[[#This Row],[Att fördela]]</f>
        <v>-2.7142857142857144</v>
      </c>
      <c r="F39">
        <f>Tabell6[[#This Row],[Pris/m3 ink.moms]]</f>
        <v>15.780000000000001</v>
      </c>
      <c r="G39" s="8">
        <f>(Tabell41011121314151617181920[[#This Row],[Förbrukning]]+Tabell41011121314151617181920[[#This Row],[Utjämning]])*Tabell41011121314151617181920[[#This Row],[Kr/m3]]</f>
        <v>383.22857142857146</v>
      </c>
      <c r="H39" s="8">
        <f>Tabell6[[#This Row],[Summa fast avg/hushåll]]</f>
        <v>578.16714285714284</v>
      </c>
      <c r="I39" s="8">
        <f>Tabell6[[#This Row],[Medlems avg]]/14</f>
        <v>1000</v>
      </c>
      <c r="J39" s="8"/>
      <c r="K39" s="8">
        <f>IF(Tabell41011121314151617181920[[#This Row],[Nuvarande]], SUM(Tabell41011121314151617181920[[#This Row],[Summa förbrukning]:[Lån]])+Tabell41011121314151617181920[[#This Row],[Korr]],0)</f>
        <v>1961.3957142857143</v>
      </c>
      <c r="L39" s="2"/>
    </row>
    <row r="40" spans="1:12" x14ac:dyDescent="0.25">
      <c r="A40" s="4">
        <f>Tabell6[[#This Row],[Avläsnings datum]]</f>
        <v>44804</v>
      </c>
      <c r="B40">
        <v>4210</v>
      </c>
      <c r="C40">
        <f t="shared" si="5"/>
        <v>4189</v>
      </c>
      <c r="D40">
        <f t="shared" si="6"/>
        <v>21</v>
      </c>
      <c r="E40" s="3">
        <f>Tabell6[[#This Row],[Att fördela]]</f>
        <v>-7.1428571428571425E-2</v>
      </c>
      <c r="F40">
        <f>Tabell6[[#This Row],[Pris/m3 ink.moms]]</f>
        <v>15.780000000000001</v>
      </c>
      <c r="G40" s="8">
        <f>(Tabell41011121314151617181920[[#This Row],[Förbrukning]]+Tabell41011121314151617181920[[#This Row],[Utjämning]])*Tabell41011121314151617181920[[#This Row],[Kr/m3]]</f>
        <v>330.25285714285712</v>
      </c>
      <c r="H40" s="8">
        <f>Tabell6[[#This Row],[Summa fast avg/hushåll]]</f>
        <v>578.16714285714284</v>
      </c>
      <c r="I40" s="8">
        <f>Tabell6[[#This Row],[Medlems avg]]/14</f>
        <v>1000</v>
      </c>
      <c r="J40" s="8"/>
      <c r="K40" s="8">
        <f>IF(Tabell41011121314151617181920[[#This Row],[Nuvarande]], SUM(Tabell41011121314151617181920[[#This Row],[Summa förbrukning]:[Lån]])+Tabell41011121314151617181920[[#This Row],[Korr]],0)</f>
        <v>1908.42</v>
      </c>
      <c r="L40" s="2"/>
    </row>
    <row r="41" spans="1:12" x14ac:dyDescent="0.25">
      <c r="A41" s="4">
        <f>Tabell6[[#This Row],[Avläsnings datum]]</f>
        <v>44926</v>
      </c>
      <c r="B41">
        <v>4231</v>
      </c>
      <c r="C41">
        <f t="shared" si="5"/>
        <v>4210</v>
      </c>
      <c r="D41">
        <f t="shared" si="6"/>
        <v>21</v>
      </c>
      <c r="E41" s="3">
        <f>Tabell6[[#This Row],[Att fördela]]</f>
        <v>0</v>
      </c>
      <c r="F41">
        <f>Tabell6[[#This Row],[Pris/m3 ink.moms]]</f>
        <v>15.780000000000001</v>
      </c>
      <c r="G41" s="8">
        <f>(Tabell41011121314151617181920[[#This Row],[Förbrukning]]+Tabell41011121314151617181920[[#This Row],[Utjämning]])*Tabell41011121314151617181920[[#This Row],[Kr/m3]]</f>
        <v>331.38</v>
      </c>
      <c r="H41" s="8">
        <f>Tabell6[[#This Row],[Summa fast avg/hushåll]]</f>
        <v>578.16714285714284</v>
      </c>
      <c r="I41" s="8">
        <f>Tabell6[[#This Row],[Medlems avg]]/14</f>
        <v>1000</v>
      </c>
      <c r="J41" s="8"/>
      <c r="K41" s="8">
        <f>IF(Tabell41011121314151617181920[[#This Row],[Nuvarande]], SUM(Tabell41011121314151617181920[[#This Row],[Summa förbrukning]:[Lån]])+Tabell41011121314151617181920[[#This Row],[Korr]],0)</f>
        <v>1909.5471428571427</v>
      </c>
      <c r="L41" s="2"/>
    </row>
    <row r="42" spans="1:12" x14ac:dyDescent="0.25">
      <c r="A42" s="4">
        <f>Tabell6[[#This Row],[Avläsnings datum]]</f>
        <v>45046</v>
      </c>
      <c r="B42">
        <v>4251</v>
      </c>
      <c r="C42">
        <f t="shared" si="5"/>
        <v>4231</v>
      </c>
      <c r="D42">
        <f t="shared" si="6"/>
        <v>20</v>
      </c>
      <c r="E42" s="3">
        <f>Tabell6[[#This Row],[Att fördela]]</f>
        <v>0.14285714285714285</v>
      </c>
      <c r="F42">
        <f>Tabell6[[#This Row],[Pris/m3 ink.moms]]</f>
        <v>17.829999999999998</v>
      </c>
      <c r="G42" s="8">
        <f>(Tabell41011121314151617181920[[#This Row],[Förbrukning]]+Tabell41011121314151617181920[[#This Row],[Utjämning]])*Tabell41011121314151617181920[[#This Row],[Kr/m3]]</f>
        <v>359.1471428571428</v>
      </c>
      <c r="H42" s="8">
        <f>Tabell6[[#This Row],[Summa fast avg/hushåll]]</f>
        <v>652.99952380952379</v>
      </c>
      <c r="I42" s="8">
        <f>Tabell6[[#This Row],[Medlems avg]]/14</f>
        <v>1000</v>
      </c>
      <c r="J42" s="8"/>
      <c r="K42" s="8">
        <f>IF(Tabell41011121314151617181920[[#This Row],[Nuvarande]], SUM(Tabell41011121314151617181920[[#This Row],[Summa förbrukning]:[Lån]])+Tabell41011121314151617181920[[#This Row],[Korr]],0)</f>
        <v>2012.1466666666665</v>
      </c>
      <c r="L42" s="2"/>
    </row>
    <row r="43" spans="1:12" x14ac:dyDescent="0.25">
      <c r="A43" s="4">
        <f>Tabell6[[#This Row],[Avläsnings datum]]</f>
        <v>45169</v>
      </c>
      <c r="B43">
        <v>4278</v>
      </c>
      <c r="C43">
        <f t="shared" si="5"/>
        <v>4251</v>
      </c>
      <c r="D43">
        <f t="shared" si="6"/>
        <v>27</v>
      </c>
      <c r="E43" s="3">
        <f>Tabell6[[#This Row],[Att fördela]]</f>
        <v>-2.2142857142857144</v>
      </c>
      <c r="F43">
        <f>Tabell6[[#This Row],[Pris/m3 ink.moms]]</f>
        <v>17.829999999999998</v>
      </c>
      <c r="G43" s="8">
        <f>(Tabell41011121314151617181920[[#This Row],[Förbrukning]]+Tabell41011121314151617181920[[#This Row],[Utjämning]])*Tabell41011121314151617181920[[#This Row],[Kr/m3]]</f>
        <v>441.92928571428564</v>
      </c>
      <c r="H43" s="8">
        <f>Tabell6[[#This Row],[Summa fast avg/hushåll]]</f>
        <v>652.99952380952379</v>
      </c>
      <c r="I43" s="8">
        <f>Tabell6[[#This Row],[Medlems avg]]/14</f>
        <v>1000</v>
      </c>
      <c r="J43" s="8"/>
      <c r="K43" s="8">
        <f>IF(Tabell41011121314151617181920[[#This Row],[Nuvarande]], SUM(Tabell41011121314151617181920[[#This Row],[Summa förbrukning]:[Lån]])+Tabell41011121314151617181920[[#This Row],[Korr]],0)</f>
        <v>2094.9288095238094</v>
      </c>
      <c r="L43" s="2"/>
    </row>
    <row r="44" spans="1:12" x14ac:dyDescent="0.25">
      <c r="A44" s="4">
        <f>Tabell6[[#This Row],[Avläsnings datum]]</f>
        <v>45291</v>
      </c>
      <c r="B44">
        <v>4301</v>
      </c>
      <c r="C44">
        <f t="shared" si="5"/>
        <v>4278</v>
      </c>
      <c r="D44">
        <f t="shared" si="6"/>
        <v>23</v>
      </c>
      <c r="E44" s="3">
        <f>Tabell6[[#This Row],[Att fördela]]</f>
        <v>-0.7857142857142857</v>
      </c>
      <c r="F44">
        <f>Tabell6[[#This Row],[Pris/m3 ink.moms]]</f>
        <v>17.829999999999998</v>
      </c>
      <c r="G44" s="8">
        <f>(Tabell41011121314151617181920[[#This Row],[Förbrukning]]+Tabell41011121314151617181920[[#This Row],[Utjämning]])*Tabell41011121314151617181920[[#This Row],[Kr/m3]]</f>
        <v>396.08071428571429</v>
      </c>
      <c r="H44" s="8">
        <f>Tabell6[[#This Row],[Summa fast avg/hushåll]]</f>
        <v>652.99952380952379</v>
      </c>
      <c r="I44" s="8">
        <f>Tabell6[[#This Row],[Medlems avg]]/14</f>
        <v>1000</v>
      </c>
      <c r="J44" s="8"/>
      <c r="K44" s="8">
        <f>IF(Tabell41011121314151617181920[[#This Row],[Nuvarande]], SUM(Tabell41011121314151617181920[[#This Row],[Summa förbrukning]:[Lån]])+Tabell41011121314151617181920[[#This Row],[Korr]],0)</f>
        <v>2049.0802380952382</v>
      </c>
      <c r="L44" s="2"/>
    </row>
    <row r="45" spans="1:12" x14ac:dyDescent="0.25">
      <c r="A45" s="4">
        <f>Tabell6[[#This Row],[Avläsnings datum]]</f>
        <v>45412</v>
      </c>
      <c r="B45">
        <v>4321</v>
      </c>
      <c r="C45">
        <f t="shared" si="5"/>
        <v>4301</v>
      </c>
      <c r="D45">
        <f t="shared" si="6"/>
        <v>20</v>
      </c>
      <c r="E45" s="3">
        <f>Tabell6[[#This Row],[Att fördela]]</f>
        <v>-7.1428571428571425E-2</v>
      </c>
      <c r="F45">
        <f>Tabell6[[#This Row],[Pris/m3 ink.moms]]</f>
        <v>17.829999999999998</v>
      </c>
      <c r="G45" s="8">
        <f>(Tabell41011121314151617181920[[#This Row],[Förbrukning]]+Tabell41011121314151617181920[[#This Row],[Utjämning]])*Tabell41011121314151617181920[[#This Row],[Kr/m3]]</f>
        <v>355.32642857142849</v>
      </c>
      <c r="H45" s="8">
        <f>Tabell6[[#This Row],[Summa fast avg/hushåll]]</f>
        <v>652.99952380952379</v>
      </c>
      <c r="I45" s="8">
        <f>Tabell6[[#This Row],[Medlems avg]]/14</f>
        <v>1000</v>
      </c>
      <c r="J45" s="8"/>
      <c r="K45" s="8">
        <f>IF(Tabell41011121314151617181920[[#This Row],[Nuvarande]], SUM(Tabell41011121314151617181920[[#This Row],[Summa förbrukning]:[Lån]])+Tabell41011121314151617181920[[#This Row],[Korr]],0)</f>
        <v>2008.3259523809522</v>
      </c>
      <c r="L45" s="2"/>
    </row>
    <row r="46" spans="1:12" x14ac:dyDescent="0.25">
      <c r="A46" s="4">
        <f>Tabell6[[#This Row],[Avläsnings datum]]</f>
        <v>45535</v>
      </c>
      <c r="B46">
        <v>4347</v>
      </c>
      <c r="C46">
        <f t="shared" si="5"/>
        <v>4321</v>
      </c>
      <c r="D46">
        <f t="shared" si="6"/>
        <v>26</v>
      </c>
      <c r="E46" s="3">
        <f>Tabell6[[#This Row],[Att fördela]]</f>
        <v>-1.3571428571428572</v>
      </c>
      <c r="F46">
        <f>Tabell6[[#This Row],[Pris/m3 ink.moms]]</f>
        <v>21</v>
      </c>
      <c r="G46" s="8">
        <f>(Tabell41011121314151617181920[[#This Row],[Förbrukning]]+Tabell41011121314151617181920[[#This Row],[Utjämning]])*Tabell41011121314151617181920[[#This Row],[Kr/m3]]</f>
        <v>517.5</v>
      </c>
      <c r="H46" s="8">
        <f>Tabell6[[#This Row],[Summa fast avg/hushåll]]</f>
        <v>763.97428571428566</v>
      </c>
      <c r="I46" s="8">
        <f>Tabell6[[#This Row],[Medlems avg]]/14</f>
        <v>1000</v>
      </c>
      <c r="J46" s="8"/>
      <c r="K46" s="8">
        <f>IF(Tabell41011121314151617181920[[#This Row],[Nuvarande]], SUM(Tabell41011121314151617181920[[#This Row],[Summa förbrukning]:[Lån]])+Tabell41011121314151617181920[[#This Row],[Korr]],0)</f>
        <v>2281.4742857142855</v>
      </c>
      <c r="L46" s="2"/>
    </row>
    <row r="47" spans="1:12" x14ac:dyDescent="0.25">
      <c r="A47" s="4">
        <f>Tabell6[[#This Row],[Avläsnings datum]]</f>
        <v>45657</v>
      </c>
      <c r="B47">
        <v>4370</v>
      </c>
      <c r="C47">
        <f t="shared" si="5"/>
        <v>4347</v>
      </c>
      <c r="D47">
        <f t="shared" si="6"/>
        <v>23</v>
      </c>
      <c r="E47" s="3">
        <f>Tabell6[[#This Row],[Att fördela]]</f>
        <v>-1.7142857142857142</v>
      </c>
      <c r="F47">
        <f>Tabell6[[#This Row],[Pris/m3 ink.moms]]</f>
        <v>21</v>
      </c>
      <c r="G47" s="8">
        <f>(Tabell41011121314151617181920[[#This Row],[Förbrukning]]+Tabell41011121314151617181920[[#This Row],[Utjämning]])*Tabell41011121314151617181920[[#This Row],[Kr/m3]]</f>
        <v>447</v>
      </c>
      <c r="H47" s="8">
        <f>Tabell6[[#This Row],[Summa fast avg/hushåll]]</f>
        <v>763.97428571428566</v>
      </c>
      <c r="I47" s="8">
        <f>Tabell6[[#This Row],[Medlems avg]]/14</f>
        <v>1000</v>
      </c>
      <c r="J47" s="8"/>
      <c r="K47" s="8">
        <f>IF(Tabell41011121314151617181920[[#This Row],[Nuvarande]], SUM(Tabell41011121314151617181920[[#This Row],[Summa förbrukning]:[Lån]])+Tabell41011121314151617181920[[#This Row],[Korr]],0)</f>
        <v>2210.9742857142855</v>
      </c>
      <c r="L47" s="2"/>
    </row>
    <row r="48" spans="1:12" x14ac:dyDescent="0.25">
      <c r="A48" s="4">
        <f>Tabell6[[#This Row],[Avläsnings datum]]</f>
        <v>45777</v>
      </c>
      <c r="B48">
        <v>4388</v>
      </c>
      <c r="C48">
        <f t="shared" si="5"/>
        <v>4370</v>
      </c>
      <c r="D48">
        <f t="shared" si="6"/>
        <v>18</v>
      </c>
      <c r="E48" s="3">
        <f>Tabell6[[#This Row],[Att fördela]]</f>
        <v>-1.5</v>
      </c>
      <c r="F48">
        <f>Tabell6[[#This Row],[Pris/m3 ink.moms]]</f>
        <v>24</v>
      </c>
      <c r="G48" s="8">
        <f>(Tabell41011121314151617181920[[#This Row],[Förbrukning]]+Tabell41011121314151617181920[[#This Row],[Utjämning]])*Tabell41011121314151617181920[[#This Row],[Kr/m3]]</f>
        <v>396</v>
      </c>
      <c r="H48" s="8">
        <f>Tabell6[[#This Row],[Summa fast avg/hushåll]]</f>
        <v>879.14738095238101</v>
      </c>
      <c r="I48" s="8">
        <f>Tabell6[[#This Row],[Medlems avg]]/14</f>
        <v>1000</v>
      </c>
      <c r="J48" s="8"/>
      <c r="K48" s="8">
        <f>IF(Tabell41011121314151617181920[[#This Row],[Nuvarande]], SUM(Tabell41011121314151617181920[[#This Row],[Summa förbrukning]:[Lån]])+Tabell41011121314151617181920[[#This Row],[Korr]],0)</f>
        <v>2275.1473809523809</v>
      </c>
      <c r="L48" s="2"/>
    </row>
    <row r="49" spans="1:12" x14ac:dyDescent="0.25">
      <c r="A49" s="4">
        <f>Tabell6[[#This Row],[Avläsnings datum]]</f>
        <v>45900</v>
      </c>
      <c r="C49">
        <f t="shared" si="5"/>
        <v>4388</v>
      </c>
      <c r="D49">
        <f t="shared" si="6"/>
        <v>0</v>
      </c>
      <c r="E49" s="3">
        <f>Tabell6[[#This Row],[Att fördela]]</f>
        <v>0</v>
      </c>
      <c r="F49">
        <f>Tabell6[[#This Row],[Pris/m3 ink.moms]]</f>
        <v>24</v>
      </c>
      <c r="G49" s="8">
        <f>(Tabell41011121314151617181920[[#This Row],[Förbrukning]]+Tabell41011121314151617181920[[#This Row],[Utjämning]])*Tabell41011121314151617181920[[#This Row],[Kr/m3]]</f>
        <v>0</v>
      </c>
      <c r="H49" s="8">
        <f>Tabell6[[#This Row],[Summa fast avg/hushåll]]</f>
        <v>879.14738095238101</v>
      </c>
      <c r="I49" s="8">
        <f>Tabell6[[#This Row],[Medlems avg]]/14</f>
        <v>1000</v>
      </c>
      <c r="J49" s="8"/>
      <c r="K49" s="8">
        <f>IF(Tabell41011121314151617181920[[#This Row],[Nuvarande]], SUM(Tabell41011121314151617181920[[#This Row],[Summa förbrukning]:[Lån]])+Tabell41011121314151617181920[[#This Row],[Korr]],0)</f>
        <v>0</v>
      </c>
      <c r="L49" s="2"/>
    </row>
    <row r="50" spans="1:12" x14ac:dyDescent="0.25">
      <c r="A50" s="4">
        <f>Tabell6[[#This Row],[Avläsnings datum]]</f>
        <v>46022</v>
      </c>
      <c r="C50">
        <f t="shared" si="5"/>
        <v>0</v>
      </c>
      <c r="D50">
        <f t="shared" si="6"/>
        <v>0</v>
      </c>
      <c r="E50" s="3">
        <f>Tabell6[[#This Row],[Att fördela]]</f>
        <v>0</v>
      </c>
      <c r="F50">
        <f>Tabell6[[#This Row],[Pris/m3 ink.moms]]</f>
        <v>24</v>
      </c>
      <c r="G50" s="8">
        <f>(Tabell41011121314151617181920[[#This Row],[Förbrukning]]+Tabell41011121314151617181920[[#This Row],[Utjämning]])*Tabell41011121314151617181920[[#This Row],[Kr/m3]]</f>
        <v>0</v>
      </c>
      <c r="H50" s="8">
        <f>Tabell6[[#This Row],[Summa fast avg/hushåll]]</f>
        <v>879.14738095238101</v>
      </c>
      <c r="I50" s="8">
        <f>Tabell6[[#This Row],[Medlems avg]]/14</f>
        <v>1000</v>
      </c>
      <c r="J50" s="8"/>
      <c r="K50" s="8">
        <f>IF(Tabell41011121314151617181920[[#This Row],[Nuvarande]], SUM(Tabell41011121314151617181920[[#This Row],[Summa förbrukning]:[Lån]])+Tabell41011121314151617181920[[#This Row],[Korr]],0)</f>
        <v>0</v>
      </c>
      <c r="L50" s="2"/>
    </row>
    <row r="51" spans="1:12" x14ac:dyDescent="0.25">
      <c r="A51" s="4">
        <f>Tabell6[[#This Row],[Avläsnings datum]]</f>
        <v>46142</v>
      </c>
      <c r="C51">
        <f t="shared" si="5"/>
        <v>0</v>
      </c>
      <c r="D51">
        <f t="shared" si="6"/>
        <v>0</v>
      </c>
      <c r="E51" s="3">
        <f>Tabell6[[#This Row],[Att fördela]]</f>
        <v>0</v>
      </c>
      <c r="F51">
        <f>Tabell6[[#This Row],[Pris/m3 ink.moms]]</f>
        <v>24</v>
      </c>
      <c r="G51" s="8">
        <f>(Tabell41011121314151617181920[[#This Row],[Förbrukning]]+Tabell41011121314151617181920[[#This Row],[Utjämning]])*Tabell41011121314151617181920[[#This Row],[Kr/m3]]</f>
        <v>0</v>
      </c>
      <c r="H51" s="8">
        <f>Tabell6[[#This Row],[Summa fast avg/hushåll]]</f>
        <v>879.14738095238101</v>
      </c>
      <c r="I51" s="8">
        <f>Tabell6[[#This Row],[Medlems avg]]/14</f>
        <v>1000</v>
      </c>
      <c r="J51" s="8"/>
      <c r="K51" s="8">
        <f>IF(Tabell41011121314151617181920[[#This Row],[Nuvarande]], SUM(Tabell41011121314151617181920[[#This Row],[Summa förbrukning]:[Lån]])+Tabell41011121314151617181920[[#This Row],[Korr]],0)</f>
        <v>0</v>
      </c>
      <c r="L51" s="2"/>
    </row>
    <row r="52" spans="1:12" x14ac:dyDescent="0.25">
      <c r="A52" s="4">
        <f>Tabell6[[#This Row],[Avläsnings datum]]</f>
        <v>46265</v>
      </c>
      <c r="C52">
        <f t="shared" si="5"/>
        <v>0</v>
      </c>
      <c r="D52">
        <f t="shared" si="6"/>
        <v>0</v>
      </c>
      <c r="E52" s="3">
        <f>Tabell6[[#This Row],[Att fördela]]</f>
        <v>0</v>
      </c>
      <c r="F52">
        <f>Tabell6[[#This Row],[Pris/m3 ink.moms]]</f>
        <v>24</v>
      </c>
      <c r="G52" s="8">
        <f>(Tabell41011121314151617181920[[#This Row],[Förbrukning]]+Tabell41011121314151617181920[[#This Row],[Utjämning]])*Tabell41011121314151617181920[[#This Row],[Kr/m3]]</f>
        <v>0</v>
      </c>
      <c r="H52" s="8">
        <f>Tabell6[[#This Row],[Summa fast avg/hushåll]]</f>
        <v>879.14738095238101</v>
      </c>
      <c r="I52" s="8">
        <f>Tabell6[[#This Row],[Medlems avg]]/14</f>
        <v>1000</v>
      </c>
      <c r="J52" s="8"/>
      <c r="K52" s="8">
        <f>IF(Tabell41011121314151617181920[[#This Row],[Nuvarande]], SUM(Tabell41011121314151617181920[[#This Row],[Summa förbrukning]:[Lån]])+Tabell41011121314151617181920[[#This Row],[Korr]],0)</f>
        <v>0</v>
      </c>
      <c r="L52" s="2"/>
    </row>
    <row r="53" spans="1:12" x14ac:dyDescent="0.25">
      <c r="A53" s="4">
        <f>Tabell6[[#This Row],[Avläsnings datum]]</f>
        <v>46387</v>
      </c>
      <c r="C53">
        <f t="shared" si="5"/>
        <v>0</v>
      </c>
      <c r="D53">
        <f t="shared" si="6"/>
        <v>0</v>
      </c>
      <c r="E53" s="3">
        <f>Tabell6[[#This Row],[Att fördela]]</f>
        <v>0</v>
      </c>
      <c r="F53">
        <f>Tabell6[[#This Row],[Pris/m3 ink.moms]]</f>
        <v>24</v>
      </c>
      <c r="G53" s="8">
        <f>(Tabell41011121314151617181920[[#This Row],[Förbrukning]]+Tabell41011121314151617181920[[#This Row],[Utjämning]])*Tabell41011121314151617181920[[#This Row],[Kr/m3]]</f>
        <v>0</v>
      </c>
      <c r="H53" s="8">
        <f>Tabell6[[#This Row],[Summa fast avg/hushåll]]</f>
        <v>879.14738095238101</v>
      </c>
      <c r="I53" s="8">
        <f>Tabell6[[#This Row],[Medlems avg]]/14</f>
        <v>1000</v>
      </c>
      <c r="J53" s="8"/>
      <c r="K53" s="8">
        <f>IF(Tabell41011121314151617181920[[#This Row],[Nuvarande]], SUM(Tabell41011121314151617181920[[#This Row],[Summa förbrukning]:[Lån]])+Tabell41011121314151617181920[[#This Row],[Korr]],0)</f>
        <v>0</v>
      </c>
      <c r="L53" s="2"/>
    </row>
    <row r="54" spans="1:12" x14ac:dyDescent="0.25">
      <c r="A54" s="4">
        <f>Tabell6[[#This Row],[Avläsnings datum]]</f>
        <v>46507</v>
      </c>
      <c r="C54">
        <f t="shared" si="5"/>
        <v>0</v>
      </c>
      <c r="D54">
        <f t="shared" si="6"/>
        <v>0</v>
      </c>
      <c r="E54" s="3">
        <f>Tabell6[[#This Row],[Att fördela]]</f>
        <v>0</v>
      </c>
      <c r="F54">
        <f>Tabell6[[#This Row],[Pris/m3 ink.moms]]</f>
        <v>24</v>
      </c>
      <c r="G54" s="8">
        <f>(Tabell41011121314151617181920[[#This Row],[Förbrukning]]+Tabell41011121314151617181920[[#This Row],[Utjämning]])*Tabell41011121314151617181920[[#This Row],[Kr/m3]]</f>
        <v>0</v>
      </c>
      <c r="H54" s="8">
        <f>Tabell6[[#This Row],[Summa fast avg/hushåll]]</f>
        <v>879.14738095238101</v>
      </c>
      <c r="I54" s="8">
        <f>Tabell6[[#This Row],[Medlems avg]]/14</f>
        <v>1000</v>
      </c>
      <c r="J54" s="8"/>
      <c r="K54" s="8">
        <f>IF(Tabell41011121314151617181920[[#This Row],[Nuvarande]], SUM(Tabell41011121314151617181920[[#This Row],[Summa förbrukning]:[Lån]])+Tabell41011121314151617181920[[#This Row],[Korr]],0)</f>
        <v>0</v>
      </c>
      <c r="L54" s="2"/>
    </row>
    <row r="55" spans="1:12" x14ac:dyDescent="0.25">
      <c r="A55" s="4">
        <f>Tabell6[[#This Row],[Avläsnings datum]]</f>
        <v>46630</v>
      </c>
      <c r="C55">
        <f t="shared" si="5"/>
        <v>0</v>
      </c>
      <c r="D55">
        <f t="shared" si="6"/>
        <v>0</v>
      </c>
      <c r="E55" s="3">
        <f>Tabell6[[#This Row],[Att fördela]]</f>
        <v>0</v>
      </c>
      <c r="F55">
        <f>Tabell6[[#This Row],[Pris/m3 ink.moms]]</f>
        <v>24</v>
      </c>
      <c r="G55" s="8">
        <f>(Tabell41011121314151617181920[[#This Row],[Förbrukning]]+Tabell41011121314151617181920[[#This Row],[Utjämning]])*Tabell41011121314151617181920[[#This Row],[Kr/m3]]</f>
        <v>0</v>
      </c>
      <c r="H55" s="8">
        <f>Tabell6[[#This Row],[Summa fast avg/hushåll]]</f>
        <v>879.14738095238101</v>
      </c>
      <c r="I55" s="8">
        <f>Tabell6[[#This Row],[Medlems avg]]/14</f>
        <v>1000</v>
      </c>
      <c r="J55" s="8"/>
      <c r="K55" s="8">
        <f>IF(Tabell41011121314151617181920[[#This Row],[Nuvarande]], SUM(Tabell41011121314151617181920[[#This Row],[Summa förbrukning]:[Lån]])+Tabell41011121314151617181920[[#This Row],[Korr]],0)</f>
        <v>0</v>
      </c>
      <c r="L55" s="2"/>
    </row>
    <row r="56" spans="1:12" x14ac:dyDescent="0.25">
      <c r="A56" s="4">
        <f>Tabell6[[#This Row],[Avläsnings datum]]</f>
        <v>46752</v>
      </c>
      <c r="C56">
        <f t="shared" si="5"/>
        <v>0</v>
      </c>
      <c r="D56">
        <f t="shared" si="6"/>
        <v>0</v>
      </c>
      <c r="E56" s="3">
        <f>Tabell6[[#This Row],[Att fördela]]</f>
        <v>0</v>
      </c>
      <c r="F56">
        <f>Tabell6[[#This Row],[Pris/m3 ink.moms]]</f>
        <v>24</v>
      </c>
      <c r="G56" s="8">
        <f>(Tabell41011121314151617181920[[#This Row],[Förbrukning]]+Tabell41011121314151617181920[[#This Row],[Utjämning]])*Tabell41011121314151617181920[[#This Row],[Kr/m3]]</f>
        <v>0</v>
      </c>
      <c r="H56" s="8">
        <f>Tabell6[[#This Row],[Summa fast avg/hushåll]]</f>
        <v>879.14738095238101</v>
      </c>
      <c r="I56" s="8">
        <f>Tabell6[[#This Row],[Medlems avg]]/14</f>
        <v>1000</v>
      </c>
      <c r="J56" s="8"/>
      <c r="K56" s="8">
        <f>IF(Tabell41011121314151617181920[[#This Row],[Nuvarande]], SUM(Tabell41011121314151617181920[[#This Row],[Summa förbrukning]:[Lån]])+Tabell41011121314151617181920[[#This Row],[Korr]],0)</f>
        <v>0</v>
      </c>
      <c r="L56" s="2"/>
    </row>
    <row r="57" spans="1:12" x14ac:dyDescent="0.25">
      <c r="A57" s="4">
        <f>Tabell6[[#This Row],[Avläsnings datum]]</f>
        <v>46873</v>
      </c>
      <c r="C57">
        <f t="shared" si="5"/>
        <v>0</v>
      </c>
      <c r="D57">
        <f t="shared" si="6"/>
        <v>0</v>
      </c>
      <c r="E57" s="3">
        <f>Tabell6[[#This Row],[Att fördela]]</f>
        <v>0</v>
      </c>
      <c r="F57">
        <f>Tabell6[[#This Row],[Pris/m3 ink.moms]]</f>
        <v>24</v>
      </c>
      <c r="G57" s="8">
        <f>(Tabell41011121314151617181920[[#This Row],[Förbrukning]]+Tabell41011121314151617181920[[#This Row],[Utjämning]])*Tabell41011121314151617181920[[#This Row],[Kr/m3]]</f>
        <v>0</v>
      </c>
      <c r="H57" s="8">
        <f>Tabell6[[#This Row],[Summa fast avg/hushåll]]</f>
        <v>879.14738095238101</v>
      </c>
      <c r="I57" s="8">
        <f>Tabell6[[#This Row],[Medlems avg]]/14</f>
        <v>1000</v>
      </c>
      <c r="J57" s="8"/>
      <c r="K57" s="8">
        <f>IF(Tabell41011121314151617181920[[#This Row],[Nuvarande]], SUM(Tabell41011121314151617181920[[#This Row],[Summa förbrukning]:[Lån]])+Tabell41011121314151617181920[[#This Row],[Korr]],0)</f>
        <v>0</v>
      </c>
      <c r="L57" s="2"/>
    </row>
    <row r="58" spans="1:12" x14ac:dyDescent="0.25">
      <c r="A58" s="4">
        <f>Tabell6[[#This Row],[Avläsnings datum]]</f>
        <v>46996</v>
      </c>
      <c r="C58">
        <f t="shared" si="5"/>
        <v>0</v>
      </c>
      <c r="D58">
        <f t="shared" si="6"/>
        <v>0</v>
      </c>
      <c r="E58" s="3">
        <f>Tabell6[[#This Row],[Att fördela]]</f>
        <v>0</v>
      </c>
      <c r="F58">
        <f>Tabell6[[#This Row],[Pris/m3 ink.moms]]</f>
        <v>24</v>
      </c>
      <c r="G58" s="8">
        <f>(Tabell41011121314151617181920[[#This Row],[Förbrukning]]+Tabell41011121314151617181920[[#This Row],[Utjämning]])*Tabell41011121314151617181920[[#This Row],[Kr/m3]]</f>
        <v>0</v>
      </c>
      <c r="H58" s="8">
        <f>Tabell6[[#This Row],[Summa fast avg/hushåll]]</f>
        <v>879.14738095238101</v>
      </c>
      <c r="I58" s="8">
        <f>Tabell6[[#This Row],[Medlems avg]]/14</f>
        <v>1000</v>
      </c>
      <c r="J58" s="8"/>
      <c r="K58" s="8">
        <f>IF(Tabell41011121314151617181920[[#This Row],[Nuvarande]], SUM(Tabell41011121314151617181920[[#This Row],[Summa förbrukning]:[Lån]])+Tabell41011121314151617181920[[#This Row],[Korr]],0)</f>
        <v>0</v>
      </c>
      <c r="L58" s="2"/>
    </row>
    <row r="59" spans="1:12" x14ac:dyDescent="0.25">
      <c r="A59" s="4">
        <f>Tabell6[[#This Row],[Avläsnings datum]]</f>
        <v>47118</v>
      </c>
      <c r="C59">
        <f t="shared" si="5"/>
        <v>0</v>
      </c>
      <c r="D59">
        <f t="shared" si="6"/>
        <v>0</v>
      </c>
      <c r="E59" s="3">
        <f>Tabell6[[#This Row],[Att fördela]]</f>
        <v>0</v>
      </c>
      <c r="F59">
        <f>Tabell6[[#This Row],[Pris/m3 ink.moms]]</f>
        <v>24</v>
      </c>
      <c r="G59" s="8">
        <f>(Tabell41011121314151617181920[[#This Row],[Förbrukning]]+Tabell41011121314151617181920[[#This Row],[Utjämning]])*Tabell41011121314151617181920[[#This Row],[Kr/m3]]</f>
        <v>0</v>
      </c>
      <c r="H59" s="8">
        <f>Tabell6[[#This Row],[Summa fast avg/hushåll]]</f>
        <v>879.14738095238101</v>
      </c>
      <c r="I59" s="8">
        <f>Tabell6[[#This Row],[Medlems avg]]/14</f>
        <v>1000</v>
      </c>
      <c r="J59" s="8"/>
      <c r="K59" s="8">
        <f>IF(Tabell41011121314151617181920[[#This Row],[Nuvarande]], SUM(Tabell41011121314151617181920[[#This Row],[Summa förbrukning]:[Lån]])+Tabell41011121314151617181920[[#This Row],[Korr]],0)</f>
        <v>0</v>
      </c>
      <c r="L59" s="2"/>
    </row>
    <row r="60" spans="1:12" x14ac:dyDescent="0.25">
      <c r="A60" s="4">
        <f>Tabell6[[#This Row],[Avläsnings datum]]</f>
        <v>47238</v>
      </c>
      <c r="C60">
        <f t="shared" si="5"/>
        <v>0</v>
      </c>
      <c r="D60">
        <f t="shared" si="6"/>
        <v>0</v>
      </c>
      <c r="E60" s="3">
        <f>Tabell6[[#This Row],[Att fördela]]</f>
        <v>0</v>
      </c>
      <c r="F60">
        <f>Tabell6[[#This Row],[Pris/m3 ink.moms]]</f>
        <v>24</v>
      </c>
      <c r="G60" s="8">
        <f>(Tabell41011121314151617181920[[#This Row],[Förbrukning]]+Tabell41011121314151617181920[[#This Row],[Utjämning]])*Tabell41011121314151617181920[[#This Row],[Kr/m3]]</f>
        <v>0</v>
      </c>
      <c r="H60" s="8">
        <f>Tabell6[[#This Row],[Summa fast avg/hushåll]]</f>
        <v>879.14738095238101</v>
      </c>
      <c r="I60" s="8">
        <f>Tabell6[[#This Row],[Medlems avg]]/14</f>
        <v>1000</v>
      </c>
      <c r="J60" s="8"/>
      <c r="K60" s="8">
        <f>IF(Tabell41011121314151617181920[[#This Row],[Nuvarande]], SUM(Tabell41011121314151617181920[[#This Row],[Summa förbrukning]:[Lån]])+Tabell41011121314151617181920[[#This Row],[Korr]],0)</f>
        <v>0</v>
      </c>
      <c r="L60" s="2"/>
    </row>
  </sheetData>
  <pageMargins left="0.7" right="0.7" top="0.75" bottom="0.75" header="0.3" footer="0.3"/>
  <pageSetup paperSize="9" orientation="portrait" r:id="rId1"/>
  <ignoredErrors>
    <ignoredError sqref="A21:A36" calculatedColumn="1"/>
  </ignoredErrors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Blad15"/>
  <dimension ref="A1:L60"/>
  <sheetViews>
    <sheetView workbookViewId="0">
      <selection activeCell="B49" sqref="B49"/>
    </sheetView>
  </sheetViews>
  <sheetFormatPr defaultRowHeight="15" x14ac:dyDescent="0.25"/>
  <cols>
    <col min="1" max="1" width="20.28515625" customWidth="1"/>
    <col min="2" max="2" width="13" bestFit="1" customWidth="1"/>
    <col min="3" max="3" width="13.85546875" bestFit="1" customWidth="1"/>
    <col min="4" max="5" width="15.140625" customWidth="1"/>
    <col min="6" max="6" width="11.140625" customWidth="1"/>
    <col min="7" max="7" width="21.140625" bestFit="1" customWidth="1"/>
    <col min="8" max="8" width="10.28515625" bestFit="1" customWidth="1"/>
    <col min="9" max="9" width="15.140625" bestFit="1" customWidth="1"/>
    <col min="11" max="11" width="12" bestFit="1" customWidth="1"/>
  </cols>
  <sheetData>
    <row r="1" spans="1:12" x14ac:dyDescent="0.25">
      <c r="A1">
        <v>30</v>
      </c>
      <c r="J1" s="6" t="s">
        <v>31</v>
      </c>
    </row>
    <row r="2" spans="1:12" x14ac:dyDescent="0.25">
      <c r="J2" s="5" t="s">
        <v>42</v>
      </c>
    </row>
    <row r="3" spans="1:12" x14ac:dyDescent="0.25">
      <c r="B3">
        <f>VLOOKUP('Huvud mätare'!$A1,$A5:$K87,2)</f>
        <v>2689</v>
      </c>
      <c r="C3">
        <f>VLOOKUP('Huvud mätare'!$A1,$A5:$K87,3)</f>
        <v>2647</v>
      </c>
      <c r="D3">
        <f>VLOOKUP('Huvud mätare'!$A1,$A5:$K87,4)</f>
        <v>42</v>
      </c>
      <c r="E3">
        <f>VLOOKUP('Huvud mätare'!$A1,$A5:$K87,5)</f>
        <v>-1.5</v>
      </c>
      <c r="F3">
        <f>VLOOKUP('Huvud mätare'!$A1,$A5:$K87,6)</f>
        <v>24</v>
      </c>
      <c r="G3">
        <f>VLOOKUP('Huvud mätare'!$A1,$A5:$K87,7)</f>
        <v>972</v>
      </c>
      <c r="H3">
        <f>VLOOKUP('Huvud mätare'!$A1,$A5:$K87,8)</f>
        <v>879.14738095238101</v>
      </c>
      <c r="I3">
        <f>VLOOKUP('Huvud mätare'!$A1,$A5:$K87,9)</f>
        <v>1000</v>
      </c>
      <c r="J3">
        <f>VLOOKUP('Huvud mätare'!$A1,$A5:$K87,10)</f>
        <v>0</v>
      </c>
      <c r="K3">
        <f>VLOOKUP('Huvud mätare'!$A1,$A5:$K87,11)</f>
        <v>2851.1473809523809</v>
      </c>
      <c r="L3">
        <f>VLOOKUP('Huvud mätare'!$A1,$A5:$L87,12)</f>
        <v>0</v>
      </c>
    </row>
    <row r="4" spans="1:12" ht="15" customHeight="1" x14ac:dyDescent="0.25">
      <c r="A4" t="s">
        <v>12</v>
      </c>
      <c r="B4" s="1" t="s">
        <v>33</v>
      </c>
      <c r="C4" s="1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25</v>
      </c>
      <c r="I4" t="s">
        <v>30</v>
      </c>
      <c r="J4" t="s">
        <v>39</v>
      </c>
      <c r="K4" t="s">
        <v>40</v>
      </c>
      <c r="L4" t="s">
        <v>41</v>
      </c>
    </row>
    <row r="5" spans="1:12" x14ac:dyDescent="0.25">
      <c r="A5" s="4">
        <f>Tabell6[[#This Row],[Avläsnings datum]]</f>
        <v>40543</v>
      </c>
      <c r="B5">
        <v>1240</v>
      </c>
      <c r="C5">
        <v>1203</v>
      </c>
      <c r="D5">
        <f t="shared" ref="D5:D21" si="0">IF(B5-C5&lt;0,0,B5-C5)</f>
        <v>37</v>
      </c>
      <c r="E5" s="3">
        <f>Tabell6[[#This Row],[Att fördela]]</f>
        <v>0.15714285714286039</v>
      </c>
      <c r="F5">
        <f>Tabell6[[#This Row],[Pris/m3 ink.moms]]</f>
        <v>16.88</v>
      </c>
      <c r="G5" s="8">
        <f>(Tabell4101112131415161718192021[[#This Row],[Förbrukning]]+Tabell4101112131415161718192021[[#This Row],[Utjämning]])*Tabell4101112131415161718192021[[#This Row],[Kr/m3]]</f>
        <v>627.21257142857144</v>
      </c>
      <c r="H5" s="8">
        <f>Tabell6[[#This Row],[Summa fast avg/hushåll]]</f>
        <v>378.07142857142856</v>
      </c>
      <c r="I5" s="2">
        <f>Tabell6[[#This Row],[Medlems avg]]/14</f>
        <v>0</v>
      </c>
      <c r="J5" s="8"/>
      <c r="K5" s="8">
        <f>IF(Tabell4101112131415161718192021[[#This Row],[Nuvarande]], SUM(Tabell4101112131415161718192021[[#This Row],[Summa förbrukning]:[Lån]])+Tabell4101112131415161718192021[[#This Row],[Korr]],0)</f>
        <v>1005.284</v>
      </c>
      <c r="L5" s="8"/>
    </row>
    <row r="6" spans="1:12" x14ac:dyDescent="0.25">
      <c r="A6" s="4">
        <f>Tabell6[[#This Row],[Avläsnings datum]]</f>
        <v>40664</v>
      </c>
      <c r="B6">
        <v>1272</v>
      </c>
      <c r="C6">
        <f t="shared" ref="C6:C21" si="1">B5</f>
        <v>1240</v>
      </c>
      <c r="D6">
        <f t="shared" si="0"/>
        <v>32</v>
      </c>
      <c r="E6" s="3">
        <f>Tabell6[[#This Row],[Att fördela]]</f>
        <v>2.8571428571418828E-2</v>
      </c>
      <c r="F6">
        <f>Tabell6[[#This Row],[Pris/m3 ink.moms]]</f>
        <v>16.88</v>
      </c>
      <c r="G6" s="8">
        <f>(Tabell4101112131415161718192021[[#This Row],[Förbrukning]]+Tabell4101112131415161718192021[[#This Row],[Utjämning]])*Tabell4101112131415161718192021[[#This Row],[Kr/m3]]</f>
        <v>540.64228571428555</v>
      </c>
      <c r="H6" s="8">
        <f>Tabell6[[#This Row],[Summa fast avg/hushåll]]</f>
        <v>378.07142857142856</v>
      </c>
      <c r="I6" s="8">
        <f>Tabell6[[#This Row],[Medlems avg]]/14</f>
        <v>0</v>
      </c>
      <c r="J6" s="8"/>
      <c r="K6" s="8">
        <f>IF(Tabell4101112131415161718192021[[#This Row],[Nuvarande]], SUM(Tabell4101112131415161718192021[[#This Row],[Summa förbrukning]:[Lån]])+Tabell4101112131415161718192021[[#This Row],[Korr]],0)</f>
        <v>918.7137142857141</v>
      </c>
      <c r="L6" s="8"/>
    </row>
    <row r="7" spans="1:12" x14ac:dyDescent="0.25">
      <c r="A7" s="4">
        <f>Tabell6[[#This Row],[Avläsnings datum]]</f>
        <v>40786</v>
      </c>
      <c r="B7">
        <v>1308</v>
      </c>
      <c r="C7">
        <f t="shared" si="1"/>
        <v>1272</v>
      </c>
      <c r="D7">
        <f t="shared" si="0"/>
        <v>36</v>
      </c>
      <c r="E7" s="3">
        <f>Tabell6[[#This Row],[Att fördela]]</f>
        <v>-2.8571428571426947E-2</v>
      </c>
      <c r="F7">
        <f>Tabell6[[#This Row],[Pris/m3 ink.moms]]</f>
        <v>16.88</v>
      </c>
      <c r="G7" s="8">
        <f>(Tabell4101112131415161718192021[[#This Row],[Förbrukning]]+Tabell4101112131415161718192021[[#This Row],[Utjämning]])*Tabell4101112131415161718192021[[#This Row],[Kr/m3]]</f>
        <v>607.19771428571426</v>
      </c>
      <c r="H7" s="8">
        <f>Tabell6[[#This Row],[Summa fast avg/hushåll]]</f>
        <v>378.07142857142856</v>
      </c>
      <c r="I7" s="8">
        <f>Tabell6[[#This Row],[Medlems avg]]/14</f>
        <v>0</v>
      </c>
      <c r="J7" s="8"/>
      <c r="K7" s="8">
        <f>IF(Tabell4101112131415161718192021[[#This Row],[Nuvarande]], SUM(Tabell4101112131415161718192021[[#This Row],[Summa förbrukning]:[Lån]])+Tabell4101112131415161718192021[[#This Row],[Korr]],0)</f>
        <v>985.26914285714281</v>
      </c>
      <c r="L7" s="8"/>
    </row>
    <row r="8" spans="1:12" x14ac:dyDescent="0.25">
      <c r="A8" s="4">
        <f>Tabell6[[#This Row],[Avläsnings datum]]</f>
        <v>40908</v>
      </c>
      <c r="B8">
        <v>1342</v>
      </c>
      <c r="C8">
        <f t="shared" si="1"/>
        <v>1308</v>
      </c>
      <c r="D8">
        <f t="shared" si="0"/>
        <v>34</v>
      </c>
      <c r="E8" s="3">
        <f>Tabell6[[#This Row],[Att fördela]]</f>
        <v>-0.22857142857142371</v>
      </c>
      <c r="F8">
        <f>Tabell6[[#This Row],[Pris/m3 ink.moms]]</f>
        <v>16.825000000000003</v>
      </c>
      <c r="G8" s="8">
        <f>(Tabell4101112131415161718192021[[#This Row],[Förbrukning]]+Tabell4101112131415161718192021[[#This Row],[Utjämning]])*Tabell4101112131415161718192021[[#This Row],[Kr/m3]]</f>
        <v>568.2042857142859</v>
      </c>
      <c r="H8" s="8">
        <f>Tabell6[[#This Row],[Summa fast avg/hushåll]]</f>
        <v>378.07142857142856</v>
      </c>
      <c r="I8" s="8">
        <f>Tabell6[[#This Row],[Medlems avg]]/14</f>
        <v>1000</v>
      </c>
      <c r="J8" s="8">
        <v>760</v>
      </c>
      <c r="K8" s="8">
        <f>IF(Tabell4101112131415161718192021[[#This Row],[Nuvarande]], SUM(Tabell4101112131415161718192021[[#This Row],[Summa förbrukning]:[Lån]])+Tabell4101112131415161718192021[[#This Row],[Korr]],0)</f>
        <v>2706.2757142857145</v>
      </c>
      <c r="L8" s="8"/>
    </row>
    <row r="9" spans="1:12" x14ac:dyDescent="0.25">
      <c r="A9" s="4">
        <f>Tabell6[[#This Row],[Avläsnings datum]]</f>
        <v>41029</v>
      </c>
      <c r="B9">
        <v>1371</v>
      </c>
      <c r="C9">
        <f t="shared" si="1"/>
        <v>1342</v>
      </c>
      <c r="D9">
        <f t="shared" si="0"/>
        <v>29</v>
      </c>
      <c r="E9" s="3">
        <f>Tabell6[[#This Row],[Att fördela]]</f>
        <v>-1</v>
      </c>
      <c r="F9">
        <f>Tabell6[[#This Row],[Pris/m3 ink.moms]]</f>
        <v>16.825000000000003</v>
      </c>
      <c r="G9" s="8">
        <f>(Tabell4101112131415161718192021[[#This Row],[Förbrukning]]+Tabell4101112131415161718192021[[#This Row],[Utjämning]])*Tabell4101112131415161718192021[[#This Row],[Kr/m3]]</f>
        <v>471.10000000000008</v>
      </c>
      <c r="H9" s="8">
        <f>Tabell6[[#This Row],[Summa fast avg/hushåll]]</f>
        <v>378.07142857142856</v>
      </c>
      <c r="I9" s="8">
        <f>Tabell6[[#This Row],[Medlems avg]]/14</f>
        <v>1000</v>
      </c>
      <c r="J9" s="8">
        <f>Lån!D10</f>
        <v>746.28571428571433</v>
      </c>
      <c r="K9" s="8">
        <f>IF(Tabell4101112131415161718192021[[#This Row],[Nuvarande]], SUM(Tabell4101112131415161718192021[[#This Row],[Summa förbrukning]:[Lån]])+Tabell4101112131415161718192021[[#This Row],[Korr]],0)</f>
        <v>2595.457142857143</v>
      </c>
      <c r="L9" s="8"/>
    </row>
    <row r="10" spans="1:12" x14ac:dyDescent="0.25">
      <c r="A10" s="4">
        <f>Tabell6[[#This Row],[Avläsnings datum]]</f>
        <v>41152</v>
      </c>
      <c r="B10">
        <v>1403</v>
      </c>
      <c r="C10">
        <f t="shared" si="1"/>
        <v>1371</v>
      </c>
      <c r="D10">
        <f t="shared" si="0"/>
        <v>32</v>
      </c>
      <c r="E10" s="3">
        <f>Tabell6[[#This Row],[Att fördela]]</f>
        <v>-0.14285714285714285</v>
      </c>
      <c r="F10">
        <f>Tabell6[[#This Row],[Pris/m3 ink.moms]]</f>
        <v>16.825000000000003</v>
      </c>
      <c r="G10" s="8">
        <f>(Tabell4101112131415161718192021[[#This Row],[Förbrukning]]+Tabell4101112131415161718192021[[#This Row],[Utjämning]])*Tabell4101112131415161718192021[[#This Row],[Kr/m3]]</f>
        <v>535.99642857142862</v>
      </c>
      <c r="H10" s="8">
        <f>Tabell6[[#This Row],[Summa fast avg/hushåll]]</f>
        <v>378.07142857142856</v>
      </c>
      <c r="I10" s="8">
        <f>Tabell6[[#This Row],[Medlems avg]]/14</f>
        <v>1000</v>
      </c>
      <c r="J10" s="8">
        <f>Lån!D14</f>
        <v>736.85714285714289</v>
      </c>
      <c r="K10" s="8">
        <f>IF(Tabell4101112131415161718192021[[#This Row],[Nuvarande]], SUM(Tabell4101112131415161718192021[[#This Row],[Summa förbrukning]:[Lån]])+Tabell4101112131415161718192021[[#This Row],[Korr]],0)</f>
        <v>2650.9250000000002</v>
      </c>
      <c r="L10" s="8"/>
    </row>
    <row r="11" spans="1:12" x14ac:dyDescent="0.25">
      <c r="A11" s="4">
        <f>Tabell6[[#This Row],[Avläsnings datum]]</f>
        <v>41274</v>
      </c>
      <c r="B11">
        <v>1435</v>
      </c>
      <c r="C11">
        <f t="shared" si="1"/>
        <v>1403</v>
      </c>
      <c r="D11">
        <f t="shared" si="0"/>
        <v>32</v>
      </c>
      <c r="E11" s="3">
        <f>Tabell6[[#This Row],[Att fördela]]</f>
        <v>-0.9285714285714286</v>
      </c>
      <c r="F11">
        <f>Tabell6[[#This Row],[Pris/m3 ink.moms]]</f>
        <v>14.8125</v>
      </c>
      <c r="G11" s="8">
        <f>(Tabell4101112131415161718192021[[#This Row],[Förbrukning]]+Tabell4101112131415161718192021[[#This Row],[Utjämning]])*Tabell4101112131415161718192021[[#This Row],[Kr/m3]]</f>
        <v>460.24553571428572</v>
      </c>
      <c r="H11" s="8">
        <f>Tabell6[[#This Row],[Summa fast avg/hushåll]]</f>
        <v>542.26190476190482</v>
      </c>
      <c r="I11" s="8">
        <f>Tabell6[[#This Row],[Medlems avg]]/14</f>
        <v>1000</v>
      </c>
      <c r="J11" s="8">
        <f>Lån!D18</f>
        <v>721.57142857142856</v>
      </c>
      <c r="K11" s="8">
        <f>IF(Tabell4101112131415161718192021[[#This Row],[Nuvarande]], SUM(Tabell4101112131415161718192021[[#This Row],[Summa förbrukning]:[Lån]])+Tabell4101112131415161718192021[[#This Row],[Korr]],0)</f>
        <v>2724.0788690476193</v>
      </c>
      <c r="L11" s="8"/>
    </row>
    <row r="12" spans="1:12" x14ac:dyDescent="0.25">
      <c r="A12" s="4">
        <f>Tabell6[[#This Row],[Avläsnings datum]]</f>
        <v>41394</v>
      </c>
      <c r="B12">
        <v>1473</v>
      </c>
      <c r="C12">
        <f t="shared" si="1"/>
        <v>1435</v>
      </c>
      <c r="D12">
        <f t="shared" si="0"/>
        <v>38</v>
      </c>
      <c r="E12" s="3">
        <f>Tabell6[[#This Row],[Att fördela]]</f>
        <v>-1.5714285714285714</v>
      </c>
      <c r="F12">
        <f>Tabell6[[#This Row],[Pris/m3 ink.moms]]</f>
        <v>14.8125</v>
      </c>
      <c r="G12" s="8">
        <f>(Tabell4101112131415161718192021[[#This Row],[Förbrukning]]+Tabell4101112131415161718192021[[#This Row],[Utjämning]])*Tabell4101112131415161718192021[[#This Row],[Kr/m3]]</f>
        <v>539.59821428571433</v>
      </c>
      <c r="H12" s="8">
        <f>Tabell6[[#This Row],[Summa fast avg/hushåll]]</f>
        <v>542.26190476190482</v>
      </c>
      <c r="I12" s="8">
        <f>Tabell6[[#This Row],[Medlems avg]]/14</f>
        <v>1000</v>
      </c>
      <c r="J12" s="8">
        <f>Lån!D22</f>
        <v>705.57142857142856</v>
      </c>
      <c r="K12" s="8">
        <f>IF(Tabell4101112131415161718192021[[#This Row],[Nuvarande]], SUM(Tabell4101112131415161718192021[[#This Row],[Summa förbrukning]:[Lån]])+Tabell4101112131415161718192021[[#This Row],[Korr]],0)</f>
        <v>2787.4315476190477</v>
      </c>
      <c r="L12" s="8"/>
    </row>
    <row r="13" spans="1:12" x14ac:dyDescent="0.25">
      <c r="A13" s="4">
        <f>Tabell6[[#This Row],[Avläsnings datum]]</f>
        <v>41517</v>
      </c>
      <c r="B13">
        <v>1510</v>
      </c>
      <c r="C13">
        <f t="shared" si="1"/>
        <v>1473</v>
      </c>
      <c r="D13">
        <f t="shared" si="0"/>
        <v>37</v>
      </c>
      <c r="E13" s="3">
        <f>Tabell6[[#This Row],[Att fördela]]</f>
        <v>-0.8571428571428571</v>
      </c>
      <c r="F13">
        <f>Tabell6[[#This Row],[Pris/m3 ink.moms]]</f>
        <v>14.8125</v>
      </c>
      <c r="G13" s="8">
        <f>(Tabell4101112131415161718192021[[#This Row],[Förbrukning]]+Tabell4101112131415161718192021[[#This Row],[Utjämning]])*Tabell4101112131415161718192021[[#This Row],[Kr/m3]]</f>
        <v>535.36607142857144</v>
      </c>
      <c r="H13" s="8">
        <f>Tabell6[[#This Row],[Summa fast avg/hushåll]]</f>
        <v>542.26190476190482</v>
      </c>
      <c r="I13" s="8">
        <f>Tabell6[[#This Row],[Medlems avg]]/14</f>
        <v>1000</v>
      </c>
      <c r="J13" s="8">
        <f>Lån!D26</f>
        <v>696.85714285714289</v>
      </c>
      <c r="K13" s="8">
        <f>IF(Tabell4101112131415161718192021[[#This Row],[Nuvarande]], SUM(Tabell4101112131415161718192021[[#This Row],[Summa förbrukning]:[Lån]])+Tabell4101112131415161718192021[[#This Row],[Korr]],0)</f>
        <v>2774.4851190476193</v>
      </c>
      <c r="L13" s="8"/>
    </row>
    <row r="14" spans="1:12" x14ac:dyDescent="0.25">
      <c r="A14" s="4">
        <f>Tabell6[[#This Row],[Avläsnings datum]]</f>
        <v>41639</v>
      </c>
      <c r="B14">
        <v>1540</v>
      </c>
      <c r="C14">
        <f t="shared" si="1"/>
        <v>1510</v>
      </c>
      <c r="D14">
        <f t="shared" si="0"/>
        <v>30</v>
      </c>
      <c r="E14" s="3">
        <f>Tabell6[[#This Row],[Att fördela]]</f>
        <v>-2.5</v>
      </c>
      <c r="F14">
        <f>Tabell6[[#This Row],[Pris/m3 ink.moms]]</f>
        <v>14.8125</v>
      </c>
      <c r="G14" s="8">
        <f>(Tabell4101112131415161718192021[[#This Row],[Förbrukning]]+Tabell4101112131415161718192021[[#This Row],[Utjämning]])*Tabell4101112131415161718192021[[#This Row],[Kr/m3]]</f>
        <v>407.34375</v>
      </c>
      <c r="H14" s="8">
        <f>Tabell6[[#This Row],[Summa fast avg/hushåll]]</f>
        <v>547.85714285714289</v>
      </c>
      <c r="I14" s="8">
        <f>Tabell6[[#This Row],[Medlems avg]]/14</f>
        <v>1000</v>
      </c>
      <c r="J14" s="8">
        <f>Lån!D30</f>
        <v>682.28571428571433</v>
      </c>
      <c r="K14" s="8">
        <f>IF(Tabell4101112131415161718192021[[#This Row],[Nuvarande]], SUM(Tabell4101112131415161718192021[[#This Row],[Summa förbrukning]:[Lån]])+Tabell4101112131415161718192021[[#This Row],[Korr]],0)</f>
        <v>2637.4866071428573</v>
      </c>
      <c r="L14" s="8"/>
    </row>
    <row r="15" spans="1:12" x14ac:dyDescent="0.25">
      <c r="A15" s="4">
        <f>Tabell6[[#This Row],[Avläsnings datum]]</f>
        <v>41759</v>
      </c>
      <c r="B15">
        <v>1567</v>
      </c>
      <c r="C15">
        <f t="shared" si="1"/>
        <v>1540</v>
      </c>
      <c r="D15">
        <f t="shared" si="0"/>
        <v>27</v>
      </c>
      <c r="E15" s="3">
        <f>Tabell6[[#This Row],[Att fördela]]</f>
        <v>-1.5714285714285714</v>
      </c>
      <c r="F15">
        <f>Tabell6[[#This Row],[Pris/m3 ink.moms]]</f>
        <v>14.9625</v>
      </c>
      <c r="G15" s="8">
        <f>(Tabell4101112131415161718192021[[#This Row],[Förbrukning]]+Tabell4101112131415161718192021[[#This Row],[Utjämning]])*Tabell4101112131415161718192021[[#This Row],[Kr/m3]]</f>
        <v>380.47499999999997</v>
      </c>
      <c r="H15" s="8">
        <f>Tabell6[[#This Row],[Summa fast avg/hushåll]]</f>
        <v>547.85714285714289</v>
      </c>
      <c r="I15" s="8">
        <f>Tabell6[[#This Row],[Medlems avg]]/14</f>
        <v>1000</v>
      </c>
      <c r="J15" s="8">
        <v>666</v>
      </c>
      <c r="K15" s="8">
        <f>IF(Tabell4101112131415161718192021[[#This Row],[Nuvarande]], SUM(Tabell4101112131415161718192021[[#This Row],[Summa förbrukning]:[Lån]])+Tabell4101112131415161718192021[[#This Row],[Korr]],0)</f>
        <v>2581.3857142857141</v>
      </c>
      <c r="L15" s="8">
        <f t="shared" ref="L15" si="2">K13-K12</f>
        <v>-12.946428571428442</v>
      </c>
    </row>
    <row r="16" spans="1:12" x14ac:dyDescent="0.25">
      <c r="A16" s="4">
        <f>Tabell6[[#This Row],[Avläsnings datum]]</f>
        <v>41882</v>
      </c>
      <c r="B16">
        <v>1600</v>
      </c>
      <c r="C16">
        <f t="shared" si="1"/>
        <v>1567</v>
      </c>
      <c r="D16">
        <f t="shared" si="0"/>
        <v>33</v>
      </c>
      <c r="E16" s="3">
        <f>Tabell6[[#This Row],[Att fördela]]</f>
        <v>-1.7857142857142858</v>
      </c>
      <c r="F16">
        <f>Tabell6[[#This Row],[Pris/m3 ink.moms]]</f>
        <v>14.9625</v>
      </c>
      <c r="G16" s="8">
        <f>(Tabell4101112131415161718192021[[#This Row],[Förbrukning]]+Tabell4101112131415161718192021[[#This Row],[Utjämning]])*Tabell4101112131415161718192021[[#This Row],[Kr/m3]]</f>
        <v>467.04375000000005</v>
      </c>
      <c r="H16" s="8">
        <f>Tabell6[[#This Row],[Summa fast avg/hushåll]]</f>
        <v>547.85714285714289</v>
      </c>
      <c r="I16" s="8">
        <f>Tabell6[[#This Row],[Medlems avg]]/14</f>
        <v>1000</v>
      </c>
      <c r="J16" s="8">
        <v>657</v>
      </c>
      <c r="K16" s="8">
        <f>IF(Tabell4101112131415161718192021[[#This Row],[Nuvarande]], SUM(Tabell4101112131415161718192021[[#This Row],[Summa förbrukning]:[Lån]])+Tabell4101112131415161718192021[[#This Row],[Korr]],0)</f>
        <v>2671.9008928571429</v>
      </c>
      <c r="L16" s="8"/>
    </row>
    <row r="17" spans="1:12" x14ac:dyDescent="0.25">
      <c r="A17" s="4">
        <f>Tabell6[[#This Row],[Avläsnings datum]]</f>
        <v>42004</v>
      </c>
      <c r="B17">
        <v>1626</v>
      </c>
      <c r="C17">
        <f t="shared" si="1"/>
        <v>1600</v>
      </c>
      <c r="D17">
        <f t="shared" si="0"/>
        <v>26</v>
      </c>
      <c r="E17" s="3">
        <f>Tabell6[[#This Row],[Att fördela]]</f>
        <v>-2.0714285714285716</v>
      </c>
      <c r="F17">
        <f>Tabell6[[#This Row],[Pris/m3 ink.moms]]</f>
        <v>14.9625</v>
      </c>
      <c r="G17" s="8">
        <f>(Tabell4101112131415161718192021[[#This Row],[Förbrukning]]+Tabell4101112131415161718192021[[#This Row],[Utjämning]])*Tabell4101112131415161718192021[[#This Row],[Kr/m3]]</f>
        <v>358.03125</v>
      </c>
      <c r="H17" s="8">
        <f>Tabell6[[#This Row],[Summa fast avg/hushåll]]</f>
        <v>547.85714285714289</v>
      </c>
      <c r="I17" s="8">
        <f>Tabell6[[#This Row],[Medlems avg]]/14</f>
        <v>1000</v>
      </c>
      <c r="J17" s="8">
        <v>642</v>
      </c>
      <c r="K17" s="8">
        <f>IF(Tabell4101112131415161718192021[[#This Row],[Nuvarande]], SUM(Tabell4101112131415161718192021[[#This Row],[Summa förbrukning]:[Lån]])+Tabell4101112131415161718192021[[#This Row],[Korr]],0)</f>
        <v>2547.8883928571431</v>
      </c>
      <c r="L17" s="8"/>
    </row>
    <row r="18" spans="1:12" x14ac:dyDescent="0.25">
      <c r="A18" s="4">
        <f>Tabell6[[#This Row],[Avläsnings datum]]</f>
        <v>42124</v>
      </c>
      <c r="B18">
        <v>1652</v>
      </c>
      <c r="C18">
        <f t="shared" si="1"/>
        <v>1626</v>
      </c>
      <c r="D18">
        <f t="shared" si="0"/>
        <v>26</v>
      </c>
      <c r="E18" s="3">
        <f>Tabell6[[#This Row],[Att fördela]]</f>
        <v>-2.5</v>
      </c>
      <c r="F18">
        <f>Tabell6[[#This Row],[Pris/m3 ink.moms]]</f>
        <v>14.9625</v>
      </c>
      <c r="G18" s="8">
        <f>(Tabell4101112131415161718192021[[#This Row],[Förbrukning]]+Tabell4101112131415161718192021[[#This Row],[Utjämning]])*Tabell4101112131415161718192021[[#This Row],[Kr/m3]]</f>
        <v>351.61875000000003</v>
      </c>
      <c r="H18" s="8">
        <f>Tabell6[[#This Row],[Summa fast avg/hushåll]]</f>
        <v>547.85714285714289</v>
      </c>
      <c r="I18" s="8">
        <f>Tabell6[[#This Row],[Medlems avg]]/14</f>
        <v>600</v>
      </c>
      <c r="J18" s="8">
        <f>Lån!D46</f>
        <v>627</v>
      </c>
      <c r="K18" s="8">
        <f>IF(Tabell4101112131415161718192021[[#This Row],[Nuvarande]], SUM(Tabell4101112131415161718192021[[#This Row],[Summa förbrukning]:[Lån]])+Tabell4101112131415161718192021[[#This Row],[Korr]],0)</f>
        <v>2126.4758928571428</v>
      </c>
      <c r="L18" s="8"/>
    </row>
    <row r="19" spans="1:12" x14ac:dyDescent="0.25">
      <c r="A19" s="4">
        <f>Tabell6[[#This Row],[Avläsnings datum]]</f>
        <v>42247</v>
      </c>
      <c r="B19">
        <v>1685</v>
      </c>
      <c r="C19">
        <f t="shared" si="1"/>
        <v>1652</v>
      </c>
      <c r="D19">
        <f t="shared" si="0"/>
        <v>33</v>
      </c>
      <c r="E19" s="3">
        <f>Tabell6[[#This Row],[Att fördela]]</f>
        <v>-2.2857142857142856</v>
      </c>
      <c r="F19">
        <f>Tabell6[[#This Row],[Pris/m3 ink.moms]]</f>
        <v>14.9625</v>
      </c>
      <c r="G19" s="8">
        <f>(Tabell4101112131415161718192021[[#This Row],[Förbrukning]]+Tabell4101112131415161718192021[[#This Row],[Utjämning]])*Tabell4101112131415161718192021[[#This Row],[Kr/m3]]</f>
        <v>459.5625</v>
      </c>
      <c r="H19" s="8">
        <f>Tabell6[[#This Row],[Summa fast avg/hushåll]]</f>
        <v>547.85714285714289</v>
      </c>
      <c r="I19" s="8">
        <f>Tabell6[[#This Row],[Medlems avg]]/14</f>
        <v>600</v>
      </c>
      <c r="J19" s="2">
        <f>Lån!D50</f>
        <v>616.28571428571433</v>
      </c>
      <c r="K19" s="8">
        <f>IF(Tabell4101112131415161718192021[[#This Row],[Nuvarande]], SUM(Tabell4101112131415161718192021[[#This Row],[Summa förbrukning]:[Lån]])+Tabell4101112131415161718192021[[#This Row],[Korr]],0)</f>
        <v>2223.7053571428573</v>
      </c>
      <c r="L19" s="8"/>
    </row>
    <row r="20" spans="1:12" x14ac:dyDescent="0.25">
      <c r="A20" s="4">
        <f>Tabell6[[#This Row],[Avläsnings datum]]</f>
        <v>42369</v>
      </c>
      <c r="B20">
        <v>1713</v>
      </c>
      <c r="C20">
        <f t="shared" si="1"/>
        <v>1685</v>
      </c>
      <c r="D20">
        <f t="shared" si="0"/>
        <v>28</v>
      </c>
      <c r="E20" s="3">
        <f>Tabell6[[#This Row],[Att fördela]]</f>
        <v>-2.8571428571428572</v>
      </c>
      <c r="F20">
        <f>Tabell6[[#This Row],[Pris/m3 ink.moms]]</f>
        <v>14.9625</v>
      </c>
      <c r="G20" s="8">
        <f>(Tabell4101112131415161718192021[[#This Row],[Förbrukning]]+Tabell4101112131415161718192021[[#This Row],[Utjämning]])*Tabell4101112131415161718192021[[#This Row],[Kr/m3]]</f>
        <v>376.2</v>
      </c>
      <c r="H20" s="8">
        <f>Tabell6[[#This Row],[Summa fast avg/hushåll]]</f>
        <v>547.85714285714289</v>
      </c>
      <c r="I20" s="8">
        <f>Tabell6[[#This Row],[Medlems avg]]/14</f>
        <v>600</v>
      </c>
      <c r="J20" s="26">
        <f>Lån!D54</f>
        <v>599.71428571428567</v>
      </c>
      <c r="K20" s="8">
        <f>IF(Tabell4101112131415161718192021[[#This Row],[Nuvarande]], SUM(Tabell4101112131415161718192021[[#This Row],[Summa förbrukning]:[Lån]])+Tabell4101112131415161718192021[[#This Row],[Korr]],0)</f>
        <v>2123.7714285714287</v>
      </c>
      <c r="L20" s="8"/>
    </row>
    <row r="21" spans="1:12" x14ac:dyDescent="0.25">
      <c r="A21" s="4">
        <v>42490</v>
      </c>
      <c r="B21">
        <v>1753</v>
      </c>
      <c r="C21">
        <f t="shared" si="1"/>
        <v>1713</v>
      </c>
      <c r="D21">
        <f t="shared" si="0"/>
        <v>40</v>
      </c>
      <c r="E21" s="3">
        <f>Tabell6[[#This Row],[Att fördela]]</f>
        <v>-3.5</v>
      </c>
      <c r="F21">
        <f>Tabell6[[#This Row],[Pris/m3 ink.moms]]</f>
        <v>14.9625</v>
      </c>
      <c r="G21" s="8">
        <f>(Tabell4101112131415161718192021[[#This Row],[Förbrukning]]+Tabell4101112131415161718192021[[#This Row],[Utjämning]])*Tabell4101112131415161718192021[[#This Row],[Kr/m3]]</f>
        <v>546.13125000000002</v>
      </c>
      <c r="H21" s="8">
        <f>Tabell6[[#This Row],[Summa fast avg/hushåll]]</f>
        <v>547.85714285714289</v>
      </c>
      <c r="I21" s="8">
        <f>Tabell6[[#This Row],[Medlems avg]]/14</f>
        <v>600</v>
      </c>
      <c r="J21" s="26">
        <f>Lån!D58</f>
        <v>578.57142857142856</v>
      </c>
      <c r="K21" s="8">
        <f>IF(Tabell4101112131415161718192021[[#This Row],[Nuvarande]], SUM(Tabell4101112131415161718192021[[#This Row],[Summa förbrukning]:[Lån]])+Tabell4101112131415161718192021[[#This Row],[Korr]],0)</f>
        <v>2369.7892857142861</v>
      </c>
      <c r="L21" s="2">
        <f>K19-K18</f>
        <v>97.229464285714585</v>
      </c>
    </row>
    <row r="22" spans="1:12" x14ac:dyDescent="0.25">
      <c r="A22" s="4">
        <v>42613</v>
      </c>
      <c r="B22">
        <v>1778</v>
      </c>
      <c r="C22">
        <f t="shared" ref="C22:C36" si="3">B21</f>
        <v>1753</v>
      </c>
      <c r="D22">
        <f t="shared" ref="D22:D36" si="4">IF(B22-C22&lt;0,0,B22-C22)</f>
        <v>25</v>
      </c>
      <c r="E22" s="3">
        <f>Tabell6[[#This Row],[Att fördela]]</f>
        <v>-1.0714285714285714</v>
      </c>
      <c r="F22">
        <f>Tabell6[[#This Row],[Pris/m3 ink.moms]]</f>
        <v>14.9625</v>
      </c>
      <c r="G22" s="8">
        <f>(Tabell4101112131415161718192021[[#This Row],[Förbrukning]]+Tabell4101112131415161718192021[[#This Row],[Utjämning]])*Tabell4101112131415161718192021[[#This Row],[Kr/m3]]</f>
        <v>358.03125</v>
      </c>
      <c r="H22" s="8">
        <f>Tabell6[[#This Row],[Summa fast avg/hushåll]]</f>
        <v>547.85714285714289</v>
      </c>
      <c r="I22" s="8">
        <f>Tabell6[[#This Row],[Medlems avg]]/14</f>
        <v>600</v>
      </c>
      <c r="J22" s="8">
        <f>Lån!D62</f>
        <v>568.57142857142856</v>
      </c>
      <c r="K22" s="8">
        <f>IF(Tabell4101112131415161718192021[[#This Row],[Nuvarande]], SUM(Tabell4101112131415161718192021[[#This Row],[Summa förbrukning]:[Lån]])+Tabell4101112131415161718192021[[#This Row],[Korr]],0)</f>
        <v>2074.4598214285716</v>
      </c>
      <c r="L22" s="2"/>
    </row>
    <row r="23" spans="1:12" x14ac:dyDescent="0.25">
      <c r="A23" s="4">
        <v>42735</v>
      </c>
      <c r="B23">
        <v>1809</v>
      </c>
      <c r="C23">
        <f t="shared" si="3"/>
        <v>1778</v>
      </c>
      <c r="D23">
        <f t="shared" si="4"/>
        <v>31</v>
      </c>
      <c r="E23" s="3">
        <f>Tabell6[[#This Row],[Att fördela]]</f>
        <v>-3.7142857142857144</v>
      </c>
      <c r="F23">
        <f>Tabell6[[#This Row],[Pris/m3 ink.moms]]</f>
        <v>14.9625</v>
      </c>
      <c r="G23" s="8">
        <f>(Tabell4101112131415161718192021[[#This Row],[Förbrukning]]+Tabell4101112131415161718192021[[#This Row],[Utjämning]])*Tabell4101112131415161718192021[[#This Row],[Kr/m3]]</f>
        <v>408.26249999999999</v>
      </c>
      <c r="H23" s="8">
        <f>Tabell6[[#This Row],[Summa fast avg/hushåll]]</f>
        <v>547.85714285714289</v>
      </c>
      <c r="I23" s="8">
        <f>Tabell6[[#This Row],[Medlems avg]]/14</f>
        <v>600</v>
      </c>
      <c r="J23" s="26">
        <f>Lån!D66</f>
        <v>556.14285714285711</v>
      </c>
      <c r="K23" s="8">
        <f>IF(Tabell4101112131415161718192021[[#This Row],[Nuvarande]], SUM(Tabell4101112131415161718192021[[#This Row],[Summa förbrukning]:[Lån]])+Tabell4101112131415161718192021[[#This Row],[Korr]],0)</f>
        <v>2112.2624999999998</v>
      </c>
      <c r="L23" s="2"/>
    </row>
    <row r="24" spans="1:12" x14ac:dyDescent="0.25">
      <c r="A24" s="4">
        <v>42855</v>
      </c>
      <c r="B24">
        <v>1830</v>
      </c>
      <c r="C24">
        <f t="shared" si="3"/>
        <v>1809</v>
      </c>
      <c r="D24">
        <f t="shared" si="4"/>
        <v>21</v>
      </c>
      <c r="E24" s="3">
        <f>Tabell6[[#This Row],[Att fördela]]</f>
        <v>-2</v>
      </c>
      <c r="F24">
        <f>Tabell6[[#This Row],[Pris/m3 ink.moms]]</f>
        <v>14.9625</v>
      </c>
      <c r="G24" s="8">
        <f>(Tabell4101112131415161718192021[[#This Row],[Förbrukning]]+Tabell4101112131415161718192021[[#This Row],[Utjämning]])*Tabell4101112131415161718192021[[#This Row],[Kr/m3]]</f>
        <v>284.28750000000002</v>
      </c>
      <c r="H24" s="8">
        <f>Tabell6[[#This Row],[Summa fast avg/hushåll]]</f>
        <v>547.85714285714289</v>
      </c>
      <c r="I24" s="8">
        <f>Tabell6[[#This Row],[Medlems avg]]/14</f>
        <v>700</v>
      </c>
      <c r="J24" s="26">
        <f>Lån!D70</f>
        <v>543.71428571428567</v>
      </c>
      <c r="K24" s="8">
        <f>IF(Tabell4101112131415161718192021[[#This Row],[Nuvarande]], SUM(Tabell4101112131415161718192021[[#This Row],[Summa förbrukning]:[Lån]])+Tabell4101112131415161718192021[[#This Row],[Korr]],0)</f>
        <v>2075.8589285714288</v>
      </c>
      <c r="L24" s="2"/>
    </row>
    <row r="25" spans="1:12" x14ac:dyDescent="0.25">
      <c r="A25" s="4">
        <v>42978</v>
      </c>
      <c r="B25">
        <v>1852</v>
      </c>
      <c r="C25">
        <f t="shared" si="3"/>
        <v>1830</v>
      </c>
      <c r="D25">
        <f t="shared" si="4"/>
        <v>22</v>
      </c>
      <c r="E25" s="3">
        <f>Tabell6[[#This Row],[Att fördela]]</f>
        <v>-3.3571428571428572</v>
      </c>
      <c r="F25">
        <f>Tabell6[[#This Row],[Pris/m3 ink.moms]]</f>
        <v>14.9625</v>
      </c>
      <c r="G25" s="8">
        <f>(Tabell4101112131415161718192021[[#This Row],[Förbrukning]]+Tabell4101112131415161718192021[[#This Row],[Utjämning]])*Tabell4101112131415161718192021[[#This Row],[Kr/m3]]</f>
        <v>278.94375000000002</v>
      </c>
      <c r="H25" s="8">
        <f>Tabell6[[#This Row],[Summa fast avg/hushåll]]</f>
        <v>547.85714285714289</v>
      </c>
      <c r="I25" s="8">
        <f>Tabell6[[#This Row],[Medlems avg]]/14</f>
        <v>700</v>
      </c>
      <c r="J25" s="26">
        <f>Lån!D74</f>
        <v>527</v>
      </c>
      <c r="K25" s="8">
        <f>IF(Tabell4101112131415161718192021[[#This Row],[Nuvarande]], SUM(Tabell4101112131415161718192021[[#This Row],[Summa förbrukning]:[Lån]])+Tabell4101112131415161718192021[[#This Row],[Korr]],0)</f>
        <v>2053.800892857143</v>
      </c>
      <c r="L25" s="2"/>
    </row>
    <row r="26" spans="1:12" x14ac:dyDescent="0.25">
      <c r="A26" s="4">
        <v>43100</v>
      </c>
      <c r="B26">
        <v>1866</v>
      </c>
      <c r="C26">
        <f t="shared" si="3"/>
        <v>1852</v>
      </c>
      <c r="D26">
        <f t="shared" si="4"/>
        <v>14</v>
      </c>
      <c r="E26" s="3">
        <f>Tabell6[[#This Row],[Att fördela]]</f>
        <v>-1.8571428571428572</v>
      </c>
      <c r="F26">
        <f>Tabell6[[#This Row],[Pris/m3 ink.moms]]</f>
        <v>14.9625</v>
      </c>
      <c r="G26" s="8">
        <f>(Tabell4101112131415161718192021[[#This Row],[Förbrukning]]+Tabell4101112131415161718192021[[#This Row],[Utjämning]])*Tabell4101112131415161718192021[[#This Row],[Kr/m3]]</f>
        <v>181.6875</v>
      </c>
      <c r="H26" s="8">
        <f>Tabell6[[#This Row],[Summa fast avg/hushåll]]</f>
        <v>547.85714285714289</v>
      </c>
      <c r="I26" s="8">
        <f>Tabell6[[#This Row],[Medlems avg]]/14</f>
        <v>700</v>
      </c>
      <c r="J26" s="26">
        <f>Lån!D78</f>
        <v>387.57142857142856</v>
      </c>
      <c r="K26" s="8">
        <f>IF(Tabell4101112131415161718192021[[#This Row],[Nuvarande]], SUM(Tabell4101112131415161718192021[[#This Row],[Summa förbrukning]:[Lån]])+Tabell4101112131415161718192021[[#This Row],[Korr]],0)</f>
        <v>1817.1160714285716</v>
      </c>
      <c r="L26" s="2"/>
    </row>
    <row r="27" spans="1:12" x14ac:dyDescent="0.25">
      <c r="A27" s="4">
        <v>43220</v>
      </c>
      <c r="B27">
        <v>1890</v>
      </c>
      <c r="C27">
        <f t="shared" si="3"/>
        <v>1866</v>
      </c>
      <c r="D27">
        <f t="shared" si="4"/>
        <v>24</v>
      </c>
      <c r="E27" s="3">
        <f>Tabell6[[#This Row],[Att fördela]]</f>
        <v>-2.5714285714285716</v>
      </c>
      <c r="F27">
        <f>Tabell6[[#This Row],[Pris/m3 ink.moms]]</f>
        <v>14.9625</v>
      </c>
      <c r="G27" s="8">
        <f>(Tabell4101112131415161718192021[[#This Row],[Förbrukning]]+Tabell4101112131415161718192021[[#This Row],[Utjämning]])*Tabell4101112131415161718192021[[#This Row],[Kr/m3]]</f>
        <v>320.625</v>
      </c>
      <c r="H27" s="8">
        <f>Tabell6[[#This Row],[Summa fast avg/hushåll]]</f>
        <v>547.85714285714289</v>
      </c>
      <c r="I27" s="8">
        <f>Tabell6[[#This Row],[Medlems avg]]/14</f>
        <v>1000</v>
      </c>
      <c r="J27" s="8"/>
      <c r="K27" s="8">
        <f>IF(Tabell4101112131415161718192021[[#This Row],[Nuvarande]], SUM(Tabell4101112131415161718192021[[#This Row],[Summa förbrukning]:[Lån]])+Tabell4101112131415161718192021[[#This Row],[Korr]],0)</f>
        <v>1868.4821428571429</v>
      </c>
      <c r="L27" s="2"/>
    </row>
    <row r="28" spans="1:12" x14ac:dyDescent="0.25">
      <c r="A28" s="4">
        <v>43343</v>
      </c>
      <c r="B28">
        <v>1922</v>
      </c>
      <c r="C28">
        <f t="shared" si="3"/>
        <v>1890</v>
      </c>
      <c r="D28">
        <f t="shared" si="4"/>
        <v>32</v>
      </c>
      <c r="E28" s="3">
        <f>Tabell6[[#This Row],[Att fördela]]</f>
        <v>-2.2142857142857144</v>
      </c>
      <c r="F28">
        <f>Tabell6[[#This Row],[Pris/m3 ink.moms]]</f>
        <v>14.9625</v>
      </c>
      <c r="G28" s="8">
        <f>(Tabell4101112131415161718192021[[#This Row],[Förbrukning]]+Tabell4101112131415161718192021[[#This Row],[Utjämning]])*Tabell4101112131415161718192021[[#This Row],[Kr/m3]]</f>
        <v>445.66874999999999</v>
      </c>
      <c r="H28" s="8">
        <f>Tabell6[[#This Row],[Summa fast avg/hushåll]]</f>
        <v>547.85714285714289</v>
      </c>
      <c r="I28" s="8">
        <f>Tabell6[[#This Row],[Medlems avg]]/14</f>
        <v>1000</v>
      </c>
      <c r="J28" s="8"/>
      <c r="K28" s="8">
        <f>IF(Tabell4101112131415161718192021[[#This Row],[Nuvarande]], SUM(Tabell4101112131415161718192021[[#This Row],[Summa förbrukning]:[Lån]])+Tabell4101112131415161718192021[[#This Row],[Korr]],0)</f>
        <v>1993.5258928571429</v>
      </c>
      <c r="L28" s="2"/>
    </row>
    <row r="29" spans="1:12" x14ac:dyDescent="0.25">
      <c r="A29" s="4">
        <v>43465</v>
      </c>
      <c r="B29">
        <v>1964</v>
      </c>
      <c r="C29">
        <f t="shared" si="3"/>
        <v>1922</v>
      </c>
      <c r="D29">
        <f t="shared" si="4"/>
        <v>42</v>
      </c>
      <c r="E29" s="3">
        <f>Tabell6[[#This Row],[Att fördela]]</f>
        <v>-1.5</v>
      </c>
      <c r="F29">
        <f>Tabell6[[#This Row],[Pris/m3 ink.moms]]</f>
        <v>15.780000000000001</v>
      </c>
      <c r="G29" s="8">
        <f>(Tabell4101112131415161718192021[[#This Row],[Förbrukning]]+Tabell4101112131415161718192021[[#This Row],[Utjämning]])*Tabell4101112131415161718192021[[#This Row],[Kr/m3]]</f>
        <v>639.09</v>
      </c>
      <c r="H29" s="8">
        <f>Tabell6[[#This Row],[Summa fast avg/hushåll]]</f>
        <v>547.85714285714289</v>
      </c>
      <c r="I29" s="8">
        <f>Tabell6[[#This Row],[Medlems avg]]/14</f>
        <v>1000</v>
      </c>
      <c r="J29" s="8"/>
      <c r="K29" s="8">
        <f>IF(Tabell4101112131415161718192021[[#This Row],[Nuvarande]], SUM(Tabell4101112131415161718192021[[#This Row],[Summa förbrukning]:[Lån]])+Tabell4101112131415161718192021[[#This Row],[Korr]],0)</f>
        <v>2186.9471428571428</v>
      </c>
      <c r="L29" s="2"/>
    </row>
    <row r="30" spans="1:12" x14ac:dyDescent="0.25">
      <c r="A30" s="4">
        <v>43585</v>
      </c>
      <c r="B30">
        <v>1997</v>
      </c>
      <c r="C30">
        <f t="shared" si="3"/>
        <v>1964</v>
      </c>
      <c r="D30">
        <f t="shared" si="4"/>
        <v>33</v>
      </c>
      <c r="E30" s="3">
        <f>Tabell6[[#This Row],[Att fördela]]</f>
        <v>-7.2857142857142856</v>
      </c>
      <c r="F30">
        <f>Tabell6[[#This Row],[Pris/m3 ink.moms]]</f>
        <v>15.780000000000001</v>
      </c>
      <c r="G30" s="8">
        <f>(Tabell4101112131415161718192021[[#This Row],[Förbrukning]]+Tabell4101112131415161718192021[[#This Row],[Utjämning]])*Tabell4101112131415161718192021[[#This Row],[Kr/m3]]</f>
        <v>405.7714285714286</v>
      </c>
      <c r="H30" s="8">
        <f>Tabell6[[#This Row],[Summa fast avg/hushåll]]</f>
        <v>578.16714285714284</v>
      </c>
      <c r="I30" s="8">
        <f>Tabell6[[#This Row],[Medlems avg]]/14</f>
        <v>1000</v>
      </c>
      <c r="J30" s="8"/>
      <c r="K30" s="8">
        <f>IF(Tabell4101112131415161718192021[[#This Row],[Nuvarande]], SUM(Tabell4101112131415161718192021[[#This Row],[Summa förbrukning]:[Lån]])+Tabell4101112131415161718192021[[#This Row],[Korr]],0)</f>
        <v>1983.9385714285713</v>
      </c>
      <c r="L30" s="2"/>
    </row>
    <row r="31" spans="1:12" x14ac:dyDescent="0.25">
      <c r="A31" s="4">
        <v>43708</v>
      </c>
      <c r="B31">
        <v>2036</v>
      </c>
      <c r="C31">
        <f t="shared" si="3"/>
        <v>1997</v>
      </c>
      <c r="D31">
        <f t="shared" si="4"/>
        <v>39</v>
      </c>
      <c r="E31" s="3">
        <f>Tabell6[[#This Row],[Att fördela]]</f>
        <v>-3.4285714285714284</v>
      </c>
      <c r="F31">
        <f>Tabell6[[#This Row],[Pris/m3 ink.moms]]</f>
        <v>15.780000000000001</v>
      </c>
      <c r="G31" s="8">
        <f>(Tabell4101112131415161718192021[[#This Row],[Förbrukning]]+Tabell4101112131415161718192021[[#This Row],[Utjämning]])*Tabell4101112131415161718192021[[#This Row],[Kr/m3]]</f>
        <v>561.31714285714281</v>
      </c>
      <c r="H31" s="8">
        <f>Tabell6[[#This Row],[Summa fast avg/hushåll]]</f>
        <v>578.16714285714284</v>
      </c>
      <c r="I31" s="8">
        <f>Tabell6[[#This Row],[Medlems avg]]/14</f>
        <v>1000</v>
      </c>
      <c r="J31" s="8"/>
      <c r="K31" s="8">
        <f>IF(Tabell4101112131415161718192021[[#This Row],[Nuvarande]], SUM(Tabell4101112131415161718192021[[#This Row],[Summa förbrukning]:[Lån]])+Tabell4101112131415161718192021[[#This Row],[Korr]],0)</f>
        <v>2139.4842857142858</v>
      </c>
      <c r="L31" s="2"/>
    </row>
    <row r="32" spans="1:12" x14ac:dyDescent="0.25">
      <c r="A32" s="4">
        <v>43830</v>
      </c>
      <c r="B32">
        <v>2085</v>
      </c>
      <c r="C32">
        <f t="shared" si="3"/>
        <v>2036</v>
      </c>
      <c r="D32">
        <f t="shared" si="4"/>
        <v>49</v>
      </c>
      <c r="E32" s="3">
        <f>Tabell6[[#This Row],[Att fördela]]</f>
        <v>-3</v>
      </c>
      <c r="F32">
        <f>Tabell6[[#This Row],[Pris/m3 ink.moms]]</f>
        <v>15.780000000000001</v>
      </c>
      <c r="G32" s="8">
        <f>(Tabell4101112131415161718192021[[#This Row],[Förbrukning]]+Tabell4101112131415161718192021[[#This Row],[Utjämning]])*Tabell4101112131415161718192021[[#This Row],[Kr/m3]]</f>
        <v>725.88000000000011</v>
      </c>
      <c r="H32" s="8">
        <f>Tabell6[[#This Row],[Summa fast avg/hushåll]]</f>
        <v>578.16714285714284</v>
      </c>
      <c r="I32" s="8">
        <f>Tabell6[[#This Row],[Medlems avg]]/14</f>
        <v>1000</v>
      </c>
      <c r="J32" s="8"/>
      <c r="K32" s="8">
        <f>IF(Tabell4101112131415161718192021[[#This Row],[Nuvarande]], SUM(Tabell4101112131415161718192021[[#This Row],[Summa förbrukning]:[Lån]])+Tabell4101112131415161718192021[[#This Row],[Korr]],0)</f>
        <v>2304.0471428571427</v>
      </c>
      <c r="L32" s="2"/>
    </row>
    <row r="33" spans="1:12" x14ac:dyDescent="0.25">
      <c r="A33" s="4">
        <v>43951</v>
      </c>
      <c r="B33">
        <v>2118</v>
      </c>
      <c r="C33">
        <f t="shared" si="3"/>
        <v>2085</v>
      </c>
      <c r="D33">
        <f t="shared" si="4"/>
        <v>33</v>
      </c>
      <c r="E33" s="3">
        <f>Tabell6[[#This Row],[Att fördela]]</f>
        <v>-1.9285714285714286</v>
      </c>
      <c r="F33">
        <f>Tabell6[[#This Row],[Pris/m3 ink.moms]]</f>
        <v>15.780000000000001</v>
      </c>
      <c r="G33" s="8">
        <f>(Tabell4101112131415161718192021[[#This Row],[Förbrukning]]+Tabell4101112131415161718192021[[#This Row],[Utjämning]])*Tabell4101112131415161718192021[[#This Row],[Kr/m3]]</f>
        <v>490.30714285714294</v>
      </c>
      <c r="H33" s="8">
        <f>Tabell6[[#This Row],[Summa fast avg/hushåll]]</f>
        <v>578.16714285714284</v>
      </c>
      <c r="I33" s="8">
        <f>Tabell6[[#This Row],[Medlems avg]]/14</f>
        <v>1000</v>
      </c>
      <c r="J33" s="8"/>
      <c r="K33" s="8">
        <f>IF(Tabell4101112131415161718192021[[#This Row],[Nuvarande]], SUM(Tabell4101112131415161718192021[[#This Row],[Summa förbrukning]:[Lån]])+Tabell4101112131415161718192021[[#This Row],[Korr]],0)</f>
        <v>2068.4742857142855</v>
      </c>
      <c r="L33" s="2"/>
    </row>
    <row r="34" spans="1:12" x14ac:dyDescent="0.25">
      <c r="A34" s="4">
        <v>44074</v>
      </c>
      <c r="B34">
        <v>2162</v>
      </c>
      <c r="C34">
        <f t="shared" si="3"/>
        <v>2118</v>
      </c>
      <c r="D34">
        <f t="shared" si="4"/>
        <v>44</v>
      </c>
      <c r="E34" s="3">
        <f>Tabell6[[#This Row],[Att fördela]]</f>
        <v>-1.8571428571428572</v>
      </c>
      <c r="F34">
        <f>Tabell6[[#This Row],[Pris/m3 ink.moms]]</f>
        <v>15.780000000000001</v>
      </c>
      <c r="G34" s="8">
        <f>(Tabell4101112131415161718192021[[#This Row],[Förbrukning]]+Tabell4101112131415161718192021[[#This Row],[Utjämning]])*Tabell4101112131415161718192021[[#This Row],[Kr/m3]]</f>
        <v>665.01428571428585</v>
      </c>
      <c r="H34" s="8">
        <f>Tabell6[[#This Row],[Summa fast avg/hushåll]]</f>
        <v>578.16714285714284</v>
      </c>
      <c r="I34" s="8">
        <f>Tabell6[[#This Row],[Medlems avg]]/14</f>
        <v>1000</v>
      </c>
      <c r="J34" s="8"/>
      <c r="K34" s="8">
        <f>IF(Tabell4101112131415161718192021[[#This Row],[Nuvarande]], SUM(Tabell4101112131415161718192021[[#This Row],[Summa förbrukning]:[Lån]])+Tabell4101112131415161718192021[[#This Row],[Korr]],0)</f>
        <v>2243.1814285714286</v>
      </c>
      <c r="L34" s="2"/>
    </row>
    <row r="35" spans="1:12" x14ac:dyDescent="0.25">
      <c r="A35" s="4">
        <v>44196</v>
      </c>
      <c r="B35">
        <v>2204</v>
      </c>
      <c r="C35">
        <f t="shared" si="3"/>
        <v>2162</v>
      </c>
      <c r="D35">
        <f t="shared" si="4"/>
        <v>42</v>
      </c>
      <c r="E35" s="3">
        <f>Tabell6[[#This Row],[Att fördela]]</f>
        <v>-2.2142857142857144</v>
      </c>
      <c r="F35">
        <f>Tabell6[[#This Row],[Pris/m3 ink.moms]]</f>
        <v>15.780000000000001</v>
      </c>
      <c r="G35" s="8">
        <f>(Tabell4101112131415161718192021[[#This Row],[Förbrukning]]+Tabell4101112131415161718192021[[#This Row],[Utjämning]])*Tabell4101112131415161718192021[[#This Row],[Kr/m3]]</f>
        <v>627.81857142857143</v>
      </c>
      <c r="H35" s="8">
        <f>Tabell6[[#This Row],[Summa fast avg/hushåll]]</f>
        <v>578.16714285714284</v>
      </c>
      <c r="I35" s="8">
        <f>Tabell6[[#This Row],[Medlems avg]]/14</f>
        <v>1000</v>
      </c>
      <c r="J35" s="8"/>
      <c r="K35" s="8">
        <f>IF(Tabell4101112131415161718192021[[#This Row],[Nuvarande]], SUM(Tabell4101112131415161718192021[[#This Row],[Summa förbrukning]:[Lån]])+Tabell4101112131415161718192021[[#This Row],[Korr]],0)</f>
        <v>2205.9857142857145</v>
      </c>
      <c r="L35" s="2"/>
    </row>
    <row r="36" spans="1:12" x14ac:dyDescent="0.25">
      <c r="A36" s="4">
        <v>44316</v>
      </c>
      <c r="B36">
        <v>2244</v>
      </c>
      <c r="C36">
        <f t="shared" si="3"/>
        <v>2204</v>
      </c>
      <c r="D36">
        <f t="shared" si="4"/>
        <v>40</v>
      </c>
      <c r="E36" s="3">
        <f>Tabell6[[#This Row],[Att fördela]]</f>
        <v>-1.0714285714285714</v>
      </c>
      <c r="F36">
        <f>Tabell6[[#This Row],[Pris/m3 ink.moms]]</f>
        <v>15.780000000000001</v>
      </c>
      <c r="G36" s="8">
        <f>(Tabell4101112131415161718192021[[#This Row],[Förbrukning]]+Tabell4101112131415161718192021[[#This Row],[Utjämning]])*Tabell4101112131415161718192021[[#This Row],[Kr/m3]]</f>
        <v>614.2928571428572</v>
      </c>
      <c r="H36" s="8">
        <f>Tabell6[[#This Row],[Summa fast avg/hushåll]]</f>
        <v>578.16714285714284</v>
      </c>
      <c r="I36" s="8">
        <f>Tabell6[[#This Row],[Medlems avg]]/14</f>
        <v>1000</v>
      </c>
      <c r="J36" s="8"/>
      <c r="K36" s="8">
        <f>IF(Tabell4101112131415161718192021[[#This Row],[Nuvarande]], SUM(Tabell4101112131415161718192021[[#This Row],[Summa förbrukning]:[Lån]])+Tabell4101112131415161718192021[[#This Row],[Korr]],0)</f>
        <v>2192.46</v>
      </c>
      <c r="L36" s="2"/>
    </row>
    <row r="37" spans="1:12" x14ac:dyDescent="0.25">
      <c r="A37" s="4">
        <f>Tabell6[[#This Row],[Avläsnings datum]]</f>
        <v>44439</v>
      </c>
      <c r="B37">
        <v>2288</v>
      </c>
      <c r="C37">
        <f t="shared" ref="C37:C60" si="5">B36</f>
        <v>2244</v>
      </c>
      <c r="D37">
        <f t="shared" ref="D37:D60" si="6">IF(B37-C37&lt;0,0,B37-C37)</f>
        <v>44</v>
      </c>
      <c r="E37" s="3">
        <f>Tabell6[[#This Row],[Att fördela]]</f>
        <v>-2.4285714285714284</v>
      </c>
      <c r="F37">
        <f>Tabell6[[#This Row],[Pris/m3 ink.moms]]</f>
        <v>15.780000000000001</v>
      </c>
      <c r="G37" s="8">
        <f>(Tabell4101112131415161718192021[[#This Row],[Förbrukning]]+Tabell4101112131415161718192021[[#This Row],[Utjämning]])*Tabell4101112131415161718192021[[#This Row],[Kr/m3]]</f>
        <v>655.99714285714288</v>
      </c>
      <c r="H37" s="8">
        <f>Tabell6[[#This Row],[Summa fast avg/hushåll]]</f>
        <v>578.16714285714284</v>
      </c>
      <c r="I37" s="8">
        <f>Tabell6[[#This Row],[Medlems avg]]/14</f>
        <v>1000</v>
      </c>
      <c r="J37" s="8"/>
      <c r="K37" s="8">
        <f>IF(Tabell4101112131415161718192021[[#This Row],[Nuvarande]], SUM(Tabell4101112131415161718192021[[#This Row],[Summa förbrukning]:[Lån]])+Tabell4101112131415161718192021[[#This Row],[Korr]],0)</f>
        <v>2234.1642857142856</v>
      </c>
      <c r="L37" s="2"/>
    </row>
    <row r="38" spans="1:12" x14ac:dyDescent="0.25">
      <c r="A38" s="4">
        <f>Tabell6[[#This Row],[Avläsnings datum]]</f>
        <v>44561</v>
      </c>
      <c r="B38">
        <v>2330</v>
      </c>
      <c r="C38">
        <f t="shared" si="5"/>
        <v>2288</v>
      </c>
      <c r="D38">
        <f t="shared" si="6"/>
        <v>42</v>
      </c>
      <c r="E38" s="3">
        <f>Tabell6[[#This Row],[Att fördela]]</f>
        <v>-1.3571428571428572</v>
      </c>
      <c r="F38">
        <f>Tabell6[[#This Row],[Pris/m3 ink.moms]]</f>
        <v>15.780000000000001</v>
      </c>
      <c r="G38" s="8">
        <f>(Tabell4101112131415161718192021[[#This Row],[Förbrukning]]+Tabell4101112131415161718192021[[#This Row],[Utjämning]])*Tabell4101112131415161718192021[[#This Row],[Kr/m3]]</f>
        <v>641.34428571428577</v>
      </c>
      <c r="H38" s="8">
        <f>Tabell6[[#This Row],[Summa fast avg/hushåll]]</f>
        <v>578.16714285714284</v>
      </c>
      <c r="I38" s="8">
        <f>Tabell6[[#This Row],[Medlems avg]]/14</f>
        <v>1000</v>
      </c>
      <c r="J38" s="8"/>
      <c r="K38" s="8">
        <f>IF(Tabell4101112131415161718192021[[#This Row],[Nuvarande]], SUM(Tabell4101112131415161718192021[[#This Row],[Summa förbrukning]:[Lån]])+Tabell4101112131415161718192021[[#This Row],[Korr]],0)</f>
        <v>2219.5114285714285</v>
      </c>
      <c r="L38" s="2"/>
    </row>
    <row r="39" spans="1:12" x14ac:dyDescent="0.25">
      <c r="A39" s="4">
        <f>Tabell6[[#This Row],[Avläsnings datum]]</f>
        <v>44681</v>
      </c>
      <c r="B39">
        <v>2375</v>
      </c>
      <c r="C39">
        <f t="shared" si="5"/>
        <v>2330</v>
      </c>
      <c r="D39">
        <f t="shared" si="6"/>
        <v>45</v>
      </c>
      <c r="E39" s="3">
        <f>Tabell6[[#This Row],[Att fördela]]</f>
        <v>-2.7142857142857144</v>
      </c>
      <c r="F39">
        <f>Tabell6[[#This Row],[Pris/m3 ink.moms]]</f>
        <v>15.780000000000001</v>
      </c>
      <c r="G39" s="8">
        <f>(Tabell4101112131415161718192021[[#This Row],[Förbrukning]]+Tabell4101112131415161718192021[[#This Row],[Utjämning]])*Tabell4101112131415161718192021[[#This Row],[Kr/m3]]</f>
        <v>667.26857142857148</v>
      </c>
      <c r="H39" s="8">
        <f>Tabell6[[#This Row],[Summa fast avg/hushåll]]</f>
        <v>578.16714285714284</v>
      </c>
      <c r="I39" s="8">
        <f>Tabell6[[#This Row],[Medlems avg]]/14</f>
        <v>1000</v>
      </c>
      <c r="J39" s="8"/>
      <c r="K39" s="8">
        <f>IF(Tabell4101112131415161718192021[[#This Row],[Nuvarande]], SUM(Tabell4101112131415161718192021[[#This Row],[Summa förbrukning]:[Lån]])+Tabell4101112131415161718192021[[#This Row],[Korr]],0)</f>
        <v>2245.4357142857143</v>
      </c>
      <c r="L39" s="2"/>
    </row>
    <row r="40" spans="1:12" x14ac:dyDescent="0.25">
      <c r="A40" s="4">
        <f>Tabell6[[#This Row],[Avläsnings datum]]</f>
        <v>44804</v>
      </c>
      <c r="B40">
        <v>2401</v>
      </c>
      <c r="C40">
        <f t="shared" si="5"/>
        <v>2375</v>
      </c>
      <c r="D40">
        <f t="shared" si="6"/>
        <v>26</v>
      </c>
      <c r="E40" s="3">
        <f>Tabell6[[#This Row],[Att fördela]]</f>
        <v>-7.1428571428571425E-2</v>
      </c>
      <c r="F40">
        <f>Tabell6[[#This Row],[Pris/m3 ink.moms]]</f>
        <v>15.780000000000001</v>
      </c>
      <c r="G40" s="8">
        <f>(Tabell4101112131415161718192021[[#This Row],[Förbrukning]]+Tabell4101112131415161718192021[[#This Row],[Utjämning]])*Tabell4101112131415161718192021[[#This Row],[Kr/m3]]</f>
        <v>409.15285714285716</v>
      </c>
      <c r="H40" s="8">
        <f>Tabell6[[#This Row],[Summa fast avg/hushåll]]</f>
        <v>578.16714285714284</v>
      </c>
      <c r="I40" s="8">
        <f>Tabell6[[#This Row],[Medlems avg]]/14</f>
        <v>1000</v>
      </c>
      <c r="J40" s="8"/>
      <c r="K40" s="8">
        <f>IF(Tabell4101112131415161718192021[[#This Row],[Nuvarande]], SUM(Tabell4101112131415161718192021[[#This Row],[Summa förbrukning]:[Lån]])+Tabell4101112131415161718192021[[#This Row],[Korr]],0)</f>
        <v>1987.32</v>
      </c>
      <c r="L40" s="2"/>
    </row>
    <row r="41" spans="1:12" x14ac:dyDescent="0.25">
      <c r="A41" s="4">
        <f>Tabell6[[#This Row],[Avläsnings datum]]</f>
        <v>44926</v>
      </c>
      <c r="B41">
        <v>2436</v>
      </c>
      <c r="C41">
        <f t="shared" si="5"/>
        <v>2401</v>
      </c>
      <c r="D41">
        <f t="shared" si="6"/>
        <v>35</v>
      </c>
      <c r="E41" s="3">
        <f>Tabell6[[#This Row],[Att fördela]]</f>
        <v>0</v>
      </c>
      <c r="F41">
        <f>Tabell6[[#This Row],[Pris/m3 ink.moms]]</f>
        <v>15.780000000000001</v>
      </c>
      <c r="G41" s="8">
        <f>(Tabell4101112131415161718192021[[#This Row],[Förbrukning]]+Tabell4101112131415161718192021[[#This Row],[Utjämning]])*Tabell4101112131415161718192021[[#This Row],[Kr/m3]]</f>
        <v>552.30000000000007</v>
      </c>
      <c r="H41" s="8">
        <f>Tabell6[[#This Row],[Summa fast avg/hushåll]]</f>
        <v>578.16714285714284</v>
      </c>
      <c r="I41" s="8">
        <f>Tabell6[[#This Row],[Medlems avg]]/14</f>
        <v>1000</v>
      </c>
      <c r="J41" s="8"/>
      <c r="K41" s="8">
        <f>IF(Tabell4101112131415161718192021[[#This Row],[Nuvarande]], SUM(Tabell4101112131415161718192021[[#This Row],[Summa förbrukning]:[Lån]])+Tabell4101112131415161718192021[[#This Row],[Korr]],0)</f>
        <v>2130.4671428571428</v>
      </c>
      <c r="L41" s="2"/>
    </row>
    <row r="42" spans="1:12" x14ac:dyDescent="0.25">
      <c r="A42" s="4">
        <f>Tabell6[[#This Row],[Avläsnings datum]]</f>
        <v>45046</v>
      </c>
      <c r="B42">
        <v>2465</v>
      </c>
      <c r="C42">
        <f t="shared" si="5"/>
        <v>2436</v>
      </c>
      <c r="D42">
        <f t="shared" si="6"/>
        <v>29</v>
      </c>
      <c r="E42" s="3">
        <f>Tabell6[[#This Row],[Att fördela]]</f>
        <v>0.14285714285714285</v>
      </c>
      <c r="F42">
        <f>Tabell6[[#This Row],[Pris/m3 ink.moms]]</f>
        <v>17.829999999999998</v>
      </c>
      <c r="G42" s="8">
        <f>(Tabell4101112131415161718192021[[#This Row],[Förbrukning]]+Tabell4101112131415161718192021[[#This Row],[Utjämning]])*Tabell4101112131415161718192021[[#This Row],[Kr/m3]]</f>
        <v>519.61714285714277</v>
      </c>
      <c r="H42" s="8">
        <f>Tabell6[[#This Row],[Summa fast avg/hushåll]]</f>
        <v>652.99952380952379</v>
      </c>
      <c r="I42" s="8">
        <f>Tabell6[[#This Row],[Medlems avg]]/14</f>
        <v>1000</v>
      </c>
      <c r="J42" s="8"/>
      <c r="K42" s="8">
        <f>IF(Tabell4101112131415161718192021[[#This Row],[Nuvarande]], SUM(Tabell4101112131415161718192021[[#This Row],[Summa förbrukning]:[Lån]])+Tabell4101112131415161718192021[[#This Row],[Korr]],0)</f>
        <v>2172.6166666666668</v>
      </c>
      <c r="L42" s="2"/>
    </row>
    <row r="43" spans="1:12" x14ac:dyDescent="0.25">
      <c r="A43" s="4">
        <f>Tabell6[[#This Row],[Avläsnings datum]]</f>
        <v>45169</v>
      </c>
      <c r="B43">
        <v>2499</v>
      </c>
      <c r="C43">
        <f t="shared" si="5"/>
        <v>2465</v>
      </c>
      <c r="D43">
        <f t="shared" si="6"/>
        <v>34</v>
      </c>
      <c r="E43" s="3">
        <f>Tabell6[[#This Row],[Att fördela]]</f>
        <v>-2.2142857142857144</v>
      </c>
      <c r="F43">
        <f>Tabell6[[#This Row],[Pris/m3 ink.moms]]</f>
        <v>17.829999999999998</v>
      </c>
      <c r="G43" s="8">
        <f>(Tabell4101112131415161718192021[[#This Row],[Förbrukning]]+Tabell4101112131415161718192021[[#This Row],[Utjämning]])*Tabell4101112131415161718192021[[#This Row],[Kr/m3]]</f>
        <v>566.73928571428564</v>
      </c>
      <c r="H43" s="8">
        <f>Tabell6[[#This Row],[Summa fast avg/hushåll]]</f>
        <v>652.99952380952379</v>
      </c>
      <c r="I43" s="8">
        <f>Tabell6[[#This Row],[Medlems avg]]/14</f>
        <v>1000</v>
      </c>
      <c r="J43" s="8"/>
      <c r="K43" s="8">
        <f>IF(Tabell4101112131415161718192021[[#This Row],[Nuvarande]], SUM(Tabell4101112131415161718192021[[#This Row],[Summa förbrukning]:[Lån]])+Tabell4101112131415161718192021[[#This Row],[Korr]],0)</f>
        <v>2219.7388095238093</v>
      </c>
      <c r="L43" s="2"/>
    </row>
    <row r="44" spans="1:12" x14ac:dyDescent="0.25">
      <c r="A44" s="4">
        <f>Tabell6[[#This Row],[Avläsnings datum]]</f>
        <v>45291</v>
      </c>
      <c r="B44">
        <v>2538</v>
      </c>
      <c r="C44">
        <f t="shared" si="5"/>
        <v>2499</v>
      </c>
      <c r="D44">
        <f t="shared" si="6"/>
        <v>39</v>
      </c>
      <c r="E44" s="3">
        <f>Tabell6[[#This Row],[Att fördela]]</f>
        <v>-0.7857142857142857</v>
      </c>
      <c r="F44">
        <f>Tabell6[[#This Row],[Pris/m3 ink.moms]]</f>
        <v>17.829999999999998</v>
      </c>
      <c r="G44" s="8">
        <f>(Tabell4101112131415161718192021[[#This Row],[Förbrukning]]+Tabell4101112131415161718192021[[#This Row],[Utjämning]])*Tabell4101112131415161718192021[[#This Row],[Kr/m3]]</f>
        <v>681.36071428571427</v>
      </c>
      <c r="H44" s="8">
        <f>Tabell6[[#This Row],[Summa fast avg/hushåll]]</f>
        <v>652.99952380952379</v>
      </c>
      <c r="I44" s="8">
        <f>Tabell6[[#This Row],[Medlems avg]]/14</f>
        <v>1000</v>
      </c>
      <c r="J44" s="8"/>
      <c r="K44" s="8">
        <f>IF(Tabell4101112131415161718192021[[#This Row],[Nuvarande]], SUM(Tabell4101112131415161718192021[[#This Row],[Summa förbrukning]:[Lån]])+Tabell4101112131415161718192021[[#This Row],[Korr]],0)</f>
        <v>2334.3602380952379</v>
      </c>
      <c r="L44" s="2"/>
    </row>
    <row r="45" spans="1:12" x14ac:dyDescent="0.25">
      <c r="A45" s="4">
        <f>Tabell6[[#This Row],[Avläsnings datum]]</f>
        <v>45412</v>
      </c>
      <c r="B45">
        <v>2572</v>
      </c>
      <c r="C45">
        <f t="shared" si="5"/>
        <v>2538</v>
      </c>
      <c r="D45">
        <f t="shared" si="6"/>
        <v>34</v>
      </c>
      <c r="E45" s="3">
        <f>Tabell6[[#This Row],[Att fördela]]</f>
        <v>-7.1428571428571425E-2</v>
      </c>
      <c r="F45">
        <f>Tabell6[[#This Row],[Pris/m3 ink.moms]]</f>
        <v>17.829999999999998</v>
      </c>
      <c r="G45" s="8">
        <f>(Tabell4101112131415161718192021[[#This Row],[Förbrukning]]+Tabell4101112131415161718192021[[#This Row],[Utjämning]])*Tabell4101112131415161718192021[[#This Row],[Kr/m3]]</f>
        <v>604.94642857142856</v>
      </c>
      <c r="H45" s="8">
        <f>Tabell6[[#This Row],[Summa fast avg/hushåll]]</f>
        <v>652.99952380952379</v>
      </c>
      <c r="I45" s="8">
        <f>Tabell6[[#This Row],[Medlems avg]]/14</f>
        <v>1000</v>
      </c>
      <c r="J45" s="8"/>
      <c r="K45" s="8">
        <f>IF(Tabell4101112131415161718192021[[#This Row],[Nuvarande]], SUM(Tabell4101112131415161718192021[[#This Row],[Summa förbrukning]:[Lån]])+Tabell4101112131415161718192021[[#This Row],[Korr]],0)</f>
        <v>2257.9459523809523</v>
      </c>
      <c r="L45" s="2"/>
    </row>
    <row r="46" spans="1:12" x14ac:dyDescent="0.25">
      <c r="A46" s="4">
        <f>Tabell6[[#This Row],[Avläsnings datum]]</f>
        <v>45535</v>
      </c>
      <c r="B46">
        <v>2615</v>
      </c>
      <c r="C46">
        <f t="shared" si="5"/>
        <v>2572</v>
      </c>
      <c r="D46">
        <f t="shared" si="6"/>
        <v>43</v>
      </c>
      <c r="E46" s="3">
        <f>Tabell6[[#This Row],[Att fördela]]</f>
        <v>-1.3571428571428572</v>
      </c>
      <c r="F46">
        <f>Tabell6[[#This Row],[Pris/m3 ink.moms]]</f>
        <v>21</v>
      </c>
      <c r="G46" s="8">
        <f>(Tabell4101112131415161718192021[[#This Row],[Förbrukning]]+Tabell4101112131415161718192021[[#This Row],[Utjämning]])*Tabell4101112131415161718192021[[#This Row],[Kr/m3]]</f>
        <v>874.50000000000011</v>
      </c>
      <c r="H46" s="8">
        <f>Tabell6[[#This Row],[Summa fast avg/hushåll]]</f>
        <v>763.97428571428566</v>
      </c>
      <c r="I46" s="8">
        <f>Tabell6[[#This Row],[Medlems avg]]/14</f>
        <v>1000</v>
      </c>
      <c r="J46" s="8"/>
      <c r="K46" s="8">
        <f>IF(Tabell4101112131415161718192021[[#This Row],[Nuvarande]], SUM(Tabell4101112131415161718192021[[#This Row],[Summa förbrukning]:[Lån]])+Tabell4101112131415161718192021[[#This Row],[Korr]],0)</f>
        <v>2638.4742857142855</v>
      </c>
      <c r="L46" s="2"/>
    </row>
    <row r="47" spans="1:12" x14ac:dyDescent="0.25">
      <c r="A47" s="4">
        <f>Tabell6[[#This Row],[Avläsnings datum]]</f>
        <v>45657</v>
      </c>
      <c r="B47">
        <v>2647</v>
      </c>
      <c r="C47">
        <f t="shared" si="5"/>
        <v>2615</v>
      </c>
      <c r="D47">
        <f t="shared" si="6"/>
        <v>32</v>
      </c>
      <c r="E47" s="3">
        <f>Tabell6[[#This Row],[Att fördela]]</f>
        <v>-1.7142857142857142</v>
      </c>
      <c r="F47">
        <f>Tabell6[[#This Row],[Pris/m3 ink.moms]]</f>
        <v>21</v>
      </c>
      <c r="G47" s="8">
        <f>(Tabell4101112131415161718192021[[#This Row],[Förbrukning]]+Tabell4101112131415161718192021[[#This Row],[Utjämning]])*Tabell4101112131415161718192021[[#This Row],[Kr/m3]]</f>
        <v>636</v>
      </c>
      <c r="H47" s="8">
        <f>Tabell6[[#This Row],[Summa fast avg/hushåll]]</f>
        <v>763.97428571428566</v>
      </c>
      <c r="I47" s="8">
        <f>Tabell6[[#This Row],[Medlems avg]]/14</f>
        <v>1000</v>
      </c>
      <c r="J47" s="8"/>
      <c r="K47" s="8">
        <f>IF(Tabell4101112131415161718192021[[#This Row],[Nuvarande]], SUM(Tabell4101112131415161718192021[[#This Row],[Summa förbrukning]:[Lån]])+Tabell4101112131415161718192021[[#This Row],[Korr]],0)</f>
        <v>2399.9742857142855</v>
      </c>
      <c r="L47" s="2"/>
    </row>
    <row r="48" spans="1:12" x14ac:dyDescent="0.25">
      <c r="A48" s="4">
        <f>Tabell6[[#This Row],[Avläsnings datum]]</f>
        <v>45777</v>
      </c>
      <c r="B48">
        <v>2689</v>
      </c>
      <c r="C48">
        <f t="shared" si="5"/>
        <v>2647</v>
      </c>
      <c r="D48">
        <f t="shared" si="6"/>
        <v>42</v>
      </c>
      <c r="E48" s="3">
        <f>Tabell6[[#This Row],[Att fördela]]</f>
        <v>-1.5</v>
      </c>
      <c r="F48">
        <f>Tabell6[[#This Row],[Pris/m3 ink.moms]]</f>
        <v>24</v>
      </c>
      <c r="G48" s="8">
        <f>(Tabell4101112131415161718192021[[#This Row],[Förbrukning]]+Tabell4101112131415161718192021[[#This Row],[Utjämning]])*Tabell4101112131415161718192021[[#This Row],[Kr/m3]]</f>
        <v>972</v>
      </c>
      <c r="H48" s="8">
        <f>Tabell6[[#This Row],[Summa fast avg/hushåll]]</f>
        <v>879.14738095238101</v>
      </c>
      <c r="I48" s="8">
        <f>Tabell6[[#This Row],[Medlems avg]]/14</f>
        <v>1000</v>
      </c>
      <c r="J48" s="8"/>
      <c r="K48" s="8">
        <f>IF(Tabell4101112131415161718192021[[#This Row],[Nuvarande]], SUM(Tabell4101112131415161718192021[[#This Row],[Summa förbrukning]:[Lån]])+Tabell4101112131415161718192021[[#This Row],[Korr]],0)</f>
        <v>2851.1473809523809</v>
      </c>
      <c r="L48" s="2"/>
    </row>
    <row r="49" spans="1:12" x14ac:dyDescent="0.25">
      <c r="A49" s="4">
        <f>Tabell6[[#This Row],[Avläsnings datum]]</f>
        <v>45900</v>
      </c>
      <c r="C49">
        <f t="shared" si="5"/>
        <v>2689</v>
      </c>
      <c r="D49">
        <f t="shared" si="6"/>
        <v>0</v>
      </c>
      <c r="E49" s="3">
        <f>Tabell6[[#This Row],[Att fördela]]</f>
        <v>0</v>
      </c>
      <c r="F49">
        <f>Tabell6[[#This Row],[Pris/m3 ink.moms]]</f>
        <v>24</v>
      </c>
      <c r="G49" s="8">
        <f>(Tabell4101112131415161718192021[[#This Row],[Förbrukning]]+Tabell4101112131415161718192021[[#This Row],[Utjämning]])*Tabell4101112131415161718192021[[#This Row],[Kr/m3]]</f>
        <v>0</v>
      </c>
      <c r="H49" s="8">
        <f>Tabell6[[#This Row],[Summa fast avg/hushåll]]</f>
        <v>879.14738095238101</v>
      </c>
      <c r="I49" s="8">
        <f>Tabell6[[#This Row],[Medlems avg]]/14</f>
        <v>1000</v>
      </c>
      <c r="J49" s="8"/>
      <c r="K49" s="8">
        <f>IF(Tabell4101112131415161718192021[[#This Row],[Nuvarande]], SUM(Tabell4101112131415161718192021[[#This Row],[Summa förbrukning]:[Lån]])+Tabell4101112131415161718192021[[#This Row],[Korr]],0)</f>
        <v>0</v>
      </c>
      <c r="L49" s="2"/>
    </row>
    <row r="50" spans="1:12" x14ac:dyDescent="0.25">
      <c r="A50" s="4">
        <f>Tabell6[[#This Row],[Avläsnings datum]]</f>
        <v>46022</v>
      </c>
      <c r="C50">
        <f t="shared" si="5"/>
        <v>0</v>
      </c>
      <c r="D50">
        <f t="shared" si="6"/>
        <v>0</v>
      </c>
      <c r="E50" s="3">
        <f>Tabell6[[#This Row],[Att fördela]]</f>
        <v>0</v>
      </c>
      <c r="F50">
        <f>Tabell6[[#This Row],[Pris/m3 ink.moms]]</f>
        <v>24</v>
      </c>
      <c r="G50" s="8">
        <f>(Tabell4101112131415161718192021[[#This Row],[Förbrukning]]+Tabell4101112131415161718192021[[#This Row],[Utjämning]])*Tabell4101112131415161718192021[[#This Row],[Kr/m3]]</f>
        <v>0</v>
      </c>
      <c r="H50" s="8">
        <f>Tabell6[[#This Row],[Summa fast avg/hushåll]]</f>
        <v>879.14738095238101</v>
      </c>
      <c r="I50" s="8">
        <f>Tabell6[[#This Row],[Medlems avg]]/14</f>
        <v>1000</v>
      </c>
      <c r="J50" s="8"/>
      <c r="K50" s="8">
        <f>IF(Tabell4101112131415161718192021[[#This Row],[Nuvarande]], SUM(Tabell4101112131415161718192021[[#This Row],[Summa förbrukning]:[Lån]])+Tabell4101112131415161718192021[[#This Row],[Korr]],0)</f>
        <v>0</v>
      </c>
      <c r="L50" s="2"/>
    </row>
    <row r="51" spans="1:12" x14ac:dyDescent="0.25">
      <c r="A51" s="4">
        <f>Tabell6[[#This Row],[Avläsnings datum]]</f>
        <v>46142</v>
      </c>
      <c r="C51">
        <f t="shared" si="5"/>
        <v>0</v>
      </c>
      <c r="D51">
        <f t="shared" si="6"/>
        <v>0</v>
      </c>
      <c r="E51" s="3">
        <f>Tabell6[[#This Row],[Att fördela]]</f>
        <v>0</v>
      </c>
      <c r="F51">
        <f>Tabell6[[#This Row],[Pris/m3 ink.moms]]</f>
        <v>24</v>
      </c>
      <c r="G51" s="8">
        <f>(Tabell4101112131415161718192021[[#This Row],[Förbrukning]]+Tabell4101112131415161718192021[[#This Row],[Utjämning]])*Tabell4101112131415161718192021[[#This Row],[Kr/m3]]</f>
        <v>0</v>
      </c>
      <c r="H51" s="8">
        <f>Tabell6[[#This Row],[Summa fast avg/hushåll]]</f>
        <v>879.14738095238101</v>
      </c>
      <c r="I51" s="8">
        <f>Tabell6[[#This Row],[Medlems avg]]/14</f>
        <v>1000</v>
      </c>
      <c r="J51" s="8"/>
      <c r="K51" s="8">
        <f>IF(Tabell4101112131415161718192021[[#This Row],[Nuvarande]], SUM(Tabell4101112131415161718192021[[#This Row],[Summa förbrukning]:[Lån]])+Tabell4101112131415161718192021[[#This Row],[Korr]],0)</f>
        <v>0</v>
      </c>
      <c r="L51" s="2"/>
    </row>
    <row r="52" spans="1:12" x14ac:dyDescent="0.25">
      <c r="A52" s="4">
        <f>Tabell6[[#This Row],[Avläsnings datum]]</f>
        <v>46265</v>
      </c>
      <c r="C52">
        <f t="shared" si="5"/>
        <v>0</v>
      </c>
      <c r="D52">
        <f t="shared" si="6"/>
        <v>0</v>
      </c>
      <c r="E52" s="3">
        <f>Tabell6[[#This Row],[Att fördela]]</f>
        <v>0</v>
      </c>
      <c r="F52">
        <f>Tabell6[[#This Row],[Pris/m3 ink.moms]]</f>
        <v>24</v>
      </c>
      <c r="G52" s="8">
        <f>(Tabell4101112131415161718192021[[#This Row],[Förbrukning]]+Tabell4101112131415161718192021[[#This Row],[Utjämning]])*Tabell4101112131415161718192021[[#This Row],[Kr/m3]]</f>
        <v>0</v>
      </c>
      <c r="H52" s="8">
        <f>Tabell6[[#This Row],[Summa fast avg/hushåll]]</f>
        <v>879.14738095238101</v>
      </c>
      <c r="I52" s="8">
        <f>Tabell6[[#This Row],[Medlems avg]]/14</f>
        <v>1000</v>
      </c>
      <c r="J52" s="8"/>
      <c r="K52" s="8">
        <f>IF(Tabell4101112131415161718192021[[#This Row],[Nuvarande]], SUM(Tabell4101112131415161718192021[[#This Row],[Summa förbrukning]:[Lån]])+Tabell4101112131415161718192021[[#This Row],[Korr]],0)</f>
        <v>0</v>
      </c>
      <c r="L52" s="2"/>
    </row>
    <row r="53" spans="1:12" x14ac:dyDescent="0.25">
      <c r="A53" s="4">
        <f>Tabell6[[#This Row],[Avläsnings datum]]</f>
        <v>46387</v>
      </c>
      <c r="C53">
        <f t="shared" si="5"/>
        <v>0</v>
      </c>
      <c r="D53">
        <f t="shared" si="6"/>
        <v>0</v>
      </c>
      <c r="E53" s="3">
        <f>Tabell6[[#This Row],[Att fördela]]</f>
        <v>0</v>
      </c>
      <c r="F53">
        <f>Tabell6[[#This Row],[Pris/m3 ink.moms]]</f>
        <v>24</v>
      </c>
      <c r="G53" s="8">
        <f>(Tabell4101112131415161718192021[[#This Row],[Förbrukning]]+Tabell4101112131415161718192021[[#This Row],[Utjämning]])*Tabell4101112131415161718192021[[#This Row],[Kr/m3]]</f>
        <v>0</v>
      </c>
      <c r="H53" s="8">
        <f>Tabell6[[#This Row],[Summa fast avg/hushåll]]</f>
        <v>879.14738095238101</v>
      </c>
      <c r="I53" s="8">
        <f>Tabell6[[#This Row],[Medlems avg]]/14</f>
        <v>1000</v>
      </c>
      <c r="J53" s="8"/>
      <c r="K53" s="8">
        <f>IF(Tabell4101112131415161718192021[[#This Row],[Nuvarande]], SUM(Tabell4101112131415161718192021[[#This Row],[Summa förbrukning]:[Lån]])+Tabell4101112131415161718192021[[#This Row],[Korr]],0)</f>
        <v>0</v>
      </c>
      <c r="L53" s="2"/>
    </row>
    <row r="54" spans="1:12" x14ac:dyDescent="0.25">
      <c r="A54" s="4">
        <f>Tabell6[[#This Row],[Avläsnings datum]]</f>
        <v>46507</v>
      </c>
      <c r="C54">
        <f t="shared" si="5"/>
        <v>0</v>
      </c>
      <c r="D54">
        <f t="shared" si="6"/>
        <v>0</v>
      </c>
      <c r="E54" s="3">
        <f>Tabell6[[#This Row],[Att fördela]]</f>
        <v>0</v>
      </c>
      <c r="F54">
        <f>Tabell6[[#This Row],[Pris/m3 ink.moms]]</f>
        <v>24</v>
      </c>
      <c r="G54" s="8">
        <f>(Tabell4101112131415161718192021[[#This Row],[Förbrukning]]+Tabell4101112131415161718192021[[#This Row],[Utjämning]])*Tabell4101112131415161718192021[[#This Row],[Kr/m3]]</f>
        <v>0</v>
      </c>
      <c r="H54" s="8">
        <f>Tabell6[[#This Row],[Summa fast avg/hushåll]]</f>
        <v>879.14738095238101</v>
      </c>
      <c r="I54" s="8">
        <f>Tabell6[[#This Row],[Medlems avg]]/14</f>
        <v>1000</v>
      </c>
      <c r="J54" s="8"/>
      <c r="K54" s="8">
        <f>IF(Tabell4101112131415161718192021[[#This Row],[Nuvarande]], SUM(Tabell4101112131415161718192021[[#This Row],[Summa förbrukning]:[Lån]])+Tabell4101112131415161718192021[[#This Row],[Korr]],0)</f>
        <v>0</v>
      </c>
      <c r="L54" s="2"/>
    </row>
    <row r="55" spans="1:12" x14ac:dyDescent="0.25">
      <c r="A55" s="4">
        <f>Tabell6[[#This Row],[Avläsnings datum]]</f>
        <v>46630</v>
      </c>
      <c r="C55">
        <f t="shared" si="5"/>
        <v>0</v>
      </c>
      <c r="D55">
        <f t="shared" si="6"/>
        <v>0</v>
      </c>
      <c r="E55" s="3">
        <f>Tabell6[[#This Row],[Att fördela]]</f>
        <v>0</v>
      </c>
      <c r="F55">
        <f>Tabell6[[#This Row],[Pris/m3 ink.moms]]</f>
        <v>24</v>
      </c>
      <c r="G55" s="8">
        <f>(Tabell4101112131415161718192021[[#This Row],[Förbrukning]]+Tabell4101112131415161718192021[[#This Row],[Utjämning]])*Tabell4101112131415161718192021[[#This Row],[Kr/m3]]</f>
        <v>0</v>
      </c>
      <c r="H55" s="8">
        <f>Tabell6[[#This Row],[Summa fast avg/hushåll]]</f>
        <v>879.14738095238101</v>
      </c>
      <c r="I55" s="8">
        <f>Tabell6[[#This Row],[Medlems avg]]/14</f>
        <v>1000</v>
      </c>
      <c r="J55" s="8"/>
      <c r="K55" s="8">
        <f>IF(Tabell4101112131415161718192021[[#This Row],[Nuvarande]], SUM(Tabell4101112131415161718192021[[#This Row],[Summa förbrukning]:[Lån]])+Tabell4101112131415161718192021[[#This Row],[Korr]],0)</f>
        <v>0</v>
      </c>
      <c r="L55" s="2"/>
    </row>
    <row r="56" spans="1:12" x14ac:dyDescent="0.25">
      <c r="A56" s="4">
        <f>Tabell6[[#This Row],[Avläsnings datum]]</f>
        <v>46752</v>
      </c>
      <c r="C56">
        <f t="shared" si="5"/>
        <v>0</v>
      </c>
      <c r="D56">
        <f t="shared" si="6"/>
        <v>0</v>
      </c>
      <c r="E56" s="3">
        <f>Tabell6[[#This Row],[Att fördela]]</f>
        <v>0</v>
      </c>
      <c r="F56">
        <f>Tabell6[[#This Row],[Pris/m3 ink.moms]]</f>
        <v>24</v>
      </c>
      <c r="G56" s="8">
        <f>(Tabell4101112131415161718192021[[#This Row],[Förbrukning]]+Tabell4101112131415161718192021[[#This Row],[Utjämning]])*Tabell4101112131415161718192021[[#This Row],[Kr/m3]]</f>
        <v>0</v>
      </c>
      <c r="H56" s="8">
        <f>Tabell6[[#This Row],[Summa fast avg/hushåll]]</f>
        <v>879.14738095238101</v>
      </c>
      <c r="I56" s="8">
        <f>Tabell6[[#This Row],[Medlems avg]]/14</f>
        <v>1000</v>
      </c>
      <c r="J56" s="8"/>
      <c r="K56" s="8">
        <f>IF(Tabell4101112131415161718192021[[#This Row],[Nuvarande]], SUM(Tabell4101112131415161718192021[[#This Row],[Summa förbrukning]:[Lån]])+Tabell4101112131415161718192021[[#This Row],[Korr]],0)</f>
        <v>0</v>
      </c>
      <c r="L56" s="2"/>
    </row>
    <row r="57" spans="1:12" x14ac:dyDescent="0.25">
      <c r="A57" s="4">
        <f>Tabell6[[#This Row],[Avläsnings datum]]</f>
        <v>46873</v>
      </c>
      <c r="C57">
        <f t="shared" si="5"/>
        <v>0</v>
      </c>
      <c r="D57">
        <f t="shared" si="6"/>
        <v>0</v>
      </c>
      <c r="E57" s="3">
        <f>Tabell6[[#This Row],[Att fördela]]</f>
        <v>0</v>
      </c>
      <c r="F57">
        <f>Tabell6[[#This Row],[Pris/m3 ink.moms]]</f>
        <v>24</v>
      </c>
      <c r="G57" s="8">
        <f>(Tabell4101112131415161718192021[[#This Row],[Förbrukning]]+Tabell4101112131415161718192021[[#This Row],[Utjämning]])*Tabell4101112131415161718192021[[#This Row],[Kr/m3]]</f>
        <v>0</v>
      </c>
      <c r="H57" s="8">
        <f>Tabell6[[#This Row],[Summa fast avg/hushåll]]</f>
        <v>879.14738095238101</v>
      </c>
      <c r="I57" s="8">
        <f>Tabell6[[#This Row],[Medlems avg]]/14</f>
        <v>1000</v>
      </c>
      <c r="J57" s="8"/>
      <c r="K57" s="8">
        <f>IF(Tabell4101112131415161718192021[[#This Row],[Nuvarande]], SUM(Tabell4101112131415161718192021[[#This Row],[Summa förbrukning]:[Lån]])+Tabell4101112131415161718192021[[#This Row],[Korr]],0)</f>
        <v>0</v>
      </c>
      <c r="L57" s="2"/>
    </row>
    <row r="58" spans="1:12" x14ac:dyDescent="0.25">
      <c r="A58" s="4">
        <f>Tabell6[[#This Row],[Avläsnings datum]]</f>
        <v>46996</v>
      </c>
      <c r="C58">
        <f t="shared" si="5"/>
        <v>0</v>
      </c>
      <c r="D58">
        <f t="shared" si="6"/>
        <v>0</v>
      </c>
      <c r="E58" s="3">
        <f>Tabell6[[#This Row],[Att fördela]]</f>
        <v>0</v>
      </c>
      <c r="F58">
        <f>Tabell6[[#This Row],[Pris/m3 ink.moms]]</f>
        <v>24</v>
      </c>
      <c r="G58" s="8">
        <f>(Tabell4101112131415161718192021[[#This Row],[Förbrukning]]+Tabell4101112131415161718192021[[#This Row],[Utjämning]])*Tabell4101112131415161718192021[[#This Row],[Kr/m3]]</f>
        <v>0</v>
      </c>
      <c r="H58" s="8">
        <f>Tabell6[[#This Row],[Summa fast avg/hushåll]]</f>
        <v>879.14738095238101</v>
      </c>
      <c r="I58" s="8">
        <f>Tabell6[[#This Row],[Medlems avg]]/14</f>
        <v>1000</v>
      </c>
      <c r="J58" s="8"/>
      <c r="K58" s="8">
        <f>IF(Tabell4101112131415161718192021[[#This Row],[Nuvarande]], SUM(Tabell4101112131415161718192021[[#This Row],[Summa förbrukning]:[Lån]])+Tabell4101112131415161718192021[[#This Row],[Korr]],0)</f>
        <v>0</v>
      </c>
      <c r="L58" s="2"/>
    </row>
    <row r="59" spans="1:12" x14ac:dyDescent="0.25">
      <c r="A59" s="4">
        <f>Tabell6[[#This Row],[Avläsnings datum]]</f>
        <v>47118</v>
      </c>
      <c r="C59">
        <f t="shared" si="5"/>
        <v>0</v>
      </c>
      <c r="D59">
        <f t="shared" si="6"/>
        <v>0</v>
      </c>
      <c r="E59" s="3">
        <f>Tabell6[[#This Row],[Att fördela]]</f>
        <v>0</v>
      </c>
      <c r="F59">
        <f>Tabell6[[#This Row],[Pris/m3 ink.moms]]</f>
        <v>24</v>
      </c>
      <c r="G59" s="8">
        <f>(Tabell4101112131415161718192021[[#This Row],[Förbrukning]]+Tabell4101112131415161718192021[[#This Row],[Utjämning]])*Tabell4101112131415161718192021[[#This Row],[Kr/m3]]</f>
        <v>0</v>
      </c>
      <c r="H59" s="8">
        <f>Tabell6[[#This Row],[Summa fast avg/hushåll]]</f>
        <v>879.14738095238101</v>
      </c>
      <c r="I59" s="8">
        <f>Tabell6[[#This Row],[Medlems avg]]/14</f>
        <v>1000</v>
      </c>
      <c r="J59" s="8"/>
      <c r="K59" s="8">
        <f>IF(Tabell4101112131415161718192021[[#This Row],[Nuvarande]], SUM(Tabell4101112131415161718192021[[#This Row],[Summa förbrukning]:[Lån]])+Tabell4101112131415161718192021[[#This Row],[Korr]],0)</f>
        <v>0</v>
      </c>
      <c r="L59" s="2"/>
    </row>
    <row r="60" spans="1:12" x14ac:dyDescent="0.25">
      <c r="A60" s="4">
        <f>Tabell6[[#This Row],[Avläsnings datum]]</f>
        <v>47238</v>
      </c>
      <c r="C60">
        <f t="shared" si="5"/>
        <v>0</v>
      </c>
      <c r="D60">
        <f t="shared" si="6"/>
        <v>0</v>
      </c>
      <c r="E60" s="3">
        <f>Tabell6[[#This Row],[Att fördela]]</f>
        <v>0</v>
      </c>
      <c r="F60">
        <f>Tabell6[[#This Row],[Pris/m3 ink.moms]]</f>
        <v>24</v>
      </c>
      <c r="G60" s="8">
        <f>(Tabell4101112131415161718192021[[#This Row],[Förbrukning]]+Tabell4101112131415161718192021[[#This Row],[Utjämning]])*Tabell4101112131415161718192021[[#This Row],[Kr/m3]]</f>
        <v>0</v>
      </c>
      <c r="H60" s="8">
        <f>Tabell6[[#This Row],[Summa fast avg/hushåll]]</f>
        <v>879.14738095238101</v>
      </c>
      <c r="I60" s="8">
        <f>Tabell6[[#This Row],[Medlems avg]]/14</f>
        <v>1000</v>
      </c>
      <c r="J60" s="8"/>
      <c r="K60" s="8">
        <f>IF(Tabell4101112131415161718192021[[#This Row],[Nuvarande]], SUM(Tabell4101112131415161718192021[[#This Row],[Summa förbrukning]:[Lån]])+Tabell4101112131415161718192021[[#This Row],[Korr]],0)</f>
        <v>0</v>
      </c>
      <c r="L60" s="2"/>
    </row>
  </sheetData>
  <pageMargins left="0.7" right="0.7" top="0.75" bottom="0.75" header="0.3" footer="0.3"/>
  <pageSetup paperSize="9" orientation="portrait" r:id="rId1"/>
  <ignoredErrors>
    <ignoredError sqref="A21:A36" calculatedColumn="1"/>
  </ignoredErrors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Blad16"/>
  <dimension ref="A1:L60"/>
  <sheetViews>
    <sheetView workbookViewId="0">
      <selection activeCell="B48" sqref="B48"/>
    </sheetView>
  </sheetViews>
  <sheetFormatPr defaultRowHeight="15" x14ac:dyDescent="0.25"/>
  <cols>
    <col min="1" max="1" width="20.28515625" customWidth="1"/>
    <col min="2" max="2" width="13" bestFit="1" customWidth="1"/>
    <col min="3" max="3" width="13.85546875" bestFit="1" customWidth="1"/>
    <col min="4" max="5" width="15.140625" customWidth="1"/>
    <col min="6" max="6" width="11.140625" customWidth="1"/>
    <col min="7" max="7" width="21.140625" bestFit="1" customWidth="1"/>
    <col min="8" max="8" width="10.28515625" bestFit="1" customWidth="1"/>
    <col min="9" max="9" width="15.140625" bestFit="1" customWidth="1"/>
    <col min="11" max="11" width="12" bestFit="1" customWidth="1"/>
  </cols>
  <sheetData>
    <row r="1" spans="1:12" x14ac:dyDescent="0.25">
      <c r="A1">
        <v>32</v>
      </c>
    </row>
    <row r="3" spans="1:12" x14ac:dyDescent="0.25">
      <c r="B3">
        <f>VLOOKUP('Huvud mätare'!$A1,$A5:$K60,2)</f>
        <v>5657</v>
      </c>
      <c r="C3">
        <f>VLOOKUP('Huvud mätare'!$A1,$A5:$K87,3)</f>
        <v>5626</v>
      </c>
      <c r="D3">
        <f>VLOOKUP('Huvud mätare'!$A1,$A5:$K87,4)</f>
        <v>31</v>
      </c>
      <c r="E3">
        <f>VLOOKUP('Huvud mätare'!$A1,$A5:$K87,5)</f>
        <v>-1.5</v>
      </c>
      <c r="F3">
        <f>VLOOKUP('Huvud mätare'!$A1,$A5:$K87,6)</f>
        <v>24</v>
      </c>
      <c r="G3">
        <f>VLOOKUP('Huvud mätare'!$A1,$A5:$K87,7)</f>
        <v>708</v>
      </c>
      <c r="H3">
        <f>VLOOKUP('Huvud mätare'!$A1,$A5:$K87,8)</f>
        <v>879.14738095238101</v>
      </c>
      <c r="I3">
        <f>VLOOKUP('Huvud mätare'!$A1,$A5:$K87,9)</f>
        <v>1000</v>
      </c>
      <c r="J3">
        <f>VLOOKUP('Huvud mätare'!$A1,$A5:$K87,10)</f>
        <v>0</v>
      </c>
      <c r="K3">
        <f>VLOOKUP('Huvud mätare'!$A1,$A5:$K87,11)</f>
        <v>2587.1473809523809</v>
      </c>
      <c r="L3">
        <f>VLOOKUP('Huvud mätare'!$A1,$A5:$L87,12)</f>
        <v>0</v>
      </c>
    </row>
    <row r="4" spans="1:12" ht="15" customHeight="1" x14ac:dyDescent="0.25">
      <c r="A4" t="s">
        <v>12</v>
      </c>
      <c r="B4" s="1" t="s">
        <v>33</v>
      </c>
      <c r="C4" s="1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25</v>
      </c>
      <c r="I4" t="s">
        <v>30</v>
      </c>
      <c r="J4" t="s">
        <v>39</v>
      </c>
      <c r="K4" t="s">
        <v>40</v>
      </c>
      <c r="L4" t="s">
        <v>41</v>
      </c>
    </row>
    <row r="5" spans="1:12" x14ac:dyDescent="0.25">
      <c r="A5" s="4">
        <f>Tabell6[[#This Row],[Avläsnings datum]]</f>
        <v>40543</v>
      </c>
      <c r="B5">
        <v>3915</v>
      </c>
      <c r="C5">
        <v>3849</v>
      </c>
      <c r="D5">
        <f t="shared" ref="D5:D21" si="0">IF(B5-C5&lt;0,0,B5-C5)</f>
        <v>66</v>
      </c>
      <c r="E5" s="3">
        <f>Tabell6[[#This Row],[Att fördela]]</f>
        <v>0.15714285714286039</v>
      </c>
      <c r="F5">
        <f>Tabell6[[#This Row],[Pris/m3 ink.moms]]</f>
        <v>16.88</v>
      </c>
      <c r="G5" s="8">
        <f>(Tabell410111213141516171819202122[[#This Row],[Förbrukning]]+Tabell410111213141516171819202122[[#This Row],[Utjämning]])*Tabell410111213141516171819202122[[#This Row],[Kr/m3]]</f>
        <v>1116.7325714285714</v>
      </c>
      <c r="H5" s="8">
        <f>Tabell6[[#This Row],[Summa fast avg/hushåll]]</f>
        <v>378.07142857142856</v>
      </c>
      <c r="I5" s="2">
        <f>Tabell6[[#This Row],[Medlems avg]]/14</f>
        <v>0</v>
      </c>
      <c r="J5" s="8"/>
      <c r="K5" s="8">
        <f>IF(Tabell410111213141516171819202122[[#This Row],[Nuvarande]], SUM(Tabell410111213141516171819202122[[#This Row],[Summa förbrukning]:[Lån]])+Tabell410111213141516171819202122[[#This Row],[Korr]],0)</f>
        <v>1494.8040000000001</v>
      </c>
      <c r="L5" s="8"/>
    </row>
    <row r="6" spans="1:12" x14ac:dyDescent="0.25">
      <c r="A6" s="4">
        <f>Tabell6[[#This Row],[Avläsnings datum]]</f>
        <v>40664</v>
      </c>
      <c r="B6">
        <v>3967</v>
      </c>
      <c r="C6">
        <f t="shared" ref="C6:C21" si="1">B5</f>
        <v>3915</v>
      </c>
      <c r="D6">
        <f t="shared" si="0"/>
        <v>52</v>
      </c>
      <c r="E6" s="3">
        <f>Tabell6[[#This Row],[Att fördela]]</f>
        <v>2.8571428571418828E-2</v>
      </c>
      <c r="F6">
        <f>Tabell6[[#This Row],[Pris/m3 ink.moms]]</f>
        <v>16.88</v>
      </c>
      <c r="G6" s="8">
        <f>(Tabell410111213141516171819202122[[#This Row],[Förbrukning]]+Tabell410111213141516171819202122[[#This Row],[Utjämning]])*Tabell410111213141516171819202122[[#This Row],[Kr/m3]]</f>
        <v>878.24228571428546</v>
      </c>
      <c r="H6" s="8">
        <f>Tabell6[[#This Row],[Summa fast avg/hushåll]]</f>
        <v>378.07142857142856</v>
      </c>
      <c r="I6" s="8">
        <f>Tabell6[[#This Row],[Medlems avg]]/14</f>
        <v>0</v>
      </c>
      <c r="J6" s="8"/>
      <c r="K6" s="8">
        <f>IF(Tabell410111213141516171819202122[[#This Row],[Nuvarande]], SUM(Tabell410111213141516171819202122[[#This Row],[Summa förbrukning]:[Lån]])+Tabell410111213141516171819202122[[#This Row],[Korr]],0)</f>
        <v>1256.313714285714</v>
      </c>
      <c r="L6" s="8"/>
    </row>
    <row r="7" spans="1:12" x14ac:dyDescent="0.25">
      <c r="A7" s="4">
        <f>Tabell6[[#This Row],[Avläsnings datum]]</f>
        <v>40786</v>
      </c>
      <c r="B7">
        <v>4022</v>
      </c>
      <c r="C7">
        <f t="shared" si="1"/>
        <v>3967</v>
      </c>
      <c r="D7">
        <f t="shared" si="0"/>
        <v>55</v>
      </c>
      <c r="E7" s="3">
        <f>Tabell6[[#This Row],[Att fördela]]</f>
        <v>-2.8571428571426947E-2</v>
      </c>
      <c r="F7">
        <f>Tabell6[[#This Row],[Pris/m3 ink.moms]]</f>
        <v>16.88</v>
      </c>
      <c r="G7" s="8">
        <f>(Tabell410111213141516171819202122[[#This Row],[Förbrukning]]+Tabell410111213141516171819202122[[#This Row],[Utjämning]])*Tabell410111213141516171819202122[[#This Row],[Kr/m3]]</f>
        <v>927.91771428571428</v>
      </c>
      <c r="H7" s="8">
        <f>Tabell6[[#This Row],[Summa fast avg/hushåll]]</f>
        <v>378.07142857142856</v>
      </c>
      <c r="I7" s="8">
        <f>Tabell6[[#This Row],[Medlems avg]]/14</f>
        <v>0</v>
      </c>
      <c r="J7" s="8"/>
      <c r="K7" s="8">
        <f>IF(Tabell410111213141516171819202122[[#This Row],[Nuvarande]], SUM(Tabell410111213141516171819202122[[#This Row],[Summa förbrukning]:[Lån]])+Tabell410111213141516171819202122[[#This Row],[Korr]],0)</f>
        <v>1305.9891428571427</v>
      </c>
      <c r="L7" s="8"/>
    </row>
    <row r="8" spans="1:12" x14ac:dyDescent="0.25">
      <c r="A8" s="4">
        <f>Tabell6[[#This Row],[Avläsnings datum]]</f>
        <v>40908</v>
      </c>
      <c r="B8">
        <v>4074</v>
      </c>
      <c r="C8">
        <f t="shared" si="1"/>
        <v>4022</v>
      </c>
      <c r="D8">
        <f t="shared" si="0"/>
        <v>52</v>
      </c>
      <c r="E8" s="3">
        <f>Tabell6[[#This Row],[Att fördela]]</f>
        <v>-0.22857142857142371</v>
      </c>
      <c r="F8">
        <f>Tabell6[[#This Row],[Pris/m3 ink.moms]]</f>
        <v>16.825000000000003</v>
      </c>
      <c r="G8" s="8">
        <f>(Tabell410111213141516171819202122[[#This Row],[Förbrukning]]+Tabell410111213141516171819202122[[#This Row],[Utjämning]])*Tabell410111213141516171819202122[[#This Row],[Kr/m3]]</f>
        <v>871.05428571428604</v>
      </c>
      <c r="H8" s="8">
        <f>Tabell6[[#This Row],[Summa fast avg/hushåll]]</f>
        <v>378.07142857142856</v>
      </c>
      <c r="I8" s="8">
        <f>Tabell6[[#This Row],[Medlems avg]]/14</f>
        <v>1000</v>
      </c>
      <c r="J8" s="8"/>
      <c r="K8" s="8">
        <f>IF(Tabell410111213141516171819202122[[#This Row],[Nuvarande]], SUM(Tabell410111213141516171819202122[[#This Row],[Summa förbrukning]:[Lån]])+Tabell410111213141516171819202122[[#This Row],[Korr]],0)</f>
        <v>2249.1257142857148</v>
      </c>
      <c r="L8" s="8"/>
    </row>
    <row r="9" spans="1:12" x14ac:dyDescent="0.25">
      <c r="A9" s="4">
        <f>Tabell6[[#This Row],[Avläsnings datum]]</f>
        <v>41029</v>
      </c>
      <c r="B9">
        <v>4121</v>
      </c>
      <c r="C9">
        <f t="shared" si="1"/>
        <v>4074</v>
      </c>
      <c r="D9">
        <f t="shared" si="0"/>
        <v>47</v>
      </c>
      <c r="E9" s="3">
        <f>Tabell6[[#This Row],[Att fördela]]</f>
        <v>-1</v>
      </c>
      <c r="F9">
        <f>Tabell6[[#This Row],[Pris/m3 ink.moms]]</f>
        <v>16.825000000000003</v>
      </c>
      <c r="G9" s="8">
        <f>(Tabell410111213141516171819202122[[#This Row],[Förbrukning]]+Tabell410111213141516171819202122[[#This Row],[Utjämning]])*Tabell410111213141516171819202122[[#This Row],[Kr/m3]]</f>
        <v>773.95000000000016</v>
      </c>
      <c r="H9" s="8">
        <f>Tabell6[[#This Row],[Summa fast avg/hushåll]]</f>
        <v>378.07142857142856</v>
      </c>
      <c r="I9" s="8">
        <f>Tabell6[[#This Row],[Medlems avg]]/14</f>
        <v>1000</v>
      </c>
      <c r="J9" s="8"/>
      <c r="K9" s="8">
        <f>IF(Tabell410111213141516171819202122[[#This Row],[Nuvarande]], SUM(Tabell410111213141516171819202122[[#This Row],[Summa förbrukning]:[Lån]])+Tabell410111213141516171819202122[[#This Row],[Korr]],0)</f>
        <v>2152.0214285714287</v>
      </c>
      <c r="L9" s="8"/>
    </row>
    <row r="10" spans="1:12" x14ac:dyDescent="0.25">
      <c r="A10" s="4">
        <f>Tabell6[[#This Row],[Avläsnings datum]]</f>
        <v>41152</v>
      </c>
      <c r="B10">
        <v>4169</v>
      </c>
      <c r="C10">
        <f t="shared" si="1"/>
        <v>4121</v>
      </c>
      <c r="D10">
        <f t="shared" si="0"/>
        <v>48</v>
      </c>
      <c r="E10" s="3">
        <f>Tabell6[[#This Row],[Att fördela]]</f>
        <v>-0.14285714285714285</v>
      </c>
      <c r="F10">
        <f>Tabell6[[#This Row],[Pris/m3 ink.moms]]</f>
        <v>16.825000000000003</v>
      </c>
      <c r="G10" s="8">
        <f>(Tabell410111213141516171819202122[[#This Row],[Förbrukning]]+Tabell410111213141516171819202122[[#This Row],[Utjämning]])*Tabell410111213141516171819202122[[#This Row],[Kr/m3]]</f>
        <v>805.19642857142867</v>
      </c>
      <c r="H10" s="8">
        <f>Tabell6[[#This Row],[Summa fast avg/hushåll]]</f>
        <v>378.07142857142856</v>
      </c>
      <c r="I10" s="8">
        <f>Tabell6[[#This Row],[Medlems avg]]/14</f>
        <v>1000</v>
      </c>
      <c r="J10" s="8"/>
      <c r="K10" s="8">
        <f>IF(Tabell410111213141516171819202122[[#This Row],[Nuvarande]], SUM(Tabell410111213141516171819202122[[#This Row],[Summa förbrukning]:[Lån]])+Tabell410111213141516171819202122[[#This Row],[Korr]],0)</f>
        <v>2183.2678571428573</v>
      </c>
      <c r="L10" s="8"/>
    </row>
    <row r="11" spans="1:12" x14ac:dyDescent="0.25">
      <c r="A11" s="4">
        <f>Tabell6[[#This Row],[Avläsnings datum]]</f>
        <v>41274</v>
      </c>
      <c r="B11">
        <v>4216</v>
      </c>
      <c r="C11">
        <f t="shared" si="1"/>
        <v>4169</v>
      </c>
      <c r="D11">
        <f t="shared" si="0"/>
        <v>47</v>
      </c>
      <c r="E11" s="3">
        <f>Tabell6[[#This Row],[Att fördela]]</f>
        <v>-0.9285714285714286</v>
      </c>
      <c r="F11">
        <f>Tabell6[[#This Row],[Pris/m3 ink.moms]]</f>
        <v>14.8125</v>
      </c>
      <c r="G11" s="8">
        <f>(Tabell410111213141516171819202122[[#This Row],[Förbrukning]]+Tabell410111213141516171819202122[[#This Row],[Utjämning]])*Tabell410111213141516171819202122[[#This Row],[Kr/m3]]</f>
        <v>682.43303571428567</v>
      </c>
      <c r="H11" s="8">
        <f>Tabell6[[#This Row],[Summa fast avg/hushåll]]</f>
        <v>542.26190476190482</v>
      </c>
      <c r="I11" s="8">
        <f>Tabell6[[#This Row],[Medlems avg]]/14</f>
        <v>1000</v>
      </c>
      <c r="J11" s="8"/>
      <c r="K11" s="8">
        <f>IF(Tabell410111213141516171819202122[[#This Row],[Nuvarande]], SUM(Tabell410111213141516171819202122[[#This Row],[Summa förbrukning]:[Lån]])+Tabell410111213141516171819202122[[#This Row],[Korr]],0)</f>
        <v>2224.6949404761904</v>
      </c>
      <c r="L11" s="8"/>
    </row>
    <row r="12" spans="1:12" x14ac:dyDescent="0.25">
      <c r="A12" s="4">
        <f>Tabell6[[#This Row],[Avläsnings datum]]</f>
        <v>41394</v>
      </c>
      <c r="B12">
        <v>4264</v>
      </c>
      <c r="C12">
        <f t="shared" si="1"/>
        <v>4216</v>
      </c>
      <c r="D12">
        <f t="shared" si="0"/>
        <v>48</v>
      </c>
      <c r="E12" s="3">
        <f>Tabell6[[#This Row],[Att fördela]]</f>
        <v>-1.5714285714285714</v>
      </c>
      <c r="F12">
        <f>Tabell6[[#This Row],[Pris/m3 ink.moms]]</f>
        <v>14.8125</v>
      </c>
      <c r="G12" s="8">
        <f>(Tabell410111213141516171819202122[[#This Row],[Förbrukning]]+Tabell410111213141516171819202122[[#This Row],[Utjämning]])*Tabell410111213141516171819202122[[#This Row],[Kr/m3]]</f>
        <v>687.72321428571433</v>
      </c>
      <c r="H12" s="8">
        <f>Tabell6[[#This Row],[Summa fast avg/hushåll]]</f>
        <v>542.26190476190482</v>
      </c>
      <c r="I12" s="8">
        <f>Tabell6[[#This Row],[Medlems avg]]/14</f>
        <v>1000</v>
      </c>
      <c r="J12" s="8"/>
      <c r="K12" s="8">
        <f>IF(Tabell410111213141516171819202122[[#This Row],[Nuvarande]], SUM(Tabell410111213141516171819202122[[#This Row],[Summa förbrukning]:[Lån]])+Tabell410111213141516171819202122[[#This Row],[Korr]],0)</f>
        <v>2229.9851190476193</v>
      </c>
      <c r="L12" s="8"/>
    </row>
    <row r="13" spans="1:12" x14ac:dyDescent="0.25">
      <c r="A13" s="4">
        <f>Tabell6[[#This Row],[Avläsnings datum]]</f>
        <v>41517</v>
      </c>
      <c r="B13">
        <v>4315</v>
      </c>
      <c r="C13">
        <f t="shared" si="1"/>
        <v>4264</v>
      </c>
      <c r="D13">
        <f t="shared" si="0"/>
        <v>51</v>
      </c>
      <c r="E13" s="3">
        <f>Tabell6[[#This Row],[Att fördela]]</f>
        <v>-0.8571428571428571</v>
      </c>
      <c r="F13">
        <f>Tabell6[[#This Row],[Pris/m3 ink.moms]]</f>
        <v>14.8125</v>
      </c>
      <c r="G13" s="8">
        <f>(Tabell410111213141516171819202122[[#This Row],[Förbrukning]]+Tabell410111213141516171819202122[[#This Row],[Utjämning]])*Tabell410111213141516171819202122[[#This Row],[Kr/m3]]</f>
        <v>742.74107142857144</v>
      </c>
      <c r="H13" s="8">
        <f>Tabell6[[#This Row],[Summa fast avg/hushåll]]</f>
        <v>542.26190476190482</v>
      </c>
      <c r="I13" s="8">
        <f>Tabell6[[#This Row],[Medlems avg]]/14</f>
        <v>1000</v>
      </c>
      <c r="J13" s="8"/>
      <c r="K13" s="8">
        <f>IF(Tabell410111213141516171819202122[[#This Row],[Nuvarande]], SUM(Tabell410111213141516171819202122[[#This Row],[Summa förbrukning]:[Lån]])+Tabell410111213141516171819202122[[#This Row],[Korr]],0)</f>
        <v>2285.0029761904761</v>
      </c>
      <c r="L13" s="8"/>
    </row>
    <row r="14" spans="1:12" x14ac:dyDescent="0.25">
      <c r="A14" s="4">
        <f>Tabell6[[#This Row],[Avläsnings datum]]</f>
        <v>41639</v>
      </c>
      <c r="B14">
        <v>4362</v>
      </c>
      <c r="C14">
        <f t="shared" si="1"/>
        <v>4315</v>
      </c>
      <c r="D14">
        <f t="shared" si="0"/>
        <v>47</v>
      </c>
      <c r="E14" s="3">
        <f>Tabell6[[#This Row],[Att fördela]]</f>
        <v>-2.5</v>
      </c>
      <c r="F14">
        <f>Tabell6[[#This Row],[Pris/m3 ink.moms]]</f>
        <v>14.8125</v>
      </c>
      <c r="G14" s="8">
        <f>(Tabell410111213141516171819202122[[#This Row],[Förbrukning]]+Tabell410111213141516171819202122[[#This Row],[Utjämning]])*Tabell410111213141516171819202122[[#This Row],[Kr/m3]]</f>
        <v>659.15625</v>
      </c>
      <c r="H14" s="8">
        <f>Tabell6[[#This Row],[Summa fast avg/hushåll]]</f>
        <v>547.85714285714289</v>
      </c>
      <c r="I14" s="8">
        <f>Tabell6[[#This Row],[Medlems avg]]/14</f>
        <v>1000</v>
      </c>
      <c r="J14" s="8"/>
      <c r="K14" s="8">
        <f>IF(Tabell410111213141516171819202122[[#This Row],[Nuvarande]], SUM(Tabell410111213141516171819202122[[#This Row],[Summa förbrukning]:[Lån]])+Tabell410111213141516171819202122[[#This Row],[Korr]],0)</f>
        <v>2207.0133928571431</v>
      </c>
      <c r="L14" s="8"/>
    </row>
    <row r="15" spans="1:12" x14ac:dyDescent="0.25">
      <c r="A15" s="4">
        <f>Tabell6[[#This Row],[Avläsnings datum]]</f>
        <v>41759</v>
      </c>
      <c r="B15">
        <v>4391</v>
      </c>
      <c r="C15">
        <f t="shared" si="1"/>
        <v>4362</v>
      </c>
      <c r="D15">
        <f t="shared" si="0"/>
        <v>29</v>
      </c>
      <c r="E15" s="3">
        <f>Tabell6[[#This Row],[Att fördela]]</f>
        <v>-1.5714285714285714</v>
      </c>
      <c r="F15">
        <f>Tabell6[[#This Row],[Pris/m3 ink.moms]]</f>
        <v>14.9625</v>
      </c>
      <c r="G15" s="8">
        <f>(Tabell410111213141516171819202122[[#This Row],[Förbrukning]]+Tabell410111213141516171819202122[[#This Row],[Utjämning]])*Tabell410111213141516171819202122[[#This Row],[Kr/m3]]</f>
        <v>410.4</v>
      </c>
      <c r="H15" s="8">
        <f>Tabell6[[#This Row],[Summa fast avg/hushåll]]</f>
        <v>547.85714285714289</v>
      </c>
      <c r="I15" s="8">
        <f>Tabell6[[#This Row],[Medlems avg]]/14</f>
        <v>1000</v>
      </c>
      <c r="J15" s="8"/>
      <c r="K15" s="8">
        <f>IF(Tabell410111213141516171819202122[[#This Row],[Nuvarande]], SUM(Tabell410111213141516171819202122[[#This Row],[Summa förbrukning]:[Lån]])+Tabell410111213141516171819202122[[#This Row],[Korr]],0)</f>
        <v>2013.2749999999996</v>
      </c>
      <c r="L15" s="8">
        <f t="shared" ref="L15" si="2">K13-K12</f>
        <v>55.017857142856883</v>
      </c>
    </row>
    <row r="16" spans="1:12" x14ac:dyDescent="0.25">
      <c r="A16" s="4">
        <f>Tabell6[[#This Row],[Avläsnings datum]]</f>
        <v>41882</v>
      </c>
      <c r="B16">
        <v>4435</v>
      </c>
      <c r="C16">
        <f t="shared" si="1"/>
        <v>4391</v>
      </c>
      <c r="D16">
        <f t="shared" si="0"/>
        <v>44</v>
      </c>
      <c r="E16" s="3">
        <f>Tabell6[[#This Row],[Att fördela]]</f>
        <v>-1.7857142857142858</v>
      </c>
      <c r="F16">
        <f>Tabell6[[#This Row],[Pris/m3 ink.moms]]</f>
        <v>14.9625</v>
      </c>
      <c r="G16" s="8">
        <f>(Tabell410111213141516171819202122[[#This Row],[Förbrukning]]+Tabell410111213141516171819202122[[#This Row],[Utjämning]])*Tabell410111213141516171819202122[[#This Row],[Kr/m3]]</f>
        <v>631.63125000000002</v>
      </c>
      <c r="H16" s="8">
        <f>Tabell6[[#This Row],[Summa fast avg/hushåll]]</f>
        <v>547.85714285714289</v>
      </c>
      <c r="I16" s="8">
        <f>Tabell6[[#This Row],[Medlems avg]]/14</f>
        <v>1000</v>
      </c>
      <c r="J16" s="8"/>
      <c r="K16" s="8">
        <f>IF(Tabell410111213141516171819202122[[#This Row],[Nuvarande]], SUM(Tabell410111213141516171819202122[[#This Row],[Summa förbrukning]:[Lån]])+Tabell410111213141516171819202122[[#This Row],[Korr]],0)</f>
        <v>2179.488392857143</v>
      </c>
      <c r="L16" s="8"/>
    </row>
    <row r="17" spans="1:12" x14ac:dyDescent="0.25">
      <c r="A17" s="4">
        <f>Tabell6[[#This Row],[Avläsnings datum]]</f>
        <v>42004</v>
      </c>
      <c r="B17">
        <v>4475</v>
      </c>
      <c r="C17">
        <f t="shared" si="1"/>
        <v>4435</v>
      </c>
      <c r="D17">
        <f t="shared" si="0"/>
        <v>40</v>
      </c>
      <c r="E17" s="3">
        <f>Tabell6[[#This Row],[Att fördela]]</f>
        <v>-2.0714285714285716</v>
      </c>
      <c r="F17">
        <f>Tabell6[[#This Row],[Pris/m3 ink.moms]]</f>
        <v>14.9625</v>
      </c>
      <c r="G17" s="8">
        <f>(Tabell410111213141516171819202122[[#This Row],[Förbrukning]]+Tabell410111213141516171819202122[[#This Row],[Utjämning]])*Tabell410111213141516171819202122[[#This Row],[Kr/m3]]</f>
        <v>567.50625000000002</v>
      </c>
      <c r="H17" s="8">
        <f>Tabell6[[#This Row],[Summa fast avg/hushåll]]</f>
        <v>547.85714285714289</v>
      </c>
      <c r="I17" s="8">
        <f>Tabell6[[#This Row],[Medlems avg]]/14</f>
        <v>1000</v>
      </c>
      <c r="J17" s="8"/>
      <c r="K17" s="8">
        <f>IF(Tabell410111213141516171819202122[[#This Row],[Nuvarande]], SUM(Tabell410111213141516171819202122[[#This Row],[Summa förbrukning]:[Lån]])+Tabell410111213141516171819202122[[#This Row],[Korr]],0)</f>
        <v>2115.363392857143</v>
      </c>
      <c r="L17" s="8"/>
    </row>
    <row r="18" spans="1:12" x14ac:dyDescent="0.25">
      <c r="A18" s="4">
        <f>Tabell6[[#This Row],[Avläsnings datum]]</f>
        <v>42124</v>
      </c>
      <c r="B18">
        <v>4506</v>
      </c>
      <c r="C18">
        <f t="shared" si="1"/>
        <v>4475</v>
      </c>
      <c r="D18">
        <f t="shared" si="0"/>
        <v>31</v>
      </c>
      <c r="E18" s="3">
        <f>Tabell6[[#This Row],[Att fördela]]</f>
        <v>-2.5</v>
      </c>
      <c r="F18">
        <f>Tabell6[[#This Row],[Pris/m3 ink.moms]]</f>
        <v>14.9625</v>
      </c>
      <c r="G18" s="8">
        <f>(Tabell410111213141516171819202122[[#This Row],[Förbrukning]]+Tabell410111213141516171819202122[[#This Row],[Utjämning]])*Tabell410111213141516171819202122[[#This Row],[Kr/m3]]</f>
        <v>426.43125000000003</v>
      </c>
      <c r="H18" s="8">
        <f>Tabell6[[#This Row],[Summa fast avg/hushåll]]</f>
        <v>547.85714285714289</v>
      </c>
      <c r="I18" s="8">
        <f>Tabell6[[#This Row],[Medlems avg]]/14</f>
        <v>600</v>
      </c>
      <c r="J18" s="8"/>
      <c r="K18" s="8">
        <f>IF(Tabell410111213141516171819202122[[#This Row],[Nuvarande]], SUM(Tabell410111213141516171819202122[[#This Row],[Summa förbrukning]:[Lån]])+Tabell410111213141516171819202122[[#This Row],[Korr]],0)</f>
        <v>1574.288392857143</v>
      </c>
      <c r="L18" s="8"/>
    </row>
    <row r="19" spans="1:12" x14ac:dyDescent="0.25">
      <c r="A19" s="4">
        <f>Tabell6[[#This Row],[Avläsnings datum]]</f>
        <v>42247</v>
      </c>
      <c r="B19">
        <v>4551</v>
      </c>
      <c r="C19">
        <f t="shared" si="1"/>
        <v>4506</v>
      </c>
      <c r="D19">
        <f t="shared" si="0"/>
        <v>45</v>
      </c>
      <c r="E19" s="3">
        <f>Tabell6[[#This Row],[Att fördela]]</f>
        <v>-2.2857142857142856</v>
      </c>
      <c r="F19">
        <f>Tabell6[[#This Row],[Pris/m3 ink.moms]]</f>
        <v>14.9625</v>
      </c>
      <c r="G19" s="8">
        <f>(Tabell410111213141516171819202122[[#This Row],[Förbrukning]]+Tabell410111213141516171819202122[[#This Row],[Utjämning]])*Tabell410111213141516171819202122[[#This Row],[Kr/m3]]</f>
        <v>639.11250000000007</v>
      </c>
      <c r="H19" s="8">
        <f>Tabell6[[#This Row],[Summa fast avg/hushåll]]</f>
        <v>547.85714285714289</v>
      </c>
      <c r="I19" s="8">
        <f>Tabell6[[#This Row],[Medlems avg]]/14</f>
        <v>600</v>
      </c>
      <c r="J19" s="8"/>
      <c r="K19" s="8">
        <f>IF(Tabell410111213141516171819202122[[#This Row],[Nuvarande]], SUM(Tabell410111213141516171819202122[[#This Row],[Summa förbrukning]:[Lån]])+Tabell410111213141516171819202122[[#This Row],[Korr]],0)</f>
        <v>1786.9696428571428</v>
      </c>
      <c r="L19" s="8"/>
    </row>
    <row r="20" spans="1:12" x14ac:dyDescent="0.25">
      <c r="A20" s="4">
        <f>Tabell6[[#This Row],[Avläsnings datum]]</f>
        <v>42369</v>
      </c>
      <c r="B20">
        <v>4589</v>
      </c>
      <c r="C20">
        <f t="shared" si="1"/>
        <v>4551</v>
      </c>
      <c r="D20">
        <f t="shared" si="0"/>
        <v>38</v>
      </c>
      <c r="E20" s="3">
        <f>Tabell6[[#This Row],[Att fördela]]</f>
        <v>-2.8571428571428572</v>
      </c>
      <c r="F20">
        <f>Tabell6[[#This Row],[Pris/m3 ink.moms]]</f>
        <v>14.9625</v>
      </c>
      <c r="G20" s="8">
        <f>(Tabell410111213141516171819202122[[#This Row],[Förbrukning]]+Tabell410111213141516171819202122[[#This Row],[Utjämning]])*Tabell410111213141516171819202122[[#This Row],[Kr/m3]]</f>
        <v>525.82500000000005</v>
      </c>
      <c r="H20" s="8">
        <f>Tabell6[[#This Row],[Summa fast avg/hushåll]]</f>
        <v>547.85714285714289</v>
      </c>
      <c r="I20" s="8">
        <f>Tabell6[[#This Row],[Medlems avg]]/14</f>
        <v>600</v>
      </c>
      <c r="J20" s="8"/>
      <c r="K20" s="8">
        <f>IF(Tabell410111213141516171819202122[[#This Row],[Nuvarande]], SUM(Tabell410111213141516171819202122[[#This Row],[Summa förbrukning]:[Lån]])+Tabell410111213141516171819202122[[#This Row],[Korr]],0)</f>
        <v>1673.6821428571429</v>
      </c>
      <c r="L20" s="8"/>
    </row>
    <row r="21" spans="1:12" x14ac:dyDescent="0.25">
      <c r="A21" s="4">
        <v>42490</v>
      </c>
      <c r="B21">
        <v>4639</v>
      </c>
      <c r="C21">
        <f t="shared" si="1"/>
        <v>4589</v>
      </c>
      <c r="D21">
        <f t="shared" si="0"/>
        <v>50</v>
      </c>
      <c r="E21" s="3">
        <f>Tabell6[[#This Row],[Att fördela]]</f>
        <v>-3.5</v>
      </c>
      <c r="F21">
        <f>Tabell6[[#This Row],[Pris/m3 ink.moms]]</f>
        <v>14.9625</v>
      </c>
      <c r="G21" s="8">
        <f>(Tabell410111213141516171819202122[[#This Row],[Förbrukning]]+Tabell410111213141516171819202122[[#This Row],[Utjämning]])*Tabell410111213141516171819202122[[#This Row],[Kr/m3]]</f>
        <v>695.75625000000002</v>
      </c>
      <c r="H21" s="8">
        <f>Tabell6[[#This Row],[Summa fast avg/hushåll]]</f>
        <v>547.85714285714289</v>
      </c>
      <c r="I21" s="8">
        <f>Tabell6[[#This Row],[Medlems avg]]/14</f>
        <v>600</v>
      </c>
      <c r="J21" s="8"/>
      <c r="K21" s="8">
        <f>IF(Tabell410111213141516171819202122[[#This Row],[Nuvarande]], SUM(Tabell410111213141516171819202122[[#This Row],[Summa förbrukning]:[Lån]])+Tabell410111213141516171819202122[[#This Row],[Korr]],0)</f>
        <v>2056.2946428571431</v>
      </c>
      <c r="L21" s="2">
        <f>K19-K18</f>
        <v>212.68124999999986</v>
      </c>
    </row>
    <row r="22" spans="1:12" x14ac:dyDescent="0.25">
      <c r="A22" s="4">
        <v>42613</v>
      </c>
      <c r="B22">
        <v>4669</v>
      </c>
      <c r="C22">
        <f t="shared" ref="C22:C36" si="3">B21</f>
        <v>4639</v>
      </c>
      <c r="D22">
        <f t="shared" ref="D22:D36" si="4">IF(B22-C22&lt;0,0,B22-C22)</f>
        <v>30</v>
      </c>
      <c r="E22" s="3">
        <f>Tabell6[[#This Row],[Att fördela]]</f>
        <v>-1.0714285714285714</v>
      </c>
      <c r="F22">
        <f>Tabell6[[#This Row],[Pris/m3 ink.moms]]</f>
        <v>14.9625</v>
      </c>
      <c r="G22" s="8">
        <f>(Tabell410111213141516171819202122[[#This Row],[Förbrukning]]+Tabell410111213141516171819202122[[#This Row],[Utjämning]])*Tabell410111213141516171819202122[[#This Row],[Kr/m3]]</f>
        <v>432.84375</v>
      </c>
      <c r="H22" s="8">
        <f>Tabell6[[#This Row],[Summa fast avg/hushåll]]</f>
        <v>547.85714285714289</v>
      </c>
      <c r="I22" s="8">
        <f>Tabell6[[#This Row],[Medlems avg]]/14</f>
        <v>600</v>
      </c>
      <c r="J22" s="8"/>
      <c r="K22" s="8">
        <f>IF(Tabell410111213141516171819202122[[#This Row],[Nuvarande]], SUM(Tabell410111213141516171819202122[[#This Row],[Summa förbrukning]:[Lån]])+Tabell410111213141516171819202122[[#This Row],[Korr]],0)</f>
        <v>1580.7008928571429</v>
      </c>
      <c r="L22" s="2"/>
    </row>
    <row r="23" spans="1:12" x14ac:dyDescent="0.25">
      <c r="A23" s="4">
        <v>42735</v>
      </c>
      <c r="B23">
        <v>4713</v>
      </c>
      <c r="C23">
        <f t="shared" si="3"/>
        <v>4669</v>
      </c>
      <c r="D23">
        <f t="shared" si="4"/>
        <v>44</v>
      </c>
      <c r="E23" s="3">
        <f>Tabell6[[#This Row],[Att fördela]]</f>
        <v>-3.7142857142857144</v>
      </c>
      <c r="F23">
        <f>Tabell6[[#This Row],[Pris/m3 ink.moms]]</f>
        <v>14.9625</v>
      </c>
      <c r="G23" s="8">
        <f>(Tabell410111213141516171819202122[[#This Row],[Förbrukning]]+Tabell410111213141516171819202122[[#This Row],[Utjämning]])*Tabell410111213141516171819202122[[#This Row],[Kr/m3]]</f>
        <v>602.77499999999998</v>
      </c>
      <c r="H23" s="8">
        <f>Tabell6[[#This Row],[Summa fast avg/hushåll]]</f>
        <v>547.85714285714289</v>
      </c>
      <c r="I23" s="8">
        <f>Tabell6[[#This Row],[Medlems avg]]/14</f>
        <v>600</v>
      </c>
      <c r="J23" s="8"/>
      <c r="K23" s="8">
        <f>IF(Tabell410111213141516171819202122[[#This Row],[Nuvarande]], SUM(Tabell410111213141516171819202122[[#This Row],[Summa förbrukning]:[Lån]])+Tabell410111213141516171819202122[[#This Row],[Korr]],0)</f>
        <v>1750.6321428571428</v>
      </c>
      <c r="L23" s="2"/>
    </row>
    <row r="24" spans="1:12" x14ac:dyDescent="0.25">
      <c r="A24" s="4">
        <v>42855</v>
      </c>
      <c r="B24">
        <v>4745</v>
      </c>
      <c r="C24">
        <f t="shared" si="3"/>
        <v>4713</v>
      </c>
      <c r="D24">
        <f t="shared" si="4"/>
        <v>32</v>
      </c>
      <c r="E24" s="3">
        <f>Tabell6[[#This Row],[Att fördela]]</f>
        <v>-2</v>
      </c>
      <c r="F24">
        <f>Tabell6[[#This Row],[Pris/m3 ink.moms]]</f>
        <v>14.9625</v>
      </c>
      <c r="G24" s="8">
        <f>(Tabell410111213141516171819202122[[#This Row],[Förbrukning]]+Tabell410111213141516171819202122[[#This Row],[Utjämning]])*Tabell410111213141516171819202122[[#This Row],[Kr/m3]]</f>
        <v>448.875</v>
      </c>
      <c r="H24" s="8">
        <f>Tabell6[[#This Row],[Summa fast avg/hushåll]]</f>
        <v>547.85714285714289</v>
      </c>
      <c r="I24" s="8">
        <f>Tabell6[[#This Row],[Medlems avg]]/14</f>
        <v>700</v>
      </c>
      <c r="J24" s="8"/>
      <c r="K24" s="8">
        <f>IF(Tabell410111213141516171819202122[[#This Row],[Nuvarande]], SUM(Tabell410111213141516171819202122[[#This Row],[Summa förbrukning]:[Lån]])+Tabell410111213141516171819202122[[#This Row],[Korr]],0)</f>
        <v>1696.7321428571429</v>
      </c>
      <c r="L24" s="2"/>
    </row>
    <row r="25" spans="1:12" x14ac:dyDescent="0.25">
      <c r="A25" s="4">
        <v>42978</v>
      </c>
      <c r="B25">
        <v>4788</v>
      </c>
      <c r="C25">
        <f t="shared" si="3"/>
        <v>4745</v>
      </c>
      <c r="D25">
        <f t="shared" si="4"/>
        <v>43</v>
      </c>
      <c r="E25" s="3">
        <f>Tabell6[[#This Row],[Att fördela]]</f>
        <v>-3.3571428571428572</v>
      </c>
      <c r="F25">
        <f>Tabell6[[#This Row],[Pris/m3 ink.moms]]</f>
        <v>14.9625</v>
      </c>
      <c r="G25" s="8">
        <f>(Tabell410111213141516171819202122[[#This Row],[Förbrukning]]+Tabell410111213141516171819202122[[#This Row],[Utjämning]])*Tabell410111213141516171819202122[[#This Row],[Kr/m3]]</f>
        <v>593.15625000000011</v>
      </c>
      <c r="H25" s="8">
        <f>Tabell6[[#This Row],[Summa fast avg/hushåll]]</f>
        <v>547.85714285714289</v>
      </c>
      <c r="I25" s="8">
        <f>Tabell6[[#This Row],[Medlems avg]]/14</f>
        <v>700</v>
      </c>
      <c r="J25" s="8"/>
      <c r="K25" s="8">
        <f>IF(Tabell410111213141516171819202122[[#This Row],[Nuvarande]], SUM(Tabell410111213141516171819202122[[#This Row],[Summa förbrukning]:[Lån]])+Tabell410111213141516171819202122[[#This Row],[Korr]],0)</f>
        <v>1841.0133928571431</v>
      </c>
      <c r="L25" s="2"/>
    </row>
    <row r="26" spans="1:12" x14ac:dyDescent="0.25">
      <c r="A26" s="4">
        <v>43100</v>
      </c>
      <c r="B26">
        <v>4825</v>
      </c>
      <c r="C26">
        <f t="shared" si="3"/>
        <v>4788</v>
      </c>
      <c r="D26">
        <f t="shared" si="4"/>
        <v>37</v>
      </c>
      <c r="E26" s="3">
        <f>Tabell6[[#This Row],[Att fördela]]</f>
        <v>-1.8571428571428572</v>
      </c>
      <c r="F26">
        <f>Tabell6[[#This Row],[Pris/m3 ink.moms]]</f>
        <v>14.9625</v>
      </c>
      <c r="G26" s="8">
        <f>(Tabell410111213141516171819202122[[#This Row],[Förbrukning]]+Tabell410111213141516171819202122[[#This Row],[Utjämning]])*Tabell410111213141516171819202122[[#This Row],[Kr/m3]]</f>
        <v>525.82500000000005</v>
      </c>
      <c r="H26" s="8">
        <f>Tabell6[[#This Row],[Summa fast avg/hushåll]]</f>
        <v>547.85714285714289</v>
      </c>
      <c r="I26" s="8">
        <f>Tabell6[[#This Row],[Medlems avg]]/14</f>
        <v>700</v>
      </c>
      <c r="J26" s="8"/>
      <c r="K26" s="8">
        <f>IF(Tabell410111213141516171819202122[[#This Row],[Nuvarande]], SUM(Tabell410111213141516171819202122[[#This Row],[Summa förbrukning]:[Lån]])+Tabell410111213141516171819202122[[#This Row],[Korr]],0)</f>
        <v>1773.6821428571429</v>
      </c>
      <c r="L26" s="2"/>
    </row>
    <row r="27" spans="1:12" x14ac:dyDescent="0.25">
      <c r="A27" s="4">
        <v>43220</v>
      </c>
      <c r="B27">
        <v>4861</v>
      </c>
      <c r="C27">
        <f t="shared" si="3"/>
        <v>4825</v>
      </c>
      <c r="D27">
        <f t="shared" si="4"/>
        <v>36</v>
      </c>
      <c r="E27" s="3">
        <f>Tabell6[[#This Row],[Att fördela]]</f>
        <v>-2.5714285714285716</v>
      </c>
      <c r="F27">
        <f>Tabell6[[#This Row],[Pris/m3 ink.moms]]</f>
        <v>14.9625</v>
      </c>
      <c r="G27" s="8">
        <f>(Tabell410111213141516171819202122[[#This Row],[Förbrukning]]+Tabell410111213141516171819202122[[#This Row],[Utjämning]])*Tabell410111213141516171819202122[[#This Row],[Kr/m3]]</f>
        <v>500.17500000000007</v>
      </c>
      <c r="H27" s="8">
        <f>Tabell6[[#This Row],[Summa fast avg/hushåll]]</f>
        <v>547.85714285714289</v>
      </c>
      <c r="I27" s="8">
        <f>Tabell6[[#This Row],[Medlems avg]]/14</f>
        <v>1000</v>
      </c>
      <c r="J27" s="8"/>
      <c r="K27" s="8">
        <f>IF(Tabell410111213141516171819202122[[#This Row],[Nuvarande]], SUM(Tabell410111213141516171819202122[[#This Row],[Summa förbrukning]:[Lån]])+Tabell410111213141516171819202122[[#This Row],[Korr]],0)</f>
        <v>2048.0321428571428</v>
      </c>
      <c r="L27" s="2"/>
    </row>
    <row r="28" spans="1:12" x14ac:dyDescent="0.25">
      <c r="A28" s="4">
        <v>43343</v>
      </c>
      <c r="B28">
        <v>4900</v>
      </c>
      <c r="C28">
        <f t="shared" si="3"/>
        <v>4861</v>
      </c>
      <c r="D28">
        <f t="shared" si="4"/>
        <v>39</v>
      </c>
      <c r="E28" s="3">
        <f>Tabell6[[#This Row],[Att fördela]]</f>
        <v>-2.2142857142857144</v>
      </c>
      <c r="F28">
        <f>Tabell6[[#This Row],[Pris/m3 ink.moms]]</f>
        <v>14.9625</v>
      </c>
      <c r="G28" s="8">
        <f>(Tabell410111213141516171819202122[[#This Row],[Förbrukning]]+Tabell410111213141516171819202122[[#This Row],[Utjämning]])*Tabell410111213141516171819202122[[#This Row],[Kr/m3]]</f>
        <v>550.40625</v>
      </c>
      <c r="H28" s="8">
        <f>Tabell6[[#This Row],[Summa fast avg/hushåll]]</f>
        <v>547.85714285714289</v>
      </c>
      <c r="I28" s="8">
        <f>Tabell6[[#This Row],[Medlems avg]]/14</f>
        <v>1000</v>
      </c>
      <c r="J28" s="8"/>
      <c r="K28" s="8">
        <f>IF(Tabell410111213141516171819202122[[#This Row],[Nuvarande]], SUM(Tabell410111213141516171819202122[[#This Row],[Summa förbrukning]:[Lån]])+Tabell410111213141516171819202122[[#This Row],[Korr]],0)</f>
        <v>2098.2633928571431</v>
      </c>
      <c r="L28" s="2"/>
    </row>
    <row r="29" spans="1:12" x14ac:dyDescent="0.25">
      <c r="A29" s="4">
        <v>43465</v>
      </c>
      <c r="B29">
        <v>4942</v>
      </c>
      <c r="C29">
        <f t="shared" si="3"/>
        <v>4900</v>
      </c>
      <c r="D29">
        <f t="shared" si="4"/>
        <v>42</v>
      </c>
      <c r="E29" s="3">
        <f>Tabell6[[#This Row],[Att fördela]]</f>
        <v>-1.5</v>
      </c>
      <c r="F29">
        <f>Tabell6[[#This Row],[Pris/m3 ink.moms]]</f>
        <v>15.780000000000001</v>
      </c>
      <c r="G29" s="8">
        <f>(Tabell410111213141516171819202122[[#This Row],[Förbrukning]]+Tabell410111213141516171819202122[[#This Row],[Utjämning]])*Tabell410111213141516171819202122[[#This Row],[Kr/m3]]</f>
        <v>639.09</v>
      </c>
      <c r="H29" s="8">
        <f>Tabell6[[#This Row],[Summa fast avg/hushåll]]</f>
        <v>547.85714285714289</v>
      </c>
      <c r="I29" s="8">
        <f>Tabell6[[#This Row],[Medlems avg]]/14</f>
        <v>1000</v>
      </c>
      <c r="J29" s="8"/>
      <c r="K29" s="8">
        <f>IF(Tabell410111213141516171819202122[[#This Row],[Nuvarande]], SUM(Tabell410111213141516171819202122[[#This Row],[Summa förbrukning]:[Lån]])+Tabell410111213141516171819202122[[#This Row],[Korr]],0)</f>
        <v>2186.9471428571428</v>
      </c>
      <c r="L29" s="2"/>
    </row>
    <row r="30" spans="1:12" x14ac:dyDescent="0.25">
      <c r="A30" s="4">
        <v>43585</v>
      </c>
      <c r="B30">
        <v>4973</v>
      </c>
      <c r="C30">
        <f t="shared" si="3"/>
        <v>4942</v>
      </c>
      <c r="D30">
        <f t="shared" si="4"/>
        <v>31</v>
      </c>
      <c r="E30" s="3">
        <f>Tabell6[[#This Row],[Att fördela]]</f>
        <v>-7.2857142857142856</v>
      </c>
      <c r="F30">
        <f>Tabell6[[#This Row],[Pris/m3 ink.moms]]</f>
        <v>15.780000000000001</v>
      </c>
      <c r="G30" s="8">
        <f>(Tabell410111213141516171819202122[[#This Row],[Förbrukning]]+Tabell410111213141516171819202122[[#This Row],[Utjämning]])*Tabell410111213141516171819202122[[#This Row],[Kr/m3]]</f>
        <v>374.2114285714286</v>
      </c>
      <c r="H30" s="8">
        <f>Tabell6[[#This Row],[Summa fast avg/hushåll]]</f>
        <v>578.16714285714284</v>
      </c>
      <c r="I30" s="8">
        <f>Tabell6[[#This Row],[Medlems avg]]/14</f>
        <v>1000</v>
      </c>
      <c r="J30" s="8"/>
      <c r="K30" s="8">
        <f>IF(Tabell410111213141516171819202122[[#This Row],[Nuvarande]], SUM(Tabell410111213141516171819202122[[#This Row],[Summa förbrukning]:[Lån]])+Tabell410111213141516171819202122[[#This Row],[Korr]],0)</f>
        <v>1952.3785714285714</v>
      </c>
      <c r="L30" s="2"/>
    </row>
    <row r="31" spans="1:12" x14ac:dyDescent="0.25">
      <c r="A31" s="4">
        <v>43708</v>
      </c>
      <c r="B31">
        <v>5020</v>
      </c>
      <c r="C31">
        <f t="shared" si="3"/>
        <v>4973</v>
      </c>
      <c r="D31">
        <f t="shared" si="4"/>
        <v>47</v>
      </c>
      <c r="E31" s="3">
        <f>Tabell6[[#This Row],[Att fördela]]</f>
        <v>-3.4285714285714284</v>
      </c>
      <c r="F31">
        <f>Tabell6[[#This Row],[Pris/m3 ink.moms]]</f>
        <v>15.780000000000001</v>
      </c>
      <c r="G31" s="8">
        <f>(Tabell410111213141516171819202122[[#This Row],[Förbrukning]]+Tabell410111213141516171819202122[[#This Row],[Utjämning]])*Tabell410111213141516171819202122[[#This Row],[Kr/m3]]</f>
        <v>687.55714285714282</v>
      </c>
      <c r="H31" s="8">
        <f>Tabell6[[#This Row],[Summa fast avg/hushåll]]</f>
        <v>578.16714285714284</v>
      </c>
      <c r="I31" s="8">
        <f>Tabell6[[#This Row],[Medlems avg]]/14</f>
        <v>1000</v>
      </c>
      <c r="J31" s="8"/>
      <c r="K31" s="8">
        <f>IF(Tabell410111213141516171819202122[[#This Row],[Nuvarande]], SUM(Tabell410111213141516171819202122[[#This Row],[Summa förbrukning]:[Lån]])+Tabell410111213141516171819202122[[#This Row],[Korr]],0)</f>
        <v>2265.7242857142855</v>
      </c>
      <c r="L31" s="2"/>
    </row>
    <row r="32" spans="1:12" x14ac:dyDescent="0.25">
      <c r="A32" s="4">
        <v>43830</v>
      </c>
      <c r="B32">
        <v>5057</v>
      </c>
      <c r="C32">
        <f t="shared" si="3"/>
        <v>5020</v>
      </c>
      <c r="D32">
        <f t="shared" si="4"/>
        <v>37</v>
      </c>
      <c r="E32" s="3">
        <f>Tabell6[[#This Row],[Att fördela]]</f>
        <v>-3</v>
      </c>
      <c r="F32">
        <f>Tabell6[[#This Row],[Pris/m3 ink.moms]]</f>
        <v>15.780000000000001</v>
      </c>
      <c r="G32" s="8">
        <f>(Tabell410111213141516171819202122[[#This Row],[Förbrukning]]+Tabell410111213141516171819202122[[#This Row],[Utjämning]])*Tabell410111213141516171819202122[[#This Row],[Kr/m3]]</f>
        <v>536.52</v>
      </c>
      <c r="H32" s="8">
        <f>Tabell6[[#This Row],[Summa fast avg/hushåll]]</f>
        <v>578.16714285714284</v>
      </c>
      <c r="I32" s="8">
        <f>Tabell6[[#This Row],[Medlems avg]]/14</f>
        <v>1000</v>
      </c>
      <c r="J32" s="8"/>
      <c r="K32" s="8">
        <f>IF(Tabell410111213141516171819202122[[#This Row],[Nuvarande]], SUM(Tabell410111213141516171819202122[[#This Row],[Summa förbrukning]:[Lån]])+Tabell410111213141516171819202122[[#This Row],[Korr]],0)</f>
        <v>2114.687142857143</v>
      </c>
      <c r="L32" s="2"/>
    </row>
    <row r="33" spans="1:12" x14ac:dyDescent="0.25">
      <c r="A33" s="4">
        <v>43951</v>
      </c>
      <c r="B33">
        <v>5091</v>
      </c>
      <c r="C33">
        <f t="shared" si="3"/>
        <v>5057</v>
      </c>
      <c r="D33">
        <f t="shared" si="4"/>
        <v>34</v>
      </c>
      <c r="E33" s="3">
        <f>Tabell6[[#This Row],[Att fördela]]</f>
        <v>-1.9285714285714286</v>
      </c>
      <c r="F33">
        <f>Tabell6[[#This Row],[Pris/m3 ink.moms]]</f>
        <v>15.780000000000001</v>
      </c>
      <c r="G33" s="8">
        <f>(Tabell410111213141516171819202122[[#This Row],[Förbrukning]]+Tabell410111213141516171819202122[[#This Row],[Utjämning]])*Tabell410111213141516171819202122[[#This Row],[Kr/m3]]</f>
        <v>506.08714285714285</v>
      </c>
      <c r="H33" s="8">
        <f>Tabell6[[#This Row],[Summa fast avg/hushåll]]</f>
        <v>578.16714285714284</v>
      </c>
      <c r="I33" s="8">
        <f>Tabell6[[#This Row],[Medlems avg]]/14</f>
        <v>1000</v>
      </c>
      <c r="J33" s="8"/>
      <c r="K33" s="8">
        <f>IF(Tabell410111213141516171819202122[[#This Row],[Nuvarande]], SUM(Tabell410111213141516171819202122[[#This Row],[Summa förbrukning]:[Lån]])+Tabell410111213141516171819202122[[#This Row],[Korr]],0)</f>
        <v>2084.2542857142857</v>
      </c>
      <c r="L33" s="2"/>
    </row>
    <row r="34" spans="1:12" x14ac:dyDescent="0.25">
      <c r="A34" s="4">
        <v>44074</v>
      </c>
      <c r="B34">
        <v>5136</v>
      </c>
      <c r="C34">
        <f t="shared" si="3"/>
        <v>5091</v>
      </c>
      <c r="D34">
        <f t="shared" si="4"/>
        <v>45</v>
      </c>
      <c r="E34" s="3">
        <f>Tabell6[[#This Row],[Att fördela]]</f>
        <v>-1.8571428571428572</v>
      </c>
      <c r="F34">
        <f>Tabell6[[#This Row],[Pris/m3 ink.moms]]</f>
        <v>15.780000000000001</v>
      </c>
      <c r="G34" s="8">
        <f>(Tabell410111213141516171819202122[[#This Row],[Förbrukning]]+Tabell410111213141516171819202122[[#This Row],[Utjämning]])*Tabell410111213141516171819202122[[#This Row],[Kr/m3]]</f>
        <v>680.79428571428582</v>
      </c>
      <c r="H34" s="8">
        <f>Tabell6[[#This Row],[Summa fast avg/hushåll]]</f>
        <v>578.16714285714284</v>
      </c>
      <c r="I34" s="8">
        <f>Tabell6[[#This Row],[Medlems avg]]/14</f>
        <v>1000</v>
      </c>
      <c r="J34" s="8"/>
      <c r="K34" s="8">
        <f>IF(Tabell410111213141516171819202122[[#This Row],[Nuvarande]], SUM(Tabell410111213141516171819202122[[#This Row],[Summa förbrukning]:[Lån]])+Tabell410111213141516171819202122[[#This Row],[Korr]],0)</f>
        <v>2258.9614285714288</v>
      </c>
      <c r="L34" s="2"/>
    </row>
    <row r="35" spans="1:12" x14ac:dyDescent="0.25">
      <c r="A35" s="4">
        <v>44196</v>
      </c>
      <c r="B35">
        <v>5172</v>
      </c>
      <c r="C35">
        <f t="shared" si="3"/>
        <v>5136</v>
      </c>
      <c r="D35">
        <f t="shared" si="4"/>
        <v>36</v>
      </c>
      <c r="E35" s="3">
        <f>Tabell6[[#This Row],[Att fördela]]</f>
        <v>-2.2142857142857144</v>
      </c>
      <c r="F35">
        <f>Tabell6[[#This Row],[Pris/m3 ink.moms]]</f>
        <v>15.780000000000001</v>
      </c>
      <c r="G35" s="8">
        <f>(Tabell410111213141516171819202122[[#This Row],[Förbrukning]]+Tabell410111213141516171819202122[[#This Row],[Utjämning]])*Tabell410111213141516171819202122[[#This Row],[Kr/m3]]</f>
        <v>533.13857142857148</v>
      </c>
      <c r="H35" s="8">
        <f>Tabell6[[#This Row],[Summa fast avg/hushåll]]</f>
        <v>578.16714285714284</v>
      </c>
      <c r="I35" s="8">
        <f>Tabell6[[#This Row],[Medlems avg]]/14</f>
        <v>1000</v>
      </c>
      <c r="J35" s="8"/>
      <c r="K35" s="8">
        <f>IF(Tabell410111213141516171819202122[[#This Row],[Nuvarande]], SUM(Tabell410111213141516171819202122[[#This Row],[Summa förbrukning]:[Lån]])+Tabell410111213141516171819202122[[#This Row],[Korr]],0)</f>
        <v>2111.3057142857142</v>
      </c>
      <c r="L35" s="2"/>
    </row>
    <row r="36" spans="1:12" x14ac:dyDescent="0.25">
      <c r="A36" s="4">
        <v>44316</v>
      </c>
      <c r="B36">
        <v>5202</v>
      </c>
      <c r="C36">
        <f t="shared" si="3"/>
        <v>5172</v>
      </c>
      <c r="D36">
        <f t="shared" si="4"/>
        <v>30</v>
      </c>
      <c r="E36" s="3">
        <f>Tabell6[[#This Row],[Att fördela]]</f>
        <v>-1.0714285714285714</v>
      </c>
      <c r="F36">
        <f>Tabell6[[#This Row],[Pris/m3 ink.moms]]</f>
        <v>15.780000000000001</v>
      </c>
      <c r="G36" s="8">
        <f>(Tabell410111213141516171819202122[[#This Row],[Förbrukning]]+Tabell410111213141516171819202122[[#This Row],[Utjämning]])*Tabell410111213141516171819202122[[#This Row],[Kr/m3]]</f>
        <v>456.49285714285713</v>
      </c>
      <c r="H36" s="8">
        <f>Tabell6[[#This Row],[Summa fast avg/hushåll]]</f>
        <v>578.16714285714284</v>
      </c>
      <c r="I36" s="8">
        <f>Tabell6[[#This Row],[Medlems avg]]/14</f>
        <v>1000</v>
      </c>
      <c r="J36" s="8"/>
      <c r="K36" s="8">
        <f>IF(Tabell410111213141516171819202122[[#This Row],[Nuvarande]], SUM(Tabell410111213141516171819202122[[#This Row],[Summa förbrukning]:[Lån]])+Tabell410111213141516171819202122[[#This Row],[Korr]],0)</f>
        <v>2034.6599999999999</v>
      </c>
      <c r="L36" s="2"/>
    </row>
    <row r="37" spans="1:12" x14ac:dyDescent="0.25">
      <c r="A37" s="4">
        <f>Tabell6[[#This Row],[Avläsnings datum]]</f>
        <v>44439</v>
      </c>
      <c r="B37">
        <v>5245</v>
      </c>
      <c r="C37">
        <f t="shared" ref="C37:C60" si="5">B36</f>
        <v>5202</v>
      </c>
      <c r="D37">
        <f t="shared" ref="D37:D60" si="6">IF(B37-C37&lt;0,0,B37-C37)</f>
        <v>43</v>
      </c>
      <c r="E37" s="3">
        <f>Tabell6[[#This Row],[Att fördela]]</f>
        <v>-2.4285714285714284</v>
      </c>
      <c r="F37">
        <f>Tabell6[[#This Row],[Pris/m3 ink.moms]]</f>
        <v>15.780000000000001</v>
      </c>
      <c r="G37" s="8">
        <f>(Tabell410111213141516171819202122[[#This Row],[Förbrukning]]+Tabell410111213141516171819202122[[#This Row],[Utjämning]])*Tabell410111213141516171819202122[[#This Row],[Kr/m3]]</f>
        <v>640.2171428571429</v>
      </c>
      <c r="H37" s="8">
        <f>Tabell6[[#This Row],[Summa fast avg/hushåll]]</f>
        <v>578.16714285714284</v>
      </c>
      <c r="I37" s="8">
        <f>Tabell6[[#This Row],[Medlems avg]]/14</f>
        <v>1000</v>
      </c>
      <c r="J37" s="8"/>
      <c r="K37" s="8">
        <f>IF(Tabell410111213141516171819202122[[#This Row],[Nuvarande]], SUM(Tabell410111213141516171819202122[[#This Row],[Summa förbrukning]:[Lån]])+Tabell410111213141516171819202122[[#This Row],[Korr]],0)</f>
        <v>2218.3842857142859</v>
      </c>
      <c r="L37" s="2"/>
    </row>
    <row r="38" spans="1:12" x14ac:dyDescent="0.25">
      <c r="A38" s="4">
        <f>Tabell6[[#This Row],[Avläsnings datum]]</f>
        <v>44561</v>
      </c>
      <c r="B38">
        <v>5284</v>
      </c>
      <c r="C38">
        <f t="shared" si="5"/>
        <v>5245</v>
      </c>
      <c r="D38">
        <f t="shared" si="6"/>
        <v>39</v>
      </c>
      <c r="E38" s="3">
        <f>Tabell6[[#This Row],[Att fördela]]</f>
        <v>-1.3571428571428572</v>
      </c>
      <c r="F38">
        <f>Tabell6[[#This Row],[Pris/m3 ink.moms]]</f>
        <v>15.780000000000001</v>
      </c>
      <c r="G38" s="8">
        <f>(Tabell410111213141516171819202122[[#This Row],[Förbrukning]]+Tabell410111213141516171819202122[[#This Row],[Utjämning]])*Tabell410111213141516171819202122[[#This Row],[Kr/m3]]</f>
        <v>594.00428571428586</v>
      </c>
      <c r="H38" s="8">
        <f>Tabell6[[#This Row],[Summa fast avg/hushåll]]</f>
        <v>578.16714285714284</v>
      </c>
      <c r="I38" s="8">
        <f>Tabell6[[#This Row],[Medlems avg]]/14</f>
        <v>1000</v>
      </c>
      <c r="J38" s="8"/>
      <c r="K38" s="8">
        <f>IF(Tabell410111213141516171819202122[[#This Row],[Nuvarande]], SUM(Tabell410111213141516171819202122[[#This Row],[Summa förbrukning]:[Lån]])+Tabell410111213141516171819202122[[#This Row],[Korr]],0)</f>
        <v>2172.1714285714288</v>
      </c>
      <c r="L38" s="2"/>
    </row>
    <row r="39" spans="1:12" x14ac:dyDescent="0.25">
      <c r="A39" s="4">
        <f>Tabell6[[#This Row],[Avläsnings datum]]</f>
        <v>44681</v>
      </c>
      <c r="B39">
        <v>5322</v>
      </c>
      <c r="C39">
        <f t="shared" si="5"/>
        <v>5284</v>
      </c>
      <c r="D39">
        <f t="shared" si="6"/>
        <v>38</v>
      </c>
      <c r="E39" s="3">
        <f>Tabell6[[#This Row],[Att fördela]]</f>
        <v>-2.7142857142857144</v>
      </c>
      <c r="F39">
        <f>Tabell6[[#This Row],[Pris/m3 ink.moms]]</f>
        <v>15.780000000000001</v>
      </c>
      <c r="G39" s="8">
        <f>(Tabell410111213141516171819202122[[#This Row],[Förbrukning]]+Tabell410111213141516171819202122[[#This Row],[Utjämning]])*Tabell410111213141516171819202122[[#This Row],[Kr/m3]]</f>
        <v>556.80857142857144</v>
      </c>
      <c r="H39" s="8">
        <f>Tabell6[[#This Row],[Summa fast avg/hushåll]]</f>
        <v>578.16714285714284</v>
      </c>
      <c r="I39" s="8">
        <f>Tabell6[[#This Row],[Medlems avg]]/14</f>
        <v>1000</v>
      </c>
      <c r="J39" s="8"/>
      <c r="K39" s="8">
        <f>IF(Tabell410111213141516171819202122[[#This Row],[Nuvarande]], SUM(Tabell410111213141516171819202122[[#This Row],[Summa förbrukning]:[Lån]])+Tabell410111213141516171819202122[[#This Row],[Korr]],0)</f>
        <v>2134.9757142857143</v>
      </c>
      <c r="L39" s="2"/>
    </row>
    <row r="40" spans="1:12" x14ac:dyDescent="0.25">
      <c r="A40" s="4">
        <f>Tabell6[[#This Row],[Avläsnings datum]]</f>
        <v>44804</v>
      </c>
      <c r="B40">
        <v>5360</v>
      </c>
      <c r="C40">
        <f t="shared" si="5"/>
        <v>5322</v>
      </c>
      <c r="D40">
        <f t="shared" si="6"/>
        <v>38</v>
      </c>
      <c r="E40" s="3">
        <f>Tabell6[[#This Row],[Att fördela]]</f>
        <v>-7.1428571428571425E-2</v>
      </c>
      <c r="F40">
        <f>Tabell6[[#This Row],[Pris/m3 ink.moms]]</f>
        <v>15.780000000000001</v>
      </c>
      <c r="G40" s="8">
        <f>(Tabell410111213141516171819202122[[#This Row],[Förbrukning]]+Tabell410111213141516171819202122[[#This Row],[Utjämning]])*Tabell410111213141516171819202122[[#This Row],[Kr/m3]]</f>
        <v>598.51285714285723</v>
      </c>
      <c r="H40" s="8">
        <f>Tabell6[[#This Row],[Summa fast avg/hushåll]]</f>
        <v>578.16714285714284</v>
      </c>
      <c r="I40" s="8">
        <f>Tabell6[[#This Row],[Medlems avg]]/14</f>
        <v>1000</v>
      </c>
      <c r="J40" s="8"/>
      <c r="K40" s="8">
        <f>IF(Tabell410111213141516171819202122[[#This Row],[Nuvarande]], SUM(Tabell410111213141516171819202122[[#This Row],[Summa förbrukning]:[Lån]])+Tabell410111213141516171819202122[[#This Row],[Korr]],0)</f>
        <v>2176.6800000000003</v>
      </c>
      <c r="L40" s="2"/>
    </row>
    <row r="41" spans="1:12" x14ac:dyDescent="0.25">
      <c r="A41" s="4">
        <f>Tabell6[[#This Row],[Avläsnings datum]]</f>
        <v>44926</v>
      </c>
      <c r="B41">
        <v>5398</v>
      </c>
      <c r="C41">
        <f t="shared" si="5"/>
        <v>5360</v>
      </c>
      <c r="D41">
        <f t="shared" si="6"/>
        <v>38</v>
      </c>
      <c r="E41" s="3">
        <f>Tabell6[[#This Row],[Att fördela]]</f>
        <v>0</v>
      </c>
      <c r="F41">
        <f>Tabell6[[#This Row],[Pris/m3 ink.moms]]</f>
        <v>15.780000000000001</v>
      </c>
      <c r="G41" s="8">
        <f>(Tabell410111213141516171819202122[[#This Row],[Förbrukning]]+Tabell410111213141516171819202122[[#This Row],[Utjämning]])*Tabell410111213141516171819202122[[#This Row],[Kr/m3]]</f>
        <v>599.6400000000001</v>
      </c>
      <c r="H41" s="8">
        <f>Tabell6[[#This Row],[Summa fast avg/hushåll]]</f>
        <v>578.16714285714284</v>
      </c>
      <c r="I41" s="8">
        <f>Tabell6[[#This Row],[Medlems avg]]/14</f>
        <v>1000</v>
      </c>
      <c r="J41" s="8"/>
      <c r="K41" s="8">
        <f>IF(Tabell410111213141516171819202122[[#This Row],[Nuvarande]], SUM(Tabell410111213141516171819202122[[#This Row],[Summa förbrukning]:[Lån]])+Tabell410111213141516171819202122[[#This Row],[Korr]],0)</f>
        <v>2177.8071428571429</v>
      </c>
      <c r="L41" s="2"/>
    </row>
    <row r="42" spans="1:12" x14ac:dyDescent="0.25">
      <c r="A42" s="4">
        <f>Tabell6[[#This Row],[Avläsnings datum]]</f>
        <v>45046</v>
      </c>
      <c r="B42">
        <v>5427</v>
      </c>
      <c r="C42">
        <f t="shared" si="5"/>
        <v>5398</v>
      </c>
      <c r="D42">
        <f t="shared" si="6"/>
        <v>29</v>
      </c>
      <c r="E42" s="3">
        <f>Tabell6[[#This Row],[Att fördela]]</f>
        <v>0.14285714285714285</v>
      </c>
      <c r="F42">
        <f>Tabell6[[#This Row],[Pris/m3 ink.moms]]</f>
        <v>17.829999999999998</v>
      </c>
      <c r="G42" s="8">
        <f>(Tabell410111213141516171819202122[[#This Row],[Förbrukning]]+Tabell410111213141516171819202122[[#This Row],[Utjämning]])*Tabell410111213141516171819202122[[#This Row],[Kr/m3]]</f>
        <v>519.61714285714277</v>
      </c>
      <c r="H42" s="8">
        <f>Tabell6[[#This Row],[Summa fast avg/hushåll]]</f>
        <v>652.99952380952379</v>
      </c>
      <c r="I42" s="8">
        <f>Tabell6[[#This Row],[Medlems avg]]/14</f>
        <v>1000</v>
      </c>
      <c r="J42" s="8"/>
      <c r="K42" s="8">
        <f>IF(Tabell410111213141516171819202122[[#This Row],[Nuvarande]], SUM(Tabell410111213141516171819202122[[#This Row],[Summa förbrukning]:[Lån]])+Tabell410111213141516171819202122[[#This Row],[Korr]],0)</f>
        <v>2172.6166666666668</v>
      </c>
      <c r="L42" s="2"/>
    </row>
    <row r="43" spans="1:12" x14ac:dyDescent="0.25">
      <c r="A43" s="4">
        <f>Tabell6[[#This Row],[Avläsnings datum]]</f>
        <v>45169</v>
      </c>
      <c r="B43">
        <v>5462</v>
      </c>
      <c r="C43">
        <f t="shared" si="5"/>
        <v>5427</v>
      </c>
      <c r="D43">
        <f t="shared" si="6"/>
        <v>35</v>
      </c>
      <c r="E43" s="3">
        <f>Tabell6[[#This Row],[Att fördela]]</f>
        <v>-2.2142857142857144</v>
      </c>
      <c r="F43">
        <f>Tabell6[[#This Row],[Pris/m3 ink.moms]]</f>
        <v>17.829999999999998</v>
      </c>
      <c r="G43" s="8">
        <f>(Tabell410111213141516171819202122[[#This Row],[Förbrukning]]+Tabell410111213141516171819202122[[#This Row],[Utjämning]])*Tabell410111213141516171819202122[[#This Row],[Kr/m3]]</f>
        <v>584.56928571428568</v>
      </c>
      <c r="H43" s="8">
        <f>Tabell6[[#This Row],[Summa fast avg/hushåll]]</f>
        <v>652.99952380952379</v>
      </c>
      <c r="I43" s="8">
        <f>Tabell6[[#This Row],[Medlems avg]]/14</f>
        <v>1000</v>
      </c>
      <c r="J43" s="8"/>
      <c r="K43" s="8">
        <f>IF(Tabell410111213141516171819202122[[#This Row],[Nuvarande]], SUM(Tabell410111213141516171819202122[[#This Row],[Summa förbrukning]:[Lån]])+Tabell410111213141516171819202122[[#This Row],[Korr]],0)</f>
        <v>2237.5688095238093</v>
      </c>
      <c r="L43" s="2"/>
    </row>
    <row r="44" spans="1:12" x14ac:dyDescent="0.25">
      <c r="A44" s="4">
        <f>Tabell6[[#This Row],[Avläsnings datum]]</f>
        <v>45291</v>
      </c>
      <c r="B44">
        <v>5500</v>
      </c>
      <c r="C44">
        <f t="shared" si="5"/>
        <v>5462</v>
      </c>
      <c r="D44">
        <f t="shared" si="6"/>
        <v>38</v>
      </c>
      <c r="E44" s="3">
        <f>Tabell6[[#This Row],[Att fördela]]</f>
        <v>-0.7857142857142857</v>
      </c>
      <c r="F44">
        <f>Tabell6[[#This Row],[Pris/m3 ink.moms]]</f>
        <v>17.829999999999998</v>
      </c>
      <c r="G44" s="8">
        <f>(Tabell410111213141516171819202122[[#This Row],[Förbrukning]]+Tabell410111213141516171819202122[[#This Row],[Utjämning]])*Tabell410111213141516171819202122[[#This Row],[Kr/m3]]</f>
        <v>663.53071428571423</v>
      </c>
      <c r="H44" s="8">
        <f>Tabell6[[#This Row],[Summa fast avg/hushåll]]</f>
        <v>652.99952380952379</v>
      </c>
      <c r="I44" s="8">
        <f>Tabell6[[#This Row],[Medlems avg]]/14</f>
        <v>1000</v>
      </c>
      <c r="J44" s="8"/>
      <c r="K44" s="8">
        <f>IF(Tabell410111213141516171819202122[[#This Row],[Nuvarande]], SUM(Tabell410111213141516171819202122[[#This Row],[Summa förbrukning]:[Lån]])+Tabell410111213141516171819202122[[#This Row],[Korr]],0)</f>
        <v>2316.530238095238</v>
      </c>
      <c r="L44" s="2"/>
    </row>
    <row r="45" spans="1:12" x14ac:dyDescent="0.25">
      <c r="A45" s="4">
        <f>Tabell6[[#This Row],[Avläsnings datum]]</f>
        <v>45412</v>
      </c>
      <c r="B45">
        <v>5530</v>
      </c>
      <c r="C45">
        <f t="shared" si="5"/>
        <v>5500</v>
      </c>
      <c r="D45">
        <f t="shared" si="6"/>
        <v>30</v>
      </c>
      <c r="E45" s="3">
        <f>Tabell6[[#This Row],[Att fördela]]</f>
        <v>-7.1428571428571425E-2</v>
      </c>
      <c r="F45">
        <f>Tabell6[[#This Row],[Pris/m3 ink.moms]]</f>
        <v>17.829999999999998</v>
      </c>
      <c r="G45" s="8">
        <f>(Tabell410111213141516171819202122[[#This Row],[Förbrukning]]+Tabell410111213141516171819202122[[#This Row],[Utjämning]])*Tabell410111213141516171819202122[[#This Row],[Kr/m3]]</f>
        <v>533.62642857142851</v>
      </c>
      <c r="H45" s="8">
        <f>Tabell6[[#This Row],[Summa fast avg/hushåll]]</f>
        <v>652.99952380952379</v>
      </c>
      <c r="I45" s="8">
        <f>Tabell6[[#This Row],[Medlems avg]]/14</f>
        <v>1000</v>
      </c>
      <c r="J45" s="8"/>
      <c r="K45" s="8">
        <f>IF(Tabell410111213141516171819202122[[#This Row],[Nuvarande]], SUM(Tabell410111213141516171819202122[[#This Row],[Summa förbrukning]:[Lån]])+Tabell410111213141516171819202122[[#This Row],[Korr]],0)</f>
        <v>2186.6259523809522</v>
      </c>
      <c r="L45" s="2"/>
    </row>
    <row r="46" spans="1:12" x14ac:dyDescent="0.25">
      <c r="A46" s="4">
        <f>Tabell6[[#This Row],[Avläsnings datum]]</f>
        <v>45535</v>
      </c>
      <c r="B46">
        <v>5577</v>
      </c>
      <c r="C46">
        <f t="shared" si="5"/>
        <v>5530</v>
      </c>
      <c r="D46">
        <f t="shared" si="6"/>
        <v>47</v>
      </c>
      <c r="E46" s="3">
        <f>Tabell6[[#This Row],[Att fördela]]</f>
        <v>-1.3571428571428572</v>
      </c>
      <c r="F46">
        <f>Tabell6[[#This Row],[Pris/m3 ink.moms]]</f>
        <v>21</v>
      </c>
      <c r="G46" s="8">
        <f>(Tabell410111213141516171819202122[[#This Row],[Förbrukning]]+Tabell410111213141516171819202122[[#This Row],[Utjämning]])*Tabell410111213141516171819202122[[#This Row],[Kr/m3]]</f>
        <v>958.50000000000011</v>
      </c>
      <c r="H46" s="8">
        <f>Tabell6[[#This Row],[Summa fast avg/hushåll]]</f>
        <v>763.97428571428566</v>
      </c>
      <c r="I46" s="8">
        <f>Tabell6[[#This Row],[Medlems avg]]/14</f>
        <v>1000</v>
      </c>
      <c r="J46" s="8"/>
      <c r="K46" s="8">
        <f>IF(Tabell410111213141516171819202122[[#This Row],[Nuvarande]], SUM(Tabell410111213141516171819202122[[#This Row],[Summa förbrukning]:[Lån]])+Tabell410111213141516171819202122[[#This Row],[Korr]],0)</f>
        <v>2722.4742857142855</v>
      </c>
      <c r="L46" s="2"/>
    </row>
    <row r="47" spans="1:12" x14ac:dyDescent="0.25">
      <c r="A47" s="4">
        <f>Tabell6[[#This Row],[Avläsnings datum]]</f>
        <v>45657</v>
      </c>
      <c r="B47">
        <v>5626</v>
      </c>
      <c r="C47">
        <f t="shared" si="5"/>
        <v>5577</v>
      </c>
      <c r="D47">
        <f t="shared" si="6"/>
        <v>49</v>
      </c>
      <c r="E47" s="3">
        <f>Tabell6[[#This Row],[Att fördela]]</f>
        <v>-1.7142857142857142</v>
      </c>
      <c r="F47">
        <f>Tabell6[[#This Row],[Pris/m3 ink.moms]]</f>
        <v>21</v>
      </c>
      <c r="G47" s="8">
        <f>(Tabell410111213141516171819202122[[#This Row],[Förbrukning]]+Tabell410111213141516171819202122[[#This Row],[Utjämning]])*Tabell410111213141516171819202122[[#This Row],[Kr/m3]]</f>
        <v>993</v>
      </c>
      <c r="H47" s="8">
        <f>Tabell6[[#This Row],[Summa fast avg/hushåll]]</f>
        <v>763.97428571428566</v>
      </c>
      <c r="I47" s="8">
        <f>Tabell6[[#This Row],[Medlems avg]]/14</f>
        <v>1000</v>
      </c>
      <c r="J47" s="8"/>
      <c r="K47" s="8">
        <f>IF(Tabell410111213141516171819202122[[#This Row],[Nuvarande]], SUM(Tabell410111213141516171819202122[[#This Row],[Summa förbrukning]:[Lån]])+Tabell410111213141516171819202122[[#This Row],[Korr]],0)</f>
        <v>2756.9742857142855</v>
      </c>
      <c r="L47" s="2"/>
    </row>
    <row r="48" spans="1:12" x14ac:dyDescent="0.25">
      <c r="A48" s="4">
        <f>Tabell6[[#This Row],[Avläsnings datum]]</f>
        <v>45777</v>
      </c>
      <c r="B48">
        <v>5657</v>
      </c>
      <c r="C48">
        <f t="shared" si="5"/>
        <v>5626</v>
      </c>
      <c r="D48">
        <f t="shared" si="6"/>
        <v>31</v>
      </c>
      <c r="E48" s="3">
        <f>Tabell6[[#This Row],[Att fördela]]</f>
        <v>-1.5</v>
      </c>
      <c r="F48">
        <f>Tabell6[[#This Row],[Pris/m3 ink.moms]]</f>
        <v>24</v>
      </c>
      <c r="G48" s="8">
        <f>(Tabell410111213141516171819202122[[#This Row],[Förbrukning]]+Tabell410111213141516171819202122[[#This Row],[Utjämning]])*Tabell410111213141516171819202122[[#This Row],[Kr/m3]]</f>
        <v>708</v>
      </c>
      <c r="H48" s="8">
        <f>Tabell6[[#This Row],[Summa fast avg/hushåll]]</f>
        <v>879.14738095238101</v>
      </c>
      <c r="I48" s="8">
        <f>Tabell6[[#This Row],[Medlems avg]]/14</f>
        <v>1000</v>
      </c>
      <c r="J48" s="8"/>
      <c r="K48" s="8">
        <f>IF(Tabell410111213141516171819202122[[#This Row],[Nuvarande]], SUM(Tabell410111213141516171819202122[[#This Row],[Summa förbrukning]:[Lån]])+Tabell410111213141516171819202122[[#This Row],[Korr]],0)</f>
        <v>2587.1473809523809</v>
      </c>
      <c r="L48" s="2"/>
    </row>
    <row r="49" spans="1:12" x14ac:dyDescent="0.25">
      <c r="A49" s="4">
        <f>Tabell6[[#This Row],[Avläsnings datum]]</f>
        <v>45900</v>
      </c>
      <c r="C49">
        <f t="shared" si="5"/>
        <v>5657</v>
      </c>
      <c r="D49">
        <f t="shared" si="6"/>
        <v>0</v>
      </c>
      <c r="E49" s="3">
        <f>Tabell6[[#This Row],[Att fördela]]</f>
        <v>0</v>
      </c>
      <c r="F49">
        <f>Tabell6[[#This Row],[Pris/m3 ink.moms]]</f>
        <v>24</v>
      </c>
      <c r="G49" s="8">
        <f>(Tabell410111213141516171819202122[[#This Row],[Förbrukning]]+Tabell410111213141516171819202122[[#This Row],[Utjämning]])*Tabell410111213141516171819202122[[#This Row],[Kr/m3]]</f>
        <v>0</v>
      </c>
      <c r="H49" s="8">
        <f>Tabell6[[#This Row],[Summa fast avg/hushåll]]</f>
        <v>879.14738095238101</v>
      </c>
      <c r="I49" s="8">
        <f>Tabell6[[#This Row],[Medlems avg]]/14</f>
        <v>1000</v>
      </c>
      <c r="J49" s="8"/>
      <c r="K49" s="8">
        <f>IF(Tabell410111213141516171819202122[[#This Row],[Nuvarande]], SUM(Tabell410111213141516171819202122[[#This Row],[Summa förbrukning]:[Lån]])+Tabell410111213141516171819202122[[#This Row],[Korr]],0)</f>
        <v>0</v>
      </c>
      <c r="L49" s="2"/>
    </row>
    <row r="50" spans="1:12" x14ac:dyDescent="0.25">
      <c r="A50" s="4">
        <f>Tabell6[[#This Row],[Avläsnings datum]]</f>
        <v>46022</v>
      </c>
      <c r="C50">
        <f t="shared" si="5"/>
        <v>0</v>
      </c>
      <c r="D50">
        <f t="shared" si="6"/>
        <v>0</v>
      </c>
      <c r="E50" s="3">
        <f>Tabell6[[#This Row],[Att fördela]]</f>
        <v>0</v>
      </c>
      <c r="F50">
        <f>Tabell6[[#This Row],[Pris/m3 ink.moms]]</f>
        <v>24</v>
      </c>
      <c r="G50" s="8">
        <f>(Tabell410111213141516171819202122[[#This Row],[Förbrukning]]+Tabell410111213141516171819202122[[#This Row],[Utjämning]])*Tabell410111213141516171819202122[[#This Row],[Kr/m3]]</f>
        <v>0</v>
      </c>
      <c r="H50" s="8">
        <f>Tabell6[[#This Row],[Summa fast avg/hushåll]]</f>
        <v>879.14738095238101</v>
      </c>
      <c r="I50" s="8">
        <f>Tabell6[[#This Row],[Medlems avg]]/14</f>
        <v>1000</v>
      </c>
      <c r="J50" s="8"/>
      <c r="K50" s="8">
        <f>IF(Tabell410111213141516171819202122[[#This Row],[Nuvarande]], SUM(Tabell410111213141516171819202122[[#This Row],[Summa förbrukning]:[Lån]])+Tabell410111213141516171819202122[[#This Row],[Korr]],0)</f>
        <v>0</v>
      </c>
      <c r="L50" s="2"/>
    </row>
    <row r="51" spans="1:12" x14ac:dyDescent="0.25">
      <c r="A51" s="4">
        <f>Tabell6[[#This Row],[Avläsnings datum]]</f>
        <v>46142</v>
      </c>
      <c r="C51">
        <f t="shared" si="5"/>
        <v>0</v>
      </c>
      <c r="D51">
        <f t="shared" si="6"/>
        <v>0</v>
      </c>
      <c r="E51" s="3">
        <f>Tabell6[[#This Row],[Att fördela]]</f>
        <v>0</v>
      </c>
      <c r="F51">
        <f>Tabell6[[#This Row],[Pris/m3 ink.moms]]</f>
        <v>24</v>
      </c>
      <c r="G51" s="8">
        <f>(Tabell410111213141516171819202122[[#This Row],[Förbrukning]]+Tabell410111213141516171819202122[[#This Row],[Utjämning]])*Tabell410111213141516171819202122[[#This Row],[Kr/m3]]</f>
        <v>0</v>
      </c>
      <c r="H51" s="8">
        <f>Tabell6[[#This Row],[Summa fast avg/hushåll]]</f>
        <v>879.14738095238101</v>
      </c>
      <c r="I51" s="8">
        <f>Tabell6[[#This Row],[Medlems avg]]/14</f>
        <v>1000</v>
      </c>
      <c r="J51" s="8"/>
      <c r="K51" s="8">
        <f>IF(Tabell410111213141516171819202122[[#This Row],[Nuvarande]], SUM(Tabell410111213141516171819202122[[#This Row],[Summa förbrukning]:[Lån]])+Tabell410111213141516171819202122[[#This Row],[Korr]],0)</f>
        <v>0</v>
      </c>
      <c r="L51" s="2"/>
    </row>
    <row r="52" spans="1:12" x14ac:dyDescent="0.25">
      <c r="A52" s="4">
        <f>Tabell6[[#This Row],[Avläsnings datum]]</f>
        <v>46265</v>
      </c>
      <c r="C52">
        <f t="shared" si="5"/>
        <v>0</v>
      </c>
      <c r="D52">
        <f t="shared" si="6"/>
        <v>0</v>
      </c>
      <c r="E52" s="3">
        <f>Tabell6[[#This Row],[Att fördela]]</f>
        <v>0</v>
      </c>
      <c r="F52">
        <f>Tabell6[[#This Row],[Pris/m3 ink.moms]]</f>
        <v>24</v>
      </c>
      <c r="G52" s="8">
        <f>(Tabell410111213141516171819202122[[#This Row],[Förbrukning]]+Tabell410111213141516171819202122[[#This Row],[Utjämning]])*Tabell410111213141516171819202122[[#This Row],[Kr/m3]]</f>
        <v>0</v>
      </c>
      <c r="H52" s="8">
        <f>Tabell6[[#This Row],[Summa fast avg/hushåll]]</f>
        <v>879.14738095238101</v>
      </c>
      <c r="I52" s="8">
        <f>Tabell6[[#This Row],[Medlems avg]]/14</f>
        <v>1000</v>
      </c>
      <c r="J52" s="8"/>
      <c r="K52" s="8">
        <f>IF(Tabell410111213141516171819202122[[#This Row],[Nuvarande]], SUM(Tabell410111213141516171819202122[[#This Row],[Summa förbrukning]:[Lån]])+Tabell410111213141516171819202122[[#This Row],[Korr]],0)</f>
        <v>0</v>
      </c>
      <c r="L52" s="2"/>
    </row>
    <row r="53" spans="1:12" x14ac:dyDescent="0.25">
      <c r="A53" s="4">
        <f>Tabell6[[#This Row],[Avläsnings datum]]</f>
        <v>46387</v>
      </c>
      <c r="C53">
        <f t="shared" si="5"/>
        <v>0</v>
      </c>
      <c r="D53">
        <f t="shared" si="6"/>
        <v>0</v>
      </c>
      <c r="E53" s="3">
        <f>Tabell6[[#This Row],[Att fördela]]</f>
        <v>0</v>
      </c>
      <c r="F53">
        <f>Tabell6[[#This Row],[Pris/m3 ink.moms]]</f>
        <v>24</v>
      </c>
      <c r="G53" s="8">
        <f>(Tabell410111213141516171819202122[[#This Row],[Förbrukning]]+Tabell410111213141516171819202122[[#This Row],[Utjämning]])*Tabell410111213141516171819202122[[#This Row],[Kr/m3]]</f>
        <v>0</v>
      </c>
      <c r="H53" s="8">
        <f>Tabell6[[#This Row],[Summa fast avg/hushåll]]</f>
        <v>879.14738095238101</v>
      </c>
      <c r="I53" s="8">
        <f>Tabell6[[#This Row],[Medlems avg]]/14</f>
        <v>1000</v>
      </c>
      <c r="J53" s="8"/>
      <c r="K53" s="8">
        <f>IF(Tabell410111213141516171819202122[[#This Row],[Nuvarande]], SUM(Tabell410111213141516171819202122[[#This Row],[Summa förbrukning]:[Lån]])+Tabell410111213141516171819202122[[#This Row],[Korr]],0)</f>
        <v>0</v>
      </c>
      <c r="L53" s="2"/>
    </row>
    <row r="54" spans="1:12" x14ac:dyDescent="0.25">
      <c r="A54" s="4">
        <f>Tabell6[[#This Row],[Avläsnings datum]]</f>
        <v>46507</v>
      </c>
      <c r="C54">
        <f t="shared" si="5"/>
        <v>0</v>
      </c>
      <c r="D54">
        <f t="shared" si="6"/>
        <v>0</v>
      </c>
      <c r="E54" s="3">
        <f>Tabell6[[#This Row],[Att fördela]]</f>
        <v>0</v>
      </c>
      <c r="F54">
        <f>Tabell6[[#This Row],[Pris/m3 ink.moms]]</f>
        <v>24</v>
      </c>
      <c r="G54" s="8">
        <f>(Tabell410111213141516171819202122[[#This Row],[Förbrukning]]+Tabell410111213141516171819202122[[#This Row],[Utjämning]])*Tabell410111213141516171819202122[[#This Row],[Kr/m3]]</f>
        <v>0</v>
      </c>
      <c r="H54" s="8">
        <f>Tabell6[[#This Row],[Summa fast avg/hushåll]]</f>
        <v>879.14738095238101</v>
      </c>
      <c r="I54" s="8">
        <f>Tabell6[[#This Row],[Medlems avg]]/14</f>
        <v>1000</v>
      </c>
      <c r="J54" s="8"/>
      <c r="K54" s="8">
        <f>IF(Tabell410111213141516171819202122[[#This Row],[Nuvarande]], SUM(Tabell410111213141516171819202122[[#This Row],[Summa förbrukning]:[Lån]])+Tabell410111213141516171819202122[[#This Row],[Korr]],0)</f>
        <v>0</v>
      </c>
      <c r="L54" s="2"/>
    </row>
    <row r="55" spans="1:12" x14ac:dyDescent="0.25">
      <c r="A55" s="4">
        <f>Tabell6[[#This Row],[Avläsnings datum]]</f>
        <v>46630</v>
      </c>
      <c r="C55">
        <f t="shared" si="5"/>
        <v>0</v>
      </c>
      <c r="D55">
        <f t="shared" si="6"/>
        <v>0</v>
      </c>
      <c r="E55" s="3">
        <f>Tabell6[[#This Row],[Att fördela]]</f>
        <v>0</v>
      </c>
      <c r="F55">
        <f>Tabell6[[#This Row],[Pris/m3 ink.moms]]</f>
        <v>24</v>
      </c>
      <c r="G55" s="8">
        <f>(Tabell410111213141516171819202122[[#This Row],[Förbrukning]]+Tabell410111213141516171819202122[[#This Row],[Utjämning]])*Tabell410111213141516171819202122[[#This Row],[Kr/m3]]</f>
        <v>0</v>
      </c>
      <c r="H55" s="8">
        <f>Tabell6[[#This Row],[Summa fast avg/hushåll]]</f>
        <v>879.14738095238101</v>
      </c>
      <c r="I55" s="8">
        <f>Tabell6[[#This Row],[Medlems avg]]/14</f>
        <v>1000</v>
      </c>
      <c r="J55" s="8"/>
      <c r="K55" s="8">
        <f>IF(Tabell410111213141516171819202122[[#This Row],[Nuvarande]], SUM(Tabell410111213141516171819202122[[#This Row],[Summa förbrukning]:[Lån]])+Tabell410111213141516171819202122[[#This Row],[Korr]],0)</f>
        <v>0</v>
      </c>
      <c r="L55" s="2"/>
    </row>
    <row r="56" spans="1:12" x14ac:dyDescent="0.25">
      <c r="A56" s="4">
        <f>Tabell6[[#This Row],[Avläsnings datum]]</f>
        <v>46752</v>
      </c>
      <c r="C56">
        <f t="shared" si="5"/>
        <v>0</v>
      </c>
      <c r="D56">
        <f t="shared" si="6"/>
        <v>0</v>
      </c>
      <c r="E56" s="3">
        <f>Tabell6[[#This Row],[Att fördela]]</f>
        <v>0</v>
      </c>
      <c r="F56">
        <f>Tabell6[[#This Row],[Pris/m3 ink.moms]]</f>
        <v>24</v>
      </c>
      <c r="G56" s="8">
        <f>(Tabell410111213141516171819202122[[#This Row],[Förbrukning]]+Tabell410111213141516171819202122[[#This Row],[Utjämning]])*Tabell410111213141516171819202122[[#This Row],[Kr/m3]]</f>
        <v>0</v>
      </c>
      <c r="H56" s="8">
        <f>Tabell6[[#This Row],[Summa fast avg/hushåll]]</f>
        <v>879.14738095238101</v>
      </c>
      <c r="I56" s="8">
        <f>Tabell6[[#This Row],[Medlems avg]]/14</f>
        <v>1000</v>
      </c>
      <c r="J56" s="8"/>
      <c r="K56" s="8">
        <f>IF(Tabell410111213141516171819202122[[#This Row],[Nuvarande]], SUM(Tabell410111213141516171819202122[[#This Row],[Summa förbrukning]:[Lån]])+Tabell410111213141516171819202122[[#This Row],[Korr]],0)</f>
        <v>0</v>
      </c>
      <c r="L56" s="2"/>
    </row>
    <row r="57" spans="1:12" x14ac:dyDescent="0.25">
      <c r="A57" s="4">
        <f>Tabell6[[#This Row],[Avläsnings datum]]</f>
        <v>46873</v>
      </c>
      <c r="C57">
        <f t="shared" si="5"/>
        <v>0</v>
      </c>
      <c r="D57">
        <f t="shared" si="6"/>
        <v>0</v>
      </c>
      <c r="E57" s="3">
        <f>Tabell6[[#This Row],[Att fördela]]</f>
        <v>0</v>
      </c>
      <c r="F57">
        <f>Tabell6[[#This Row],[Pris/m3 ink.moms]]</f>
        <v>24</v>
      </c>
      <c r="G57" s="8">
        <f>(Tabell410111213141516171819202122[[#This Row],[Förbrukning]]+Tabell410111213141516171819202122[[#This Row],[Utjämning]])*Tabell410111213141516171819202122[[#This Row],[Kr/m3]]</f>
        <v>0</v>
      </c>
      <c r="H57" s="8">
        <f>Tabell6[[#This Row],[Summa fast avg/hushåll]]</f>
        <v>879.14738095238101</v>
      </c>
      <c r="I57" s="8">
        <f>Tabell6[[#This Row],[Medlems avg]]/14</f>
        <v>1000</v>
      </c>
      <c r="J57" s="8"/>
      <c r="K57" s="8">
        <f>IF(Tabell410111213141516171819202122[[#This Row],[Nuvarande]], SUM(Tabell410111213141516171819202122[[#This Row],[Summa förbrukning]:[Lån]])+Tabell410111213141516171819202122[[#This Row],[Korr]],0)</f>
        <v>0</v>
      </c>
      <c r="L57" s="2"/>
    </row>
    <row r="58" spans="1:12" x14ac:dyDescent="0.25">
      <c r="A58" s="4">
        <f>Tabell6[[#This Row],[Avläsnings datum]]</f>
        <v>46996</v>
      </c>
      <c r="C58">
        <f t="shared" si="5"/>
        <v>0</v>
      </c>
      <c r="D58">
        <f t="shared" si="6"/>
        <v>0</v>
      </c>
      <c r="E58" s="3">
        <f>Tabell6[[#This Row],[Att fördela]]</f>
        <v>0</v>
      </c>
      <c r="F58">
        <f>Tabell6[[#This Row],[Pris/m3 ink.moms]]</f>
        <v>24</v>
      </c>
      <c r="G58" s="8">
        <f>(Tabell410111213141516171819202122[[#This Row],[Förbrukning]]+Tabell410111213141516171819202122[[#This Row],[Utjämning]])*Tabell410111213141516171819202122[[#This Row],[Kr/m3]]</f>
        <v>0</v>
      </c>
      <c r="H58" s="8">
        <f>Tabell6[[#This Row],[Summa fast avg/hushåll]]</f>
        <v>879.14738095238101</v>
      </c>
      <c r="I58" s="8">
        <f>Tabell6[[#This Row],[Medlems avg]]/14</f>
        <v>1000</v>
      </c>
      <c r="J58" s="8"/>
      <c r="K58" s="8">
        <f>IF(Tabell410111213141516171819202122[[#This Row],[Nuvarande]], SUM(Tabell410111213141516171819202122[[#This Row],[Summa förbrukning]:[Lån]])+Tabell410111213141516171819202122[[#This Row],[Korr]],0)</f>
        <v>0</v>
      </c>
      <c r="L58" s="2"/>
    </row>
    <row r="59" spans="1:12" x14ac:dyDescent="0.25">
      <c r="A59" s="4">
        <f>Tabell6[[#This Row],[Avläsnings datum]]</f>
        <v>47118</v>
      </c>
      <c r="C59">
        <f t="shared" si="5"/>
        <v>0</v>
      </c>
      <c r="D59">
        <f t="shared" si="6"/>
        <v>0</v>
      </c>
      <c r="E59" s="3">
        <f>Tabell6[[#This Row],[Att fördela]]</f>
        <v>0</v>
      </c>
      <c r="F59">
        <f>Tabell6[[#This Row],[Pris/m3 ink.moms]]</f>
        <v>24</v>
      </c>
      <c r="G59" s="8">
        <f>(Tabell410111213141516171819202122[[#This Row],[Förbrukning]]+Tabell410111213141516171819202122[[#This Row],[Utjämning]])*Tabell410111213141516171819202122[[#This Row],[Kr/m3]]</f>
        <v>0</v>
      </c>
      <c r="H59" s="8">
        <f>Tabell6[[#This Row],[Summa fast avg/hushåll]]</f>
        <v>879.14738095238101</v>
      </c>
      <c r="I59" s="8">
        <f>Tabell6[[#This Row],[Medlems avg]]/14</f>
        <v>1000</v>
      </c>
      <c r="J59" s="8"/>
      <c r="K59" s="8">
        <f>IF(Tabell410111213141516171819202122[[#This Row],[Nuvarande]], SUM(Tabell410111213141516171819202122[[#This Row],[Summa förbrukning]:[Lån]])+Tabell410111213141516171819202122[[#This Row],[Korr]],0)</f>
        <v>0</v>
      </c>
      <c r="L59" s="2"/>
    </row>
    <row r="60" spans="1:12" x14ac:dyDescent="0.25">
      <c r="A60" s="4">
        <f>Tabell6[[#This Row],[Avläsnings datum]]</f>
        <v>47238</v>
      </c>
      <c r="C60">
        <f t="shared" si="5"/>
        <v>0</v>
      </c>
      <c r="D60">
        <f t="shared" si="6"/>
        <v>0</v>
      </c>
      <c r="E60" s="3">
        <f>Tabell6[[#This Row],[Att fördela]]</f>
        <v>0</v>
      </c>
      <c r="F60">
        <f>Tabell6[[#This Row],[Pris/m3 ink.moms]]</f>
        <v>24</v>
      </c>
      <c r="G60" s="8">
        <f>(Tabell410111213141516171819202122[[#This Row],[Förbrukning]]+Tabell410111213141516171819202122[[#This Row],[Utjämning]])*Tabell410111213141516171819202122[[#This Row],[Kr/m3]]</f>
        <v>0</v>
      </c>
      <c r="H60" s="8">
        <f>Tabell6[[#This Row],[Summa fast avg/hushåll]]</f>
        <v>879.14738095238101</v>
      </c>
      <c r="I60" s="8">
        <f>Tabell6[[#This Row],[Medlems avg]]/14</f>
        <v>1000</v>
      </c>
      <c r="J60" s="8"/>
      <c r="K60" s="8">
        <f>IF(Tabell410111213141516171819202122[[#This Row],[Nuvarande]], SUM(Tabell410111213141516171819202122[[#This Row],[Summa förbrukning]:[Lån]])+Tabell410111213141516171819202122[[#This Row],[Korr]],0)</f>
        <v>0</v>
      </c>
      <c r="L60" s="2"/>
    </row>
  </sheetData>
  <pageMargins left="0.70866141732283472" right="0.70866141732283472" top="0.74803149606299213" bottom="0.74803149606299213" header="0.31496062992125984" footer="0.31496062992125984"/>
  <pageSetup paperSize="9" scale="110" orientation="portrait" r:id="rId1"/>
  <ignoredErrors>
    <ignoredError sqref="A21:A36" calculatedColumn="1"/>
  </ignoredErrors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Blad32"/>
  <dimension ref="A1:F292"/>
  <sheetViews>
    <sheetView view="pageLayout" topLeftCell="A129" zoomScaleNormal="100" workbookViewId="0">
      <selection activeCell="D6" sqref="D6"/>
    </sheetView>
  </sheetViews>
  <sheetFormatPr defaultRowHeight="15" x14ac:dyDescent="0.25"/>
  <cols>
    <col min="1" max="1" width="20.7109375" customWidth="1"/>
    <col min="2" max="2" width="17.140625" customWidth="1"/>
    <col min="3" max="3" width="13.5703125" customWidth="1"/>
    <col min="4" max="4" width="16.140625" customWidth="1"/>
    <col min="5" max="5" width="9.140625" customWidth="1"/>
  </cols>
  <sheetData>
    <row r="1" spans="1:6" ht="18" x14ac:dyDescent="0.25">
      <c r="A1" s="10" t="s">
        <v>44</v>
      </c>
      <c r="B1" s="12">
        <f>Gräsv.6!$A$1</f>
        <v>6</v>
      </c>
      <c r="C1" s="10"/>
      <c r="D1" s="10"/>
      <c r="E1" s="10"/>
      <c r="F1" s="10"/>
    </row>
    <row r="2" spans="1:6" ht="18" x14ac:dyDescent="0.25">
      <c r="A2" s="10"/>
      <c r="B2" s="12"/>
      <c r="C2" s="10"/>
      <c r="D2" s="10"/>
      <c r="E2" s="10"/>
      <c r="F2" s="10"/>
    </row>
    <row r="3" spans="1:6" ht="18" x14ac:dyDescent="0.25">
      <c r="A3" s="10"/>
      <c r="B3" s="12"/>
      <c r="C3" s="10"/>
      <c r="D3" s="10"/>
      <c r="E3" s="10"/>
      <c r="F3" s="10"/>
    </row>
    <row r="4" spans="1:6" ht="18" x14ac:dyDescent="0.25">
      <c r="A4" s="10" t="s">
        <v>45</v>
      </c>
      <c r="B4" s="10"/>
      <c r="C4" s="10"/>
      <c r="D4" s="10"/>
      <c r="E4" s="10"/>
      <c r="F4" s="10"/>
    </row>
    <row r="5" spans="1:6" ht="18" x14ac:dyDescent="0.25">
      <c r="A5" s="10"/>
      <c r="B5" s="10"/>
      <c r="C5" s="10"/>
      <c r="D5" s="10"/>
      <c r="E5" s="10"/>
      <c r="F5" s="10"/>
    </row>
    <row r="6" spans="1:6" ht="18" x14ac:dyDescent="0.25">
      <c r="A6" s="10" t="s">
        <v>46</v>
      </c>
      <c r="B6" s="10"/>
      <c r="C6" s="10"/>
      <c r="D6" s="13">
        <f>Gräsv.6!$B$3</f>
        <v>2502</v>
      </c>
      <c r="E6" s="10" t="s">
        <v>47</v>
      </c>
      <c r="F6" s="10"/>
    </row>
    <row r="7" spans="1:6" ht="18" x14ac:dyDescent="0.25">
      <c r="A7" s="10"/>
      <c r="B7" s="10"/>
      <c r="C7" s="10"/>
      <c r="D7" s="10"/>
      <c r="E7" s="10"/>
      <c r="F7" s="10"/>
    </row>
    <row r="8" spans="1:6" ht="18" x14ac:dyDescent="0.25">
      <c r="A8" s="10"/>
      <c r="B8" s="10"/>
      <c r="C8" s="10"/>
      <c r="D8" s="10"/>
      <c r="E8" s="10"/>
      <c r="F8" s="10"/>
    </row>
    <row r="9" spans="1:6" ht="18.75" thickBot="1" x14ac:dyDescent="0.3">
      <c r="A9" s="10" t="s">
        <v>48</v>
      </c>
      <c r="B9" s="11">
        <f>'Huvud mätare'!$A$2</f>
        <v>45777</v>
      </c>
      <c r="C9" s="10" t="s">
        <v>49</v>
      </c>
      <c r="D9" s="14"/>
    </row>
    <row r="10" spans="1:6" ht="18" x14ac:dyDescent="0.25">
      <c r="A10" s="10"/>
      <c r="B10" s="10"/>
      <c r="C10" s="10"/>
      <c r="D10" s="10"/>
      <c r="E10" s="10"/>
      <c r="F10" s="10"/>
    </row>
    <row r="11" spans="1:6" ht="18" x14ac:dyDescent="0.25">
      <c r="A11" s="10"/>
      <c r="B11" s="10"/>
      <c r="C11" s="10"/>
      <c r="D11" s="10"/>
      <c r="E11" s="10"/>
      <c r="F11" s="10"/>
    </row>
    <row r="12" spans="1:6" ht="18" x14ac:dyDescent="0.25">
      <c r="A12" s="10" t="s">
        <v>50</v>
      </c>
      <c r="B12" s="10"/>
      <c r="C12" s="10"/>
      <c r="D12" s="10"/>
      <c r="E12" s="10"/>
      <c r="F12" s="10"/>
    </row>
    <row r="13" spans="1:6" ht="18" x14ac:dyDescent="0.25">
      <c r="A13" s="10"/>
      <c r="B13" s="10"/>
      <c r="C13" s="10"/>
      <c r="D13" s="10"/>
      <c r="E13" s="10"/>
      <c r="F13" s="10"/>
    </row>
    <row r="14" spans="1:6" ht="36.200000000000003" customHeight="1" x14ac:dyDescent="0.25">
      <c r="A14" s="69"/>
      <c r="B14" s="69"/>
      <c r="C14" s="69"/>
      <c r="D14" s="69"/>
      <c r="E14" s="69"/>
      <c r="F14" s="69"/>
    </row>
    <row r="15" spans="1:6" ht="18" x14ac:dyDescent="0.25">
      <c r="A15" s="10"/>
      <c r="B15" s="10"/>
      <c r="C15" s="10"/>
      <c r="D15" s="10"/>
      <c r="E15" s="10"/>
      <c r="F15" s="10"/>
    </row>
    <row r="16" spans="1:6" ht="18" x14ac:dyDescent="0.25">
      <c r="A16" s="10"/>
      <c r="B16" s="10"/>
      <c r="C16" s="10"/>
      <c r="D16" s="10"/>
      <c r="E16" s="10"/>
      <c r="F16" s="10"/>
    </row>
    <row r="17" spans="1:6" ht="18" x14ac:dyDescent="0.25">
      <c r="A17" s="10"/>
      <c r="B17" s="10"/>
      <c r="C17" s="10"/>
      <c r="D17" s="10"/>
      <c r="E17" s="10"/>
      <c r="F17" s="10"/>
    </row>
    <row r="18" spans="1:6" ht="18" x14ac:dyDescent="0.25">
      <c r="A18" s="10"/>
      <c r="B18" s="10"/>
      <c r="C18" s="10"/>
      <c r="D18" s="10"/>
      <c r="E18" s="10"/>
      <c r="F18" s="10"/>
    </row>
    <row r="19" spans="1:6" ht="18" x14ac:dyDescent="0.25">
      <c r="A19" s="10"/>
      <c r="B19" s="12"/>
      <c r="C19" s="10"/>
      <c r="D19" s="10"/>
      <c r="E19" s="10"/>
      <c r="F19" s="10"/>
    </row>
    <row r="20" spans="1:6" s="34" customFormat="1" ht="18" x14ac:dyDescent="0.25">
      <c r="A20" s="32"/>
      <c r="B20" s="33"/>
      <c r="C20" s="32"/>
      <c r="D20" s="32"/>
      <c r="E20" s="32"/>
      <c r="F20" s="32"/>
    </row>
    <row r="21" spans="1:6" ht="18" x14ac:dyDescent="0.25">
      <c r="A21" s="10"/>
      <c r="B21" s="12"/>
      <c r="C21" s="10"/>
      <c r="D21" s="10"/>
      <c r="E21" s="10"/>
      <c r="F21" s="10"/>
    </row>
    <row r="22" spans="1:6" ht="18" x14ac:dyDescent="0.25">
      <c r="A22" s="10" t="s">
        <v>44</v>
      </c>
      <c r="B22" s="12">
        <f>Gräsv.8!$A$1</f>
        <v>8</v>
      </c>
      <c r="C22" s="10"/>
      <c r="D22" s="10"/>
      <c r="E22" s="10"/>
      <c r="F22" s="10"/>
    </row>
    <row r="23" spans="1:6" ht="18" x14ac:dyDescent="0.25">
      <c r="A23" s="10"/>
      <c r="B23" s="12"/>
      <c r="C23" s="10"/>
      <c r="D23" s="10"/>
      <c r="E23" s="10"/>
      <c r="F23" s="10"/>
    </row>
    <row r="24" spans="1:6" ht="18" x14ac:dyDescent="0.25">
      <c r="A24" s="10"/>
      <c r="B24" s="12"/>
      <c r="C24" s="10"/>
      <c r="D24" s="10"/>
      <c r="E24" s="10"/>
      <c r="F24" s="10"/>
    </row>
    <row r="25" spans="1:6" ht="18" x14ac:dyDescent="0.25">
      <c r="A25" s="10" t="s">
        <v>45</v>
      </c>
      <c r="B25" s="10"/>
      <c r="C25" s="10"/>
      <c r="D25" s="10"/>
      <c r="E25" s="10"/>
      <c r="F25" s="10"/>
    </row>
    <row r="26" spans="1:6" ht="18" x14ac:dyDescent="0.25">
      <c r="A26" s="10"/>
      <c r="B26" s="10"/>
      <c r="C26" s="10"/>
      <c r="D26" s="10"/>
      <c r="E26" s="10"/>
      <c r="F26" s="10"/>
    </row>
    <row r="27" spans="1:6" ht="18" x14ac:dyDescent="0.25">
      <c r="A27" s="10" t="s">
        <v>46</v>
      </c>
      <c r="B27" s="10"/>
      <c r="C27" s="10"/>
      <c r="D27" s="13">
        <f>Gräsv.8!$B$3</f>
        <v>8112</v>
      </c>
      <c r="E27" s="10" t="s">
        <v>47</v>
      </c>
      <c r="F27" s="10"/>
    </row>
    <row r="28" spans="1:6" ht="18" x14ac:dyDescent="0.25">
      <c r="A28" s="10"/>
      <c r="B28" s="10"/>
      <c r="C28" s="10"/>
      <c r="D28" s="10"/>
      <c r="E28" s="10"/>
      <c r="F28" s="10"/>
    </row>
    <row r="29" spans="1:6" ht="18" x14ac:dyDescent="0.25">
      <c r="A29" s="10"/>
      <c r="B29" s="10"/>
      <c r="C29" s="10"/>
      <c r="D29" s="10"/>
      <c r="E29" s="10"/>
      <c r="F29" s="10"/>
    </row>
    <row r="30" spans="1:6" ht="18.75" thickBot="1" x14ac:dyDescent="0.3">
      <c r="A30" s="10" t="s">
        <v>48</v>
      </c>
      <c r="B30" s="11">
        <f>'Huvud mätare'!$A$2</f>
        <v>45777</v>
      </c>
      <c r="C30" s="10" t="s">
        <v>49</v>
      </c>
      <c r="D30" s="14"/>
    </row>
    <row r="31" spans="1:6" ht="18" x14ac:dyDescent="0.25">
      <c r="A31" s="10"/>
      <c r="B31" s="10"/>
      <c r="C31" s="10"/>
      <c r="D31" s="10"/>
      <c r="E31" s="10"/>
      <c r="F31" s="10"/>
    </row>
    <row r="32" spans="1:6" ht="18" x14ac:dyDescent="0.25">
      <c r="A32" s="10"/>
      <c r="B32" s="10"/>
      <c r="C32" s="10"/>
      <c r="D32" s="10"/>
      <c r="E32" s="10"/>
      <c r="F32" s="10"/>
    </row>
    <row r="33" spans="1:6" ht="18" x14ac:dyDescent="0.25">
      <c r="A33" s="10" t="s">
        <v>50</v>
      </c>
      <c r="B33" s="10"/>
      <c r="C33" s="10"/>
      <c r="D33" s="10"/>
      <c r="E33" s="10"/>
      <c r="F33" s="10"/>
    </row>
    <row r="34" spans="1:6" ht="18" x14ac:dyDescent="0.25">
      <c r="A34" s="10"/>
      <c r="B34" s="10"/>
      <c r="C34" s="10"/>
      <c r="D34" s="10"/>
      <c r="E34" s="10"/>
      <c r="F34" s="10"/>
    </row>
    <row r="43" spans="1:6" ht="18" x14ac:dyDescent="0.25">
      <c r="A43" s="10" t="s">
        <v>44</v>
      </c>
      <c r="B43" s="12">
        <f>Gräsv.10!$A$1</f>
        <v>10</v>
      </c>
      <c r="C43" s="10"/>
      <c r="D43" s="10"/>
      <c r="E43" s="10"/>
      <c r="F43" s="10"/>
    </row>
    <row r="44" spans="1:6" ht="18" x14ac:dyDescent="0.25">
      <c r="A44" s="10"/>
      <c r="B44" s="12"/>
      <c r="C44" s="10"/>
      <c r="D44" s="10"/>
      <c r="E44" s="10"/>
      <c r="F44" s="10"/>
    </row>
    <row r="45" spans="1:6" ht="18" x14ac:dyDescent="0.25">
      <c r="A45" s="10"/>
      <c r="B45" s="12"/>
      <c r="C45" s="10"/>
      <c r="D45" s="10"/>
      <c r="E45" s="10"/>
      <c r="F45" s="10"/>
    </row>
    <row r="46" spans="1:6" ht="18" x14ac:dyDescent="0.25">
      <c r="A46" s="10" t="s">
        <v>45</v>
      </c>
      <c r="B46" s="10"/>
      <c r="C46" s="10"/>
      <c r="D46" s="10"/>
      <c r="E46" s="10"/>
      <c r="F46" s="10"/>
    </row>
    <row r="47" spans="1:6" ht="18" x14ac:dyDescent="0.25">
      <c r="A47" s="10"/>
      <c r="B47" s="10"/>
      <c r="C47" s="10"/>
      <c r="D47" s="10"/>
      <c r="E47" s="10"/>
      <c r="F47" s="10"/>
    </row>
    <row r="48" spans="1:6" ht="18" x14ac:dyDescent="0.25">
      <c r="A48" s="10" t="s">
        <v>46</v>
      </c>
      <c r="B48" s="10"/>
      <c r="C48" s="10"/>
      <c r="D48" s="13">
        <f>Gräsv.10!$B$3</f>
        <v>4518</v>
      </c>
      <c r="E48" s="10" t="s">
        <v>47</v>
      </c>
      <c r="F48" s="10"/>
    </row>
    <row r="49" spans="1:6" ht="18" x14ac:dyDescent="0.25">
      <c r="A49" s="10"/>
      <c r="B49" s="10"/>
      <c r="C49" s="10"/>
      <c r="D49" s="10"/>
      <c r="E49" s="10"/>
      <c r="F49" s="10"/>
    </row>
    <row r="50" spans="1:6" ht="18" x14ac:dyDescent="0.25">
      <c r="A50" s="10"/>
      <c r="B50" s="10"/>
      <c r="C50" s="10"/>
      <c r="D50" s="10"/>
      <c r="E50" s="10"/>
      <c r="F50" s="10"/>
    </row>
    <row r="51" spans="1:6" ht="18.75" thickBot="1" x14ac:dyDescent="0.3">
      <c r="A51" s="10" t="s">
        <v>48</v>
      </c>
      <c r="B51" s="11">
        <f>'Huvud mätare'!$A$2</f>
        <v>45777</v>
      </c>
      <c r="C51" s="10" t="s">
        <v>49</v>
      </c>
      <c r="D51" s="14"/>
    </row>
    <row r="52" spans="1:6" ht="18" x14ac:dyDescent="0.25">
      <c r="A52" s="10"/>
      <c r="B52" s="10"/>
      <c r="C52" s="10"/>
      <c r="D52" s="10"/>
      <c r="E52" s="10"/>
      <c r="F52" s="10"/>
    </row>
    <row r="53" spans="1:6" ht="18" x14ac:dyDescent="0.25">
      <c r="A53" s="10"/>
      <c r="B53" s="10"/>
      <c r="C53" s="10"/>
      <c r="D53" s="10"/>
      <c r="E53" s="10"/>
      <c r="F53" s="10"/>
    </row>
    <row r="54" spans="1:6" ht="18" x14ac:dyDescent="0.25">
      <c r="A54" s="10" t="s">
        <v>50</v>
      </c>
      <c r="B54" s="10"/>
      <c r="C54" s="10"/>
      <c r="D54" s="10"/>
      <c r="E54" s="10"/>
      <c r="F54" s="10"/>
    </row>
    <row r="55" spans="1:6" ht="18" x14ac:dyDescent="0.25">
      <c r="A55" s="10"/>
      <c r="B55" s="10"/>
      <c r="C55" s="10"/>
      <c r="D55" s="10"/>
      <c r="E55" s="10"/>
      <c r="F55" s="10"/>
    </row>
    <row r="56" spans="1:6" ht="18" x14ac:dyDescent="0.25">
      <c r="A56" s="10"/>
      <c r="B56" s="10"/>
      <c r="C56" s="10"/>
      <c r="D56" s="10"/>
      <c r="E56" s="10"/>
      <c r="F56" s="10"/>
    </row>
    <row r="57" spans="1:6" ht="18" x14ac:dyDescent="0.25">
      <c r="A57" s="10"/>
      <c r="B57" s="10"/>
      <c r="C57" s="10"/>
      <c r="D57" s="10"/>
      <c r="E57" s="10"/>
      <c r="F57" s="10"/>
    </row>
    <row r="58" spans="1:6" ht="18" x14ac:dyDescent="0.25">
      <c r="A58" s="10"/>
      <c r="B58" s="10"/>
      <c r="C58" s="10"/>
      <c r="D58" s="10"/>
      <c r="E58" s="10"/>
      <c r="F58" s="10"/>
    </row>
    <row r="59" spans="1:6" ht="18" x14ac:dyDescent="0.25">
      <c r="A59" s="10"/>
      <c r="B59" s="10"/>
      <c r="C59" s="10"/>
      <c r="D59" s="10"/>
      <c r="E59" s="10"/>
      <c r="F59" s="10"/>
    </row>
    <row r="60" spans="1:6" ht="18" x14ac:dyDescent="0.25">
      <c r="A60" s="10"/>
      <c r="B60" s="10"/>
      <c r="C60" s="10"/>
      <c r="D60" s="10"/>
      <c r="E60" s="10"/>
      <c r="F60" s="10"/>
    </row>
    <row r="61" spans="1:6" ht="18" x14ac:dyDescent="0.25">
      <c r="A61" s="10"/>
      <c r="B61" s="10"/>
      <c r="C61" s="10"/>
      <c r="D61" s="10"/>
      <c r="E61" s="10"/>
      <c r="F61" s="10"/>
    </row>
    <row r="62" spans="1:6" ht="18" x14ac:dyDescent="0.25">
      <c r="A62" s="10"/>
      <c r="B62" s="12"/>
      <c r="C62" s="10"/>
      <c r="D62" s="10"/>
      <c r="E62" s="10"/>
      <c r="F62" s="10"/>
    </row>
    <row r="63" spans="1:6" s="34" customFormat="1" ht="18" x14ac:dyDescent="0.25">
      <c r="A63" s="32"/>
      <c r="B63" s="33"/>
      <c r="C63" s="32"/>
      <c r="D63" s="32"/>
      <c r="E63" s="32"/>
      <c r="F63" s="32"/>
    </row>
    <row r="64" spans="1:6" ht="18" x14ac:dyDescent="0.25">
      <c r="A64" s="10"/>
      <c r="B64" s="12"/>
      <c r="C64" s="10"/>
      <c r="D64" s="10"/>
      <c r="E64" s="10"/>
      <c r="F64" s="10"/>
    </row>
    <row r="65" spans="1:6" ht="18" x14ac:dyDescent="0.25">
      <c r="A65" s="10" t="s">
        <v>44</v>
      </c>
      <c r="B65" s="12">
        <f>Gräsv.12!$A$1</f>
        <v>12</v>
      </c>
      <c r="C65" s="10"/>
      <c r="D65" s="10"/>
      <c r="E65" s="10"/>
      <c r="F65" s="10"/>
    </row>
    <row r="66" spans="1:6" ht="18" x14ac:dyDescent="0.25">
      <c r="A66" s="10"/>
      <c r="B66" s="12"/>
      <c r="C66" s="10"/>
      <c r="D66" s="10"/>
      <c r="E66" s="10"/>
      <c r="F66" s="10"/>
    </row>
    <row r="67" spans="1:6" ht="18" x14ac:dyDescent="0.25">
      <c r="A67" s="10"/>
      <c r="B67" s="12"/>
      <c r="C67" s="10"/>
      <c r="D67" s="10"/>
      <c r="E67" s="10"/>
      <c r="F67" s="10"/>
    </row>
    <row r="68" spans="1:6" ht="18" x14ac:dyDescent="0.25">
      <c r="A68" s="10" t="s">
        <v>45</v>
      </c>
      <c r="B68" s="10"/>
      <c r="C68" s="10"/>
      <c r="D68" s="10"/>
      <c r="E68" s="10"/>
      <c r="F68" s="10"/>
    </row>
    <row r="69" spans="1:6" ht="18" x14ac:dyDescent="0.25">
      <c r="A69" s="10"/>
      <c r="B69" s="10"/>
      <c r="C69" s="10"/>
      <c r="D69" s="10"/>
      <c r="E69" s="10"/>
      <c r="F69" s="10"/>
    </row>
    <row r="70" spans="1:6" ht="18" x14ac:dyDescent="0.25">
      <c r="A70" s="10" t="s">
        <v>46</v>
      </c>
      <c r="B70" s="10"/>
      <c r="C70" s="10"/>
      <c r="D70" s="13">
        <f>Gräsv.12!$B$3</f>
        <v>567</v>
      </c>
      <c r="E70" s="10" t="s">
        <v>47</v>
      </c>
      <c r="F70" s="10"/>
    </row>
    <row r="71" spans="1:6" ht="18" x14ac:dyDescent="0.25">
      <c r="A71" s="10"/>
      <c r="B71" s="10"/>
      <c r="C71" s="10"/>
      <c r="D71" s="10"/>
      <c r="E71" s="10"/>
      <c r="F71" s="10"/>
    </row>
    <row r="72" spans="1:6" ht="18" x14ac:dyDescent="0.25">
      <c r="A72" s="10"/>
      <c r="B72" s="10"/>
      <c r="C72" s="10"/>
      <c r="D72" s="10"/>
      <c r="E72" s="10"/>
      <c r="F72" s="10"/>
    </row>
    <row r="73" spans="1:6" ht="18.75" thickBot="1" x14ac:dyDescent="0.3">
      <c r="A73" s="10" t="s">
        <v>48</v>
      </c>
      <c r="B73" s="11">
        <f>'Huvud mätare'!$A$2</f>
        <v>45777</v>
      </c>
      <c r="C73" s="10" t="s">
        <v>49</v>
      </c>
      <c r="D73" s="14"/>
    </row>
    <row r="74" spans="1:6" ht="18" x14ac:dyDescent="0.25">
      <c r="A74" s="10"/>
      <c r="B74" s="10"/>
      <c r="C74" s="10"/>
      <c r="D74" s="10"/>
      <c r="E74" s="10"/>
      <c r="F74" s="10"/>
    </row>
    <row r="75" spans="1:6" ht="18" x14ac:dyDescent="0.25">
      <c r="A75" s="10"/>
      <c r="B75" s="10"/>
      <c r="C75" s="10"/>
      <c r="D75" s="10"/>
      <c r="E75" s="10"/>
      <c r="F75" s="10"/>
    </row>
    <row r="76" spans="1:6" ht="18" x14ac:dyDescent="0.25">
      <c r="A76" s="10" t="s">
        <v>50</v>
      </c>
      <c r="B76" s="10"/>
      <c r="C76" s="10"/>
      <c r="D76" s="10"/>
      <c r="E76" s="10"/>
      <c r="F76" s="10"/>
    </row>
    <row r="77" spans="1:6" ht="18" x14ac:dyDescent="0.25">
      <c r="A77" s="10"/>
      <c r="B77" s="10"/>
      <c r="C77" s="10"/>
      <c r="D77" s="10"/>
      <c r="E77" s="10"/>
      <c r="F77" s="10"/>
    </row>
    <row r="86" spans="1:6" ht="18" x14ac:dyDescent="0.25">
      <c r="A86" s="10" t="s">
        <v>44</v>
      </c>
      <c r="B86" s="12">
        <f>Gräsv.14!$A$1</f>
        <v>14</v>
      </c>
      <c r="C86" s="10"/>
      <c r="D86" s="10"/>
      <c r="E86" s="10"/>
      <c r="F86" s="10"/>
    </row>
    <row r="87" spans="1:6" ht="18" x14ac:dyDescent="0.25">
      <c r="A87" s="10"/>
      <c r="B87" s="12"/>
      <c r="C87" s="10"/>
      <c r="D87" s="10"/>
      <c r="E87" s="10"/>
      <c r="F87" s="10"/>
    </row>
    <row r="88" spans="1:6" ht="18" x14ac:dyDescent="0.25">
      <c r="A88" s="10"/>
      <c r="B88" s="12"/>
      <c r="C88" s="10"/>
      <c r="D88" s="10"/>
      <c r="E88" s="10"/>
      <c r="F88" s="10"/>
    </row>
    <row r="89" spans="1:6" ht="18" x14ac:dyDescent="0.25">
      <c r="A89" s="10" t="s">
        <v>45</v>
      </c>
      <c r="B89" s="10"/>
      <c r="C89" s="10"/>
      <c r="D89" s="10"/>
      <c r="E89" s="10"/>
      <c r="F89" s="10"/>
    </row>
    <row r="90" spans="1:6" ht="18" x14ac:dyDescent="0.25">
      <c r="A90" s="10"/>
      <c r="B90" s="10"/>
      <c r="C90" s="10"/>
      <c r="D90" s="10"/>
      <c r="E90" s="10"/>
      <c r="F90" s="10"/>
    </row>
    <row r="91" spans="1:6" ht="18" x14ac:dyDescent="0.25">
      <c r="A91" s="10" t="s">
        <v>46</v>
      </c>
      <c r="B91" s="10"/>
      <c r="C91" s="10"/>
      <c r="D91" s="13">
        <f>Gräsv.14!$B$3</f>
        <v>2738</v>
      </c>
      <c r="E91" s="10" t="s">
        <v>47</v>
      </c>
      <c r="F91" s="10"/>
    </row>
    <row r="92" spans="1:6" ht="18" x14ac:dyDescent="0.25">
      <c r="A92" s="10"/>
      <c r="B92" s="10"/>
      <c r="C92" s="10"/>
      <c r="D92" s="10"/>
      <c r="E92" s="10"/>
      <c r="F92" s="10"/>
    </row>
    <row r="93" spans="1:6" ht="18" x14ac:dyDescent="0.25">
      <c r="A93" s="10"/>
      <c r="B93" s="10"/>
      <c r="C93" s="10"/>
      <c r="D93" s="10"/>
      <c r="E93" s="10"/>
      <c r="F93" s="10"/>
    </row>
    <row r="94" spans="1:6" ht="18.75" thickBot="1" x14ac:dyDescent="0.3">
      <c r="A94" s="10" t="s">
        <v>48</v>
      </c>
      <c r="B94" s="11">
        <f>'Huvud mätare'!$A$2</f>
        <v>45777</v>
      </c>
      <c r="C94" s="10" t="s">
        <v>49</v>
      </c>
      <c r="D94" s="14"/>
    </row>
    <row r="95" spans="1:6" ht="18" x14ac:dyDescent="0.25">
      <c r="A95" s="10"/>
      <c r="B95" s="10"/>
      <c r="C95" s="10"/>
      <c r="D95" s="10"/>
      <c r="E95" s="10"/>
      <c r="F95" s="10"/>
    </row>
    <row r="96" spans="1:6" ht="18" x14ac:dyDescent="0.25">
      <c r="A96" s="10"/>
      <c r="B96" s="10"/>
      <c r="C96" s="10"/>
      <c r="D96" s="10"/>
      <c r="E96" s="10"/>
      <c r="F96" s="10"/>
    </row>
    <row r="97" spans="1:6" ht="18" x14ac:dyDescent="0.25">
      <c r="A97" s="10" t="s">
        <v>50</v>
      </c>
      <c r="B97" s="10"/>
      <c r="C97" s="10"/>
      <c r="D97" s="10"/>
      <c r="E97" s="10"/>
      <c r="F97" s="10"/>
    </row>
    <row r="98" spans="1:6" ht="18" x14ac:dyDescent="0.25">
      <c r="A98" s="10"/>
      <c r="B98" s="10"/>
      <c r="C98" s="10"/>
      <c r="D98" s="10"/>
      <c r="E98" s="10"/>
      <c r="F98" s="10"/>
    </row>
    <row r="99" spans="1:6" ht="18" x14ac:dyDescent="0.25">
      <c r="A99" s="10"/>
      <c r="B99" s="10"/>
      <c r="C99" s="10"/>
      <c r="D99" s="10"/>
      <c r="E99" s="10"/>
      <c r="F99" s="10"/>
    </row>
    <row r="100" spans="1:6" ht="18" x14ac:dyDescent="0.25">
      <c r="A100" s="10"/>
      <c r="B100" s="10"/>
      <c r="C100" s="10"/>
      <c r="D100" s="10"/>
      <c r="E100" s="10"/>
      <c r="F100" s="10"/>
    </row>
    <row r="101" spans="1:6" ht="18" x14ac:dyDescent="0.25">
      <c r="A101" s="10"/>
      <c r="B101" s="10"/>
      <c r="C101" s="10"/>
      <c r="D101" s="10"/>
      <c r="E101" s="10"/>
      <c r="F101" s="10"/>
    </row>
    <row r="102" spans="1:6" ht="18" x14ac:dyDescent="0.25">
      <c r="A102" s="10"/>
      <c r="B102" s="10"/>
      <c r="C102" s="10"/>
      <c r="D102" s="10"/>
      <c r="E102" s="10"/>
      <c r="F102" s="10"/>
    </row>
    <row r="103" spans="1:6" ht="18" x14ac:dyDescent="0.25">
      <c r="A103" s="10"/>
      <c r="B103" s="10"/>
      <c r="C103" s="10"/>
      <c r="D103" s="10"/>
      <c r="E103" s="10"/>
      <c r="F103" s="10"/>
    </row>
    <row r="104" spans="1:6" ht="18" x14ac:dyDescent="0.25">
      <c r="A104" s="10"/>
      <c r="B104" s="10"/>
      <c r="C104" s="10"/>
      <c r="D104" s="10"/>
      <c r="E104" s="10"/>
      <c r="F104" s="10"/>
    </row>
    <row r="105" spans="1:6" ht="18" x14ac:dyDescent="0.25">
      <c r="A105" s="10"/>
      <c r="B105" s="12"/>
      <c r="C105" s="10"/>
      <c r="D105" s="10"/>
      <c r="E105" s="10"/>
      <c r="F105" s="10"/>
    </row>
    <row r="106" spans="1:6" s="34" customFormat="1" ht="18" x14ac:dyDescent="0.25">
      <c r="A106" s="32"/>
      <c r="B106" s="33"/>
      <c r="C106" s="32"/>
      <c r="D106" s="32"/>
      <c r="E106" s="32"/>
      <c r="F106" s="32"/>
    </row>
    <row r="107" spans="1:6" ht="18" x14ac:dyDescent="0.25">
      <c r="A107" s="10"/>
      <c r="B107" s="12"/>
      <c r="C107" s="10"/>
      <c r="D107" s="10"/>
      <c r="E107" s="10"/>
      <c r="F107" s="10"/>
    </row>
    <row r="108" spans="1:6" ht="18" x14ac:dyDescent="0.25">
      <c r="A108" s="10" t="s">
        <v>44</v>
      </c>
      <c r="B108" s="12">
        <f>Gräsv.16!$A$1</f>
        <v>16</v>
      </c>
      <c r="C108" s="10"/>
      <c r="D108" s="10"/>
      <c r="E108" s="10"/>
      <c r="F108" s="10"/>
    </row>
    <row r="109" spans="1:6" ht="18" x14ac:dyDescent="0.25">
      <c r="A109" s="10"/>
      <c r="B109" s="12"/>
      <c r="C109" s="10"/>
      <c r="D109" s="10"/>
      <c r="E109" s="10"/>
      <c r="F109" s="10"/>
    </row>
    <row r="110" spans="1:6" ht="18" x14ac:dyDescent="0.25">
      <c r="A110" s="10"/>
      <c r="B110" s="12"/>
      <c r="C110" s="10"/>
      <c r="D110" s="10"/>
      <c r="E110" s="10"/>
      <c r="F110" s="10"/>
    </row>
    <row r="111" spans="1:6" ht="18" x14ac:dyDescent="0.25">
      <c r="A111" s="10" t="s">
        <v>45</v>
      </c>
      <c r="B111" s="10"/>
      <c r="C111" s="10"/>
      <c r="D111" s="10"/>
      <c r="E111" s="10"/>
      <c r="F111" s="10"/>
    </row>
    <row r="112" spans="1:6" ht="18" x14ac:dyDescent="0.25">
      <c r="A112" s="10"/>
      <c r="B112" s="10"/>
      <c r="C112" s="10"/>
      <c r="D112" s="10"/>
      <c r="E112" s="10"/>
      <c r="F112" s="10"/>
    </row>
    <row r="113" spans="1:6" ht="18" x14ac:dyDescent="0.25">
      <c r="A113" s="10" t="s">
        <v>46</v>
      </c>
      <c r="B113" s="10"/>
      <c r="C113" s="10"/>
      <c r="D113" s="13">
        <f>Gräsv.16!$B$3</f>
        <v>64</v>
      </c>
      <c r="E113" s="10" t="s">
        <v>47</v>
      </c>
      <c r="F113" s="10"/>
    </row>
    <row r="114" spans="1:6" ht="18" x14ac:dyDescent="0.25">
      <c r="A114" s="10"/>
      <c r="B114" s="10"/>
      <c r="C114" s="10"/>
      <c r="D114" s="10"/>
      <c r="E114" s="10"/>
      <c r="F114" s="10"/>
    </row>
    <row r="115" spans="1:6" ht="18" x14ac:dyDescent="0.25">
      <c r="A115" s="10"/>
      <c r="B115" s="10"/>
      <c r="C115" s="10"/>
      <c r="D115" s="10"/>
      <c r="E115" s="10"/>
      <c r="F115" s="10"/>
    </row>
    <row r="116" spans="1:6" ht="18.75" thickBot="1" x14ac:dyDescent="0.3">
      <c r="A116" s="10" t="s">
        <v>48</v>
      </c>
      <c r="B116" s="11">
        <f>'Huvud mätare'!$A$2</f>
        <v>45777</v>
      </c>
      <c r="C116" s="10" t="s">
        <v>49</v>
      </c>
      <c r="D116" s="14"/>
    </row>
    <row r="117" spans="1:6" ht="18" x14ac:dyDescent="0.25">
      <c r="A117" s="10"/>
      <c r="B117" s="10"/>
      <c r="C117" s="10"/>
      <c r="D117" s="10"/>
      <c r="E117" s="10"/>
      <c r="F117" s="10"/>
    </row>
    <row r="118" spans="1:6" ht="18" x14ac:dyDescent="0.25">
      <c r="A118" s="10"/>
      <c r="B118" s="10"/>
      <c r="C118" s="10"/>
      <c r="D118" s="10"/>
      <c r="E118" s="10"/>
      <c r="F118" s="10"/>
    </row>
    <row r="119" spans="1:6" ht="18" x14ac:dyDescent="0.25">
      <c r="A119" s="10" t="s">
        <v>50</v>
      </c>
      <c r="B119" s="10"/>
      <c r="C119" s="10"/>
      <c r="D119" s="10"/>
      <c r="E119" s="10"/>
      <c r="F119" s="10"/>
    </row>
    <row r="120" spans="1:6" ht="18" x14ac:dyDescent="0.25">
      <c r="A120" s="10"/>
      <c r="B120" s="10"/>
      <c r="C120" s="10"/>
      <c r="D120" s="10"/>
      <c r="E120" s="10"/>
      <c r="F120" s="10"/>
    </row>
    <row r="129" spans="1:6" ht="18" x14ac:dyDescent="0.25">
      <c r="A129" s="10" t="s">
        <v>44</v>
      </c>
      <c r="B129" s="12">
        <f>Gräsv.18!$A$1</f>
        <v>18</v>
      </c>
      <c r="C129" s="10"/>
      <c r="D129" s="10"/>
      <c r="E129" s="10"/>
      <c r="F129" s="10"/>
    </row>
    <row r="130" spans="1:6" ht="18" x14ac:dyDescent="0.25">
      <c r="A130" s="10"/>
      <c r="B130" s="12"/>
      <c r="C130" s="10"/>
      <c r="D130" s="10"/>
      <c r="E130" s="10"/>
      <c r="F130" s="10"/>
    </row>
    <row r="131" spans="1:6" ht="18" x14ac:dyDescent="0.25">
      <c r="A131" s="10"/>
      <c r="B131" s="12"/>
      <c r="C131" s="10"/>
      <c r="D131" s="10"/>
      <c r="E131" s="10"/>
      <c r="F131" s="10"/>
    </row>
    <row r="132" spans="1:6" ht="18" x14ac:dyDescent="0.25">
      <c r="A132" s="10" t="s">
        <v>45</v>
      </c>
      <c r="B132" s="10"/>
      <c r="C132" s="10"/>
      <c r="D132" s="10"/>
      <c r="E132" s="10"/>
      <c r="F132" s="10"/>
    </row>
    <row r="133" spans="1:6" ht="18" x14ac:dyDescent="0.25">
      <c r="A133" s="10"/>
      <c r="B133" s="10"/>
      <c r="C133" s="10"/>
      <c r="D133" s="10"/>
      <c r="E133" s="10"/>
      <c r="F133" s="10"/>
    </row>
    <row r="134" spans="1:6" ht="18" x14ac:dyDescent="0.25">
      <c r="A134" s="10" t="s">
        <v>46</v>
      </c>
      <c r="B134" s="10"/>
      <c r="C134" s="10"/>
      <c r="D134" s="13">
        <f>Gräsv.18!$B$3</f>
        <v>1499</v>
      </c>
      <c r="E134" s="10" t="s">
        <v>47</v>
      </c>
      <c r="F134" s="10"/>
    </row>
    <row r="135" spans="1:6" ht="18" x14ac:dyDescent="0.25">
      <c r="A135" s="10"/>
      <c r="B135" s="10"/>
      <c r="C135" s="10"/>
      <c r="D135" s="10"/>
      <c r="E135" s="10"/>
      <c r="F135" s="10"/>
    </row>
    <row r="136" spans="1:6" ht="18" x14ac:dyDescent="0.25">
      <c r="A136" s="10"/>
      <c r="B136" s="10"/>
      <c r="C136" s="10"/>
      <c r="D136" s="10"/>
      <c r="E136" s="10"/>
      <c r="F136" s="10"/>
    </row>
    <row r="137" spans="1:6" ht="18.75" thickBot="1" x14ac:dyDescent="0.3">
      <c r="A137" s="10" t="s">
        <v>48</v>
      </c>
      <c r="B137" s="11">
        <f>'Huvud mätare'!$A$2</f>
        <v>45777</v>
      </c>
      <c r="C137" s="10" t="s">
        <v>49</v>
      </c>
      <c r="D137" s="14"/>
    </row>
    <row r="138" spans="1:6" ht="18" x14ac:dyDescent="0.25">
      <c r="A138" s="10"/>
      <c r="B138" s="10"/>
      <c r="C138" s="10"/>
      <c r="D138" s="10"/>
      <c r="E138" s="10"/>
      <c r="F138" s="10"/>
    </row>
    <row r="139" spans="1:6" ht="18" x14ac:dyDescent="0.25">
      <c r="A139" s="10"/>
      <c r="B139" s="10"/>
      <c r="C139" s="10"/>
      <c r="D139" s="10"/>
      <c r="E139" s="10"/>
      <c r="F139" s="10"/>
    </row>
    <row r="140" spans="1:6" ht="18" x14ac:dyDescent="0.25">
      <c r="A140" s="10" t="s">
        <v>50</v>
      </c>
      <c r="B140" s="10"/>
      <c r="C140" s="10"/>
      <c r="D140" s="10"/>
      <c r="E140" s="10"/>
      <c r="F140" s="10"/>
    </row>
    <row r="141" spans="1:6" ht="18" x14ac:dyDescent="0.25">
      <c r="A141" s="10"/>
      <c r="B141" s="10"/>
      <c r="C141" s="10"/>
      <c r="D141" s="10"/>
      <c r="E141" s="10"/>
      <c r="F141" s="10"/>
    </row>
    <row r="142" spans="1:6" ht="18" x14ac:dyDescent="0.25">
      <c r="A142" s="10"/>
      <c r="B142" s="10"/>
      <c r="C142" s="10"/>
      <c r="D142" s="10"/>
      <c r="E142" s="10"/>
      <c r="F142" s="10"/>
    </row>
    <row r="143" spans="1:6" ht="18" x14ac:dyDescent="0.25">
      <c r="A143" s="10"/>
      <c r="B143" s="10"/>
      <c r="C143" s="10"/>
      <c r="D143" s="10"/>
      <c r="E143" s="10"/>
      <c r="F143" s="10"/>
    </row>
    <row r="144" spans="1:6" ht="18" x14ac:dyDescent="0.25">
      <c r="A144" s="10"/>
      <c r="B144" s="10"/>
      <c r="C144" s="10"/>
      <c r="D144" s="10"/>
      <c r="E144" s="10"/>
      <c r="F144" s="10"/>
    </row>
    <row r="145" spans="1:6" ht="18" x14ac:dyDescent="0.25">
      <c r="A145" s="10"/>
      <c r="B145" s="10"/>
      <c r="C145" s="10"/>
      <c r="D145" s="10"/>
      <c r="E145" s="10"/>
      <c r="F145" s="10"/>
    </row>
    <row r="146" spans="1:6" ht="18" x14ac:dyDescent="0.25">
      <c r="A146" s="10"/>
      <c r="B146" s="10"/>
      <c r="C146" s="10"/>
      <c r="D146" s="10"/>
      <c r="E146" s="10"/>
      <c r="F146" s="10"/>
    </row>
    <row r="147" spans="1:6" ht="18" x14ac:dyDescent="0.25">
      <c r="A147" s="10"/>
      <c r="B147" s="10"/>
      <c r="C147" s="10"/>
      <c r="D147" s="10"/>
      <c r="E147" s="10"/>
      <c r="F147" s="10"/>
    </row>
    <row r="148" spans="1:6" ht="18" x14ac:dyDescent="0.25">
      <c r="A148" s="10"/>
      <c r="B148" s="12"/>
      <c r="C148" s="10"/>
      <c r="D148" s="10"/>
      <c r="E148" s="10"/>
      <c r="F148" s="10"/>
    </row>
    <row r="149" spans="1:6" s="34" customFormat="1" ht="18" x14ac:dyDescent="0.25">
      <c r="A149" s="32"/>
      <c r="B149" s="33"/>
      <c r="C149" s="32"/>
      <c r="D149" s="32"/>
      <c r="E149" s="32"/>
      <c r="F149" s="32"/>
    </row>
    <row r="150" spans="1:6" ht="18" x14ac:dyDescent="0.25">
      <c r="A150" s="10"/>
      <c r="B150" s="12"/>
      <c r="C150" s="10"/>
      <c r="D150" s="10"/>
      <c r="E150" s="10"/>
      <c r="F150" s="10"/>
    </row>
    <row r="151" spans="1:6" ht="18" x14ac:dyDescent="0.25">
      <c r="A151" s="10" t="s">
        <v>44</v>
      </c>
      <c r="B151" s="12">
        <f>Gräsv.20!$A$1</f>
        <v>20</v>
      </c>
      <c r="C151" s="10"/>
      <c r="D151" s="10"/>
      <c r="E151" s="10"/>
      <c r="F151" s="10"/>
    </row>
    <row r="152" spans="1:6" ht="18" x14ac:dyDescent="0.25">
      <c r="A152" s="10"/>
      <c r="B152" s="12"/>
      <c r="C152" s="10"/>
      <c r="D152" s="10"/>
      <c r="E152" s="10"/>
      <c r="F152" s="10"/>
    </row>
    <row r="153" spans="1:6" ht="18" x14ac:dyDescent="0.25">
      <c r="A153" s="10"/>
      <c r="B153" s="12"/>
      <c r="C153" s="10"/>
      <c r="D153" s="10"/>
      <c r="E153" s="10"/>
      <c r="F153" s="10"/>
    </row>
    <row r="154" spans="1:6" ht="18" x14ac:dyDescent="0.25">
      <c r="A154" s="10" t="s">
        <v>45</v>
      </c>
      <c r="B154" s="10"/>
      <c r="C154" s="10"/>
      <c r="D154" s="10"/>
      <c r="E154" s="10"/>
      <c r="F154" s="10"/>
    </row>
    <row r="155" spans="1:6" ht="18" x14ac:dyDescent="0.25">
      <c r="A155" s="10"/>
      <c r="B155" s="10"/>
      <c r="C155" s="10"/>
      <c r="D155" s="10"/>
      <c r="E155" s="10"/>
      <c r="F155" s="10"/>
    </row>
    <row r="156" spans="1:6" ht="18" x14ac:dyDescent="0.25">
      <c r="A156" s="10" t="s">
        <v>46</v>
      </c>
      <c r="B156" s="10"/>
      <c r="C156" s="10"/>
      <c r="D156" s="13">
        <f>Gräsv.20!$B$3</f>
        <v>4292</v>
      </c>
      <c r="E156" s="10" t="s">
        <v>47</v>
      </c>
      <c r="F156" s="10"/>
    </row>
    <row r="157" spans="1:6" ht="18" x14ac:dyDescent="0.25">
      <c r="A157" s="10"/>
      <c r="B157" s="10"/>
      <c r="C157" s="10"/>
      <c r="D157" s="10"/>
      <c r="E157" s="10"/>
      <c r="F157" s="10"/>
    </row>
    <row r="158" spans="1:6" ht="18" x14ac:dyDescent="0.25">
      <c r="A158" s="10"/>
      <c r="B158" s="10"/>
      <c r="C158" s="10"/>
      <c r="D158" s="10"/>
      <c r="E158" s="10"/>
      <c r="F158" s="10"/>
    </row>
    <row r="159" spans="1:6" ht="18.75" thickBot="1" x14ac:dyDescent="0.3">
      <c r="A159" s="10" t="s">
        <v>48</v>
      </c>
      <c r="B159" s="11">
        <f>'Huvud mätare'!$A$2</f>
        <v>45777</v>
      </c>
      <c r="C159" s="10" t="s">
        <v>49</v>
      </c>
      <c r="D159" s="14"/>
    </row>
    <row r="160" spans="1:6" ht="18" x14ac:dyDescent="0.25">
      <c r="A160" s="10"/>
      <c r="B160" s="10"/>
      <c r="C160" s="10"/>
      <c r="D160" s="10"/>
      <c r="E160" s="10"/>
      <c r="F160" s="10"/>
    </row>
    <row r="161" spans="1:6" ht="18" x14ac:dyDescent="0.25">
      <c r="A161" s="10"/>
      <c r="B161" s="10"/>
      <c r="C161" s="10"/>
      <c r="D161" s="10"/>
      <c r="E161" s="10"/>
      <c r="F161" s="10"/>
    </row>
    <row r="162" spans="1:6" ht="18" x14ac:dyDescent="0.25">
      <c r="A162" s="10" t="s">
        <v>50</v>
      </c>
      <c r="B162" s="10"/>
      <c r="C162" s="10"/>
      <c r="D162" s="10"/>
      <c r="E162" s="10"/>
      <c r="F162" s="10"/>
    </row>
    <row r="163" spans="1:6" ht="18" x14ac:dyDescent="0.25">
      <c r="A163" s="10"/>
      <c r="B163" s="10"/>
      <c r="C163" s="10"/>
      <c r="D163" s="10"/>
      <c r="E163" s="10"/>
      <c r="F163" s="10"/>
    </row>
    <row r="172" spans="1:6" ht="18" x14ac:dyDescent="0.25">
      <c r="A172" s="10" t="s">
        <v>44</v>
      </c>
      <c r="B172" s="12">
        <f>Gräsv.22!$A$1</f>
        <v>22</v>
      </c>
      <c r="C172" s="10"/>
      <c r="D172" s="10"/>
      <c r="E172" s="10"/>
      <c r="F172" s="10"/>
    </row>
    <row r="173" spans="1:6" ht="18" x14ac:dyDescent="0.25">
      <c r="A173" s="10"/>
      <c r="B173" s="12"/>
      <c r="C173" s="10"/>
      <c r="D173" s="10"/>
      <c r="E173" s="10"/>
      <c r="F173" s="10"/>
    </row>
    <row r="174" spans="1:6" ht="18" x14ac:dyDescent="0.25">
      <c r="A174" s="10"/>
      <c r="B174" s="12"/>
      <c r="C174" s="10"/>
      <c r="D174" s="10"/>
      <c r="E174" s="10"/>
      <c r="F174" s="10"/>
    </row>
    <row r="175" spans="1:6" ht="18" x14ac:dyDescent="0.25">
      <c r="A175" s="10" t="s">
        <v>45</v>
      </c>
      <c r="B175" s="10"/>
      <c r="C175" s="10"/>
      <c r="D175" s="10"/>
      <c r="E175" s="10"/>
      <c r="F175" s="10"/>
    </row>
    <row r="176" spans="1:6" ht="18" x14ac:dyDescent="0.25">
      <c r="A176" s="10"/>
      <c r="B176" s="10"/>
      <c r="C176" s="10"/>
      <c r="D176" s="10"/>
      <c r="E176" s="10"/>
      <c r="F176" s="10"/>
    </row>
    <row r="177" spans="1:6" ht="18" x14ac:dyDescent="0.25">
      <c r="A177" s="10" t="s">
        <v>46</v>
      </c>
      <c r="B177" s="10"/>
      <c r="C177" s="10"/>
      <c r="D177" s="13">
        <f>Gräsv.22!$B$3</f>
        <v>198</v>
      </c>
      <c r="E177" s="10" t="s">
        <v>47</v>
      </c>
      <c r="F177" s="10"/>
    </row>
    <row r="178" spans="1:6" ht="18" x14ac:dyDescent="0.25">
      <c r="A178" s="10"/>
      <c r="B178" s="10"/>
      <c r="C178" s="10"/>
      <c r="D178" s="10"/>
      <c r="E178" s="10"/>
      <c r="F178" s="10"/>
    </row>
    <row r="179" spans="1:6" ht="18" x14ac:dyDescent="0.25">
      <c r="A179" s="10"/>
      <c r="B179" s="10"/>
      <c r="C179" s="10"/>
      <c r="D179" s="10"/>
      <c r="E179" s="10"/>
      <c r="F179" s="10"/>
    </row>
    <row r="180" spans="1:6" ht="18.75" thickBot="1" x14ac:dyDescent="0.3">
      <c r="A180" s="10" t="s">
        <v>48</v>
      </c>
      <c r="B180" s="11">
        <f>'Huvud mätare'!$A$2</f>
        <v>45777</v>
      </c>
      <c r="C180" s="10" t="s">
        <v>49</v>
      </c>
      <c r="D180" s="14"/>
    </row>
    <row r="181" spans="1:6" ht="18" x14ac:dyDescent="0.25">
      <c r="A181" s="10"/>
      <c r="B181" s="10"/>
      <c r="C181" s="10"/>
      <c r="D181" s="10"/>
      <c r="E181" s="10"/>
      <c r="F181" s="10"/>
    </row>
    <row r="182" spans="1:6" ht="18" x14ac:dyDescent="0.25">
      <c r="A182" s="10"/>
      <c r="B182" s="10"/>
      <c r="C182" s="10"/>
      <c r="D182" s="10"/>
      <c r="E182" s="10"/>
      <c r="F182" s="10"/>
    </row>
    <row r="183" spans="1:6" ht="18" x14ac:dyDescent="0.25">
      <c r="A183" s="10" t="s">
        <v>50</v>
      </c>
      <c r="B183" s="10"/>
      <c r="C183" s="10"/>
      <c r="D183" s="10"/>
      <c r="E183" s="10"/>
      <c r="F183" s="10"/>
    </row>
    <row r="184" spans="1:6" ht="18" x14ac:dyDescent="0.25">
      <c r="A184" s="10"/>
      <c r="B184" s="10"/>
      <c r="C184" s="10"/>
      <c r="D184" s="10"/>
      <c r="E184" s="10"/>
      <c r="F184" s="10"/>
    </row>
    <row r="185" spans="1:6" ht="18" x14ac:dyDescent="0.25">
      <c r="A185" s="10"/>
      <c r="B185" s="10"/>
      <c r="C185" s="10"/>
      <c r="D185" s="10"/>
      <c r="E185" s="10"/>
      <c r="F185" s="10"/>
    </row>
    <row r="186" spans="1:6" ht="18" x14ac:dyDescent="0.25">
      <c r="A186" s="10"/>
      <c r="B186" s="10"/>
      <c r="C186" s="10"/>
      <c r="D186" s="10"/>
      <c r="E186" s="10"/>
      <c r="F186" s="10"/>
    </row>
    <row r="187" spans="1:6" ht="18" x14ac:dyDescent="0.25">
      <c r="A187" s="10"/>
      <c r="B187" s="10"/>
      <c r="C187" s="10"/>
      <c r="D187" s="10"/>
      <c r="E187" s="10"/>
      <c r="F187" s="10"/>
    </row>
    <row r="188" spans="1:6" ht="18" x14ac:dyDescent="0.25">
      <c r="A188" s="10"/>
      <c r="B188" s="10"/>
      <c r="C188" s="10"/>
      <c r="D188" s="10"/>
      <c r="E188" s="10"/>
      <c r="F188" s="10"/>
    </row>
    <row r="189" spans="1:6" ht="18" x14ac:dyDescent="0.25">
      <c r="A189" s="10"/>
      <c r="B189" s="10"/>
      <c r="C189" s="10"/>
      <c r="D189" s="10"/>
      <c r="E189" s="10"/>
      <c r="F189" s="10"/>
    </row>
    <row r="190" spans="1:6" ht="18" x14ac:dyDescent="0.25">
      <c r="A190" s="10"/>
      <c r="B190" s="10"/>
      <c r="C190" s="10"/>
      <c r="D190" s="10"/>
      <c r="E190" s="10"/>
      <c r="F190" s="10"/>
    </row>
    <row r="191" spans="1:6" ht="18" x14ac:dyDescent="0.25">
      <c r="A191" s="10"/>
      <c r="B191" s="12"/>
      <c r="C191" s="10"/>
      <c r="D191" s="10"/>
      <c r="E191" s="10"/>
      <c r="F191" s="10"/>
    </row>
    <row r="192" spans="1:6" s="37" customFormat="1" ht="18" x14ac:dyDescent="0.25">
      <c r="A192" s="35"/>
      <c r="B192" s="36"/>
      <c r="C192" s="35"/>
      <c r="D192" s="35"/>
      <c r="E192" s="35"/>
      <c r="F192" s="35"/>
    </row>
    <row r="193" spans="1:6" ht="18" x14ac:dyDescent="0.25">
      <c r="A193" s="10"/>
      <c r="B193" s="12"/>
      <c r="C193" s="10"/>
      <c r="D193" s="10"/>
      <c r="E193" s="10"/>
      <c r="F193" s="10"/>
    </row>
    <row r="194" spans="1:6" ht="18" x14ac:dyDescent="0.25">
      <c r="A194" s="10" t="s">
        <v>44</v>
      </c>
      <c r="B194" s="12">
        <f>Gräsv.24!$A$1</f>
        <v>24</v>
      </c>
      <c r="C194" s="10"/>
      <c r="D194" s="10"/>
      <c r="E194" s="10"/>
      <c r="F194" s="10"/>
    </row>
    <row r="195" spans="1:6" ht="18" x14ac:dyDescent="0.25">
      <c r="A195" s="10"/>
      <c r="B195" s="12"/>
      <c r="C195" s="10"/>
      <c r="D195" s="10"/>
      <c r="E195" s="10"/>
      <c r="F195" s="10"/>
    </row>
    <row r="196" spans="1:6" ht="18" x14ac:dyDescent="0.25">
      <c r="A196" s="10"/>
      <c r="B196" s="12"/>
      <c r="C196" s="10"/>
      <c r="D196" s="10"/>
      <c r="E196" s="10"/>
      <c r="F196" s="10"/>
    </row>
    <row r="197" spans="1:6" ht="18" x14ac:dyDescent="0.25">
      <c r="A197" s="10" t="s">
        <v>45</v>
      </c>
      <c r="B197" s="10"/>
      <c r="C197" s="10"/>
      <c r="D197" s="10"/>
      <c r="E197" s="10"/>
      <c r="F197" s="10"/>
    </row>
    <row r="198" spans="1:6" ht="18" x14ac:dyDescent="0.25">
      <c r="A198" s="10"/>
      <c r="B198" s="10"/>
      <c r="C198" s="10"/>
      <c r="D198" s="10"/>
      <c r="E198" s="10"/>
      <c r="F198" s="10"/>
    </row>
    <row r="199" spans="1:6" ht="18" x14ac:dyDescent="0.25">
      <c r="A199" s="10" t="s">
        <v>46</v>
      </c>
      <c r="B199" s="10"/>
      <c r="C199" s="10"/>
      <c r="D199" s="13">
        <f>Gräsv.24!$B$3</f>
        <v>1727</v>
      </c>
      <c r="E199" s="10" t="s">
        <v>47</v>
      </c>
      <c r="F199" s="10"/>
    </row>
    <row r="200" spans="1:6" ht="18" x14ac:dyDescent="0.25">
      <c r="A200" s="10"/>
      <c r="B200" s="10"/>
      <c r="C200" s="10"/>
      <c r="D200" s="10"/>
      <c r="E200" s="10"/>
      <c r="F200" s="10"/>
    </row>
    <row r="201" spans="1:6" ht="18" x14ac:dyDescent="0.25">
      <c r="A201" s="10"/>
      <c r="B201" s="10"/>
      <c r="C201" s="10"/>
      <c r="D201" s="10"/>
      <c r="E201" s="10"/>
      <c r="F201" s="10"/>
    </row>
    <row r="202" spans="1:6" ht="18.75" thickBot="1" x14ac:dyDescent="0.3">
      <c r="A202" s="10" t="s">
        <v>48</v>
      </c>
      <c r="B202" s="11">
        <f>'Huvud mätare'!$A$2</f>
        <v>45777</v>
      </c>
      <c r="C202" s="10" t="s">
        <v>49</v>
      </c>
      <c r="D202" s="14"/>
    </row>
    <row r="203" spans="1:6" ht="18" x14ac:dyDescent="0.25">
      <c r="A203" s="10"/>
      <c r="B203" s="10"/>
      <c r="C203" s="10"/>
      <c r="D203" s="10"/>
      <c r="E203" s="10"/>
      <c r="F203" s="10"/>
    </row>
    <row r="204" spans="1:6" ht="18" x14ac:dyDescent="0.25">
      <c r="A204" s="10"/>
      <c r="B204" s="10"/>
      <c r="C204" s="10"/>
      <c r="D204" s="10"/>
      <c r="E204" s="10"/>
      <c r="F204" s="10"/>
    </row>
    <row r="205" spans="1:6" ht="18" x14ac:dyDescent="0.25">
      <c r="A205" s="10" t="s">
        <v>50</v>
      </c>
      <c r="B205" s="10"/>
      <c r="C205" s="10"/>
      <c r="D205" s="10"/>
      <c r="E205" s="10"/>
      <c r="F205" s="10"/>
    </row>
    <row r="206" spans="1:6" ht="18" x14ac:dyDescent="0.25">
      <c r="A206" s="10"/>
      <c r="B206" s="10"/>
      <c r="C206" s="10"/>
      <c r="D206" s="10"/>
      <c r="E206" s="10"/>
      <c r="F206" s="10"/>
    </row>
    <row r="215" spans="1:6" ht="18" x14ac:dyDescent="0.25">
      <c r="A215" s="10" t="s">
        <v>44</v>
      </c>
      <c r="B215" s="12">
        <f>Gräsv.26!$A$1</f>
        <v>26</v>
      </c>
      <c r="C215" s="10"/>
      <c r="D215" s="10"/>
      <c r="E215" s="10"/>
      <c r="F215" s="10"/>
    </row>
    <row r="216" spans="1:6" ht="18" x14ac:dyDescent="0.25">
      <c r="A216" s="10"/>
      <c r="B216" s="12"/>
      <c r="C216" s="10"/>
      <c r="D216" s="10"/>
      <c r="E216" s="10"/>
      <c r="F216" s="10"/>
    </row>
    <row r="217" spans="1:6" ht="18" x14ac:dyDescent="0.25">
      <c r="A217" s="10"/>
      <c r="B217" s="12"/>
      <c r="C217" s="10"/>
      <c r="D217" s="10"/>
      <c r="E217" s="10"/>
      <c r="F217" s="10"/>
    </row>
    <row r="218" spans="1:6" ht="18" x14ac:dyDescent="0.25">
      <c r="A218" s="10" t="s">
        <v>45</v>
      </c>
      <c r="B218" s="10"/>
      <c r="C218" s="10"/>
      <c r="D218" s="10"/>
      <c r="E218" s="10"/>
      <c r="F218" s="10"/>
    </row>
    <row r="219" spans="1:6" ht="18" x14ac:dyDescent="0.25">
      <c r="A219" s="10"/>
      <c r="B219" s="10"/>
      <c r="C219" s="10"/>
      <c r="D219" s="10"/>
      <c r="E219" s="10"/>
      <c r="F219" s="10"/>
    </row>
    <row r="220" spans="1:6" ht="18" x14ac:dyDescent="0.25">
      <c r="A220" s="10" t="s">
        <v>46</v>
      </c>
      <c r="B220" s="10"/>
      <c r="C220" s="10"/>
      <c r="D220" s="13">
        <f>Gräsv.26!$B$3</f>
        <v>186</v>
      </c>
      <c r="E220" s="10" t="s">
        <v>47</v>
      </c>
      <c r="F220" s="10"/>
    </row>
    <row r="221" spans="1:6" ht="18" x14ac:dyDescent="0.25">
      <c r="A221" s="10"/>
      <c r="B221" s="10"/>
      <c r="C221" s="10"/>
      <c r="D221" s="10"/>
      <c r="E221" s="10"/>
      <c r="F221" s="10"/>
    </row>
    <row r="222" spans="1:6" ht="18" x14ac:dyDescent="0.25">
      <c r="A222" s="10"/>
      <c r="B222" s="10"/>
      <c r="C222" s="10"/>
      <c r="D222" s="10"/>
      <c r="E222" s="10"/>
      <c r="F222" s="10"/>
    </row>
    <row r="223" spans="1:6" ht="18.75" thickBot="1" x14ac:dyDescent="0.3">
      <c r="A223" s="10" t="s">
        <v>48</v>
      </c>
      <c r="B223" s="11">
        <f>'Huvud mätare'!$A$2</f>
        <v>45777</v>
      </c>
      <c r="C223" s="10" t="s">
        <v>49</v>
      </c>
      <c r="D223" s="14"/>
    </row>
    <row r="224" spans="1:6" ht="18" x14ac:dyDescent="0.25">
      <c r="A224" s="10"/>
      <c r="B224" s="10"/>
      <c r="C224" s="10"/>
      <c r="D224" s="10"/>
      <c r="E224" s="10"/>
      <c r="F224" s="10"/>
    </row>
    <row r="225" spans="1:6" ht="18" x14ac:dyDescent="0.25">
      <c r="A225" s="10"/>
      <c r="B225" s="10"/>
      <c r="C225" s="10"/>
      <c r="D225" s="10"/>
      <c r="E225" s="10"/>
      <c r="F225" s="10"/>
    </row>
    <row r="226" spans="1:6" ht="18" x14ac:dyDescent="0.25">
      <c r="A226" s="10" t="s">
        <v>50</v>
      </c>
      <c r="B226" s="10"/>
      <c r="C226" s="10"/>
      <c r="D226" s="10"/>
      <c r="E226" s="10"/>
      <c r="F226" s="10"/>
    </row>
    <row r="227" spans="1:6" ht="18" x14ac:dyDescent="0.25">
      <c r="A227" s="10"/>
      <c r="B227" s="10"/>
      <c r="C227" s="10"/>
      <c r="D227" s="10"/>
      <c r="E227" s="10"/>
      <c r="F227" s="10"/>
    </row>
    <row r="228" spans="1:6" ht="18" x14ac:dyDescent="0.25">
      <c r="A228" s="10"/>
      <c r="B228" s="10"/>
      <c r="C228" s="10"/>
      <c r="D228" s="10"/>
      <c r="E228" s="10"/>
      <c r="F228" s="10"/>
    </row>
    <row r="229" spans="1:6" ht="18" x14ac:dyDescent="0.25">
      <c r="A229" s="10"/>
      <c r="B229" s="10"/>
      <c r="C229" s="10"/>
      <c r="D229" s="10"/>
      <c r="E229" s="10"/>
      <c r="F229" s="10"/>
    </row>
    <row r="230" spans="1:6" ht="18" x14ac:dyDescent="0.25">
      <c r="A230" s="10"/>
      <c r="B230" s="10"/>
      <c r="C230" s="10"/>
      <c r="D230" s="10"/>
      <c r="E230" s="10"/>
      <c r="F230" s="10"/>
    </row>
    <row r="231" spans="1:6" ht="18" x14ac:dyDescent="0.25">
      <c r="A231" s="10"/>
      <c r="B231" s="10"/>
      <c r="C231" s="10"/>
      <c r="D231" s="10"/>
      <c r="E231" s="10"/>
      <c r="F231" s="10"/>
    </row>
    <row r="232" spans="1:6" ht="18" x14ac:dyDescent="0.25">
      <c r="A232" s="10"/>
      <c r="B232" s="10"/>
      <c r="C232" s="10"/>
      <c r="D232" s="10"/>
      <c r="E232" s="10"/>
      <c r="F232" s="10"/>
    </row>
    <row r="233" spans="1:6" ht="18" x14ac:dyDescent="0.25">
      <c r="A233" s="10"/>
      <c r="B233" s="10"/>
      <c r="C233" s="10"/>
      <c r="D233" s="10"/>
      <c r="E233" s="10"/>
      <c r="F233" s="10"/>
    </row>
    <row r="234" spans="1:6" ht="18" x14ac:dyDescent="0.25">
      <c r="A234" s="10"/>
      <c r="B234" s="12"/>
      <c r="C234" s="10"/>
      <c r="D234" s="10"/>
      <c r="E234" s="10"/>
      <c r="F234" s="10"/>
    </row>
    <row r="235" spans="1:6" s="37" customFormat="1" ht="18" x14ac:dyDescent="0.25">
      <c r="A235" s="35"/>
      <c r="B235" s="36"/>
      <c r="C235" s="35"/>
      <c r="D235" s="35"/>
      <c r="E235" s="35"/>
      <c r="F235" s="35"/>
    </row>
    <row r="236" spans="1:6" ht="18" x14ac:dyDescent="0.25">
      <c r="A236" s="10"/>
      <c r="B236" s="12"/>
      <c r="C236" s="10"/>
      <c r="D236" s="10"/>
      <c r="E236" s="10"/>
      <c r="F236" s="10"/>
    </row>
    <row r="237" spans="1:6" ht="18" x14ac:dyDescent="0.25">
      <c r="A237" s="10" t="s">
        <v>44</v>
      </c>
      <c r="B237" s="12">
        <f>Gräsv.28!$A$1</f>
        <v>28</v>
      </c>
      <c r="C237" s="10"/>
      <c r="D237" s="10"/>
      <c r="E237" s="10"/>
      <c r="F237" s="10"/>
    </row>
    <row r="238" spans="1:6" ht="18" x14ac:dyDescent="0.25">
      <c r="A238" s="10"/>
      <c r="B238" s="12"/>
      <c r="C238" s="10"/>
      <c r="D238" s="10"/>
      <c r="E238" s="10"/>
      <c r="F238" s="10"/>
    </row>
    <row r="239" spans="1:6" ht="18" x14ac:dyDescent="0.25">
      <c r="A239" s="10"/>
      <c r="B239" s="12"/>
      <c r="C239" s="10"/>
      <c r="D239" s="10"/>
      <c r="E239" s="10"/>
      <c r="F239" s="10"/>
    </row>
    <row r="240" spans="1:6" ht="18" x14ac:dyDescent="0.25">
      <c r="A240" s="10" t="s">
        <v>45</v>
      </c>
      <c r="B240" s="10"/>
      <c r="C240" s="10"/>
      <c r="D240" s="10"/>
      <c r="E240" s="10"/>
      <c r="F240" s="10"/>
    </row>
    <row r="241" spans="1:6" ht="18" x14ac:dyDescent="0.25">
      <c r="A241" s="10"/>
      <c r="B241" s="10"/>
      <c r="C241" s="10"/>
      <c r="D241" s="10"/>
      <c r="E241" s="10"/>
      <c r="F241" s="10"/>
    </row>
    <row r="242" spans="1:6" ht="18" x14ac:dyDescent="0.25">
      <c r="A242" s="10" t="s">
        <v>46</v>
      </c>
      <c r="B242" s="10"/>
      <c r="C242" s="10"/>
      <c r="D242" s="13">
        <f>Gräsv.28!$B$3</f>
        <v>4388</v>
      </c>
      <c r="E242" s="10" t="s">
        <v>47</v>
      </c>
      <c r="F242" s="10"/>
    </row>
    <row r="243" spans="1:6" ht="18" x14ac:dyDescent="0.25">
      <c r="A243" s="10"/>
      <c r="B243" s="10"/>
      <c r="C243" s="10"/>
      <c r="D243" s="10"/>
      <c r="E243" s="10"/>
      <c r="F243" s="10"/>
    </row>
    <row r="244" spans="1:6" ht="18" x14ac:dyDescent="0.25">
      <c r="A244" s="10"/>
      <c r="B244" s="10"/>
      <c r="C244" s="10"/>
      <c r="D244" s="10"/>
      <c r="E244" s="10"/>
      <c r="F244" s="10"/>
    </row>
    <row r="245" spans="1:6" ht="18.75" thickBot="1" x14ac:dyDescent="0.3">
      <c r="A245" s="10" t="s">
        <v>48</v>
      </c>
      <c r="B245" s="11">
        <f>'Huvud mätare'!$A$2</f>
        <v>45777</v>
      </c>
      <c r="C245" s="10" t="s">
        <v>49</v>
      </c>
      <c r="D245" s="14"/>
    </row>
    <row r="246" spans="1:6" ht="18" x14ac:dyDescent="0.25">
      <c r="A246" s="10"/>
      <c r="B246" s="10"/>
      <c r="C246" s="10"/>
      <c r="D246" s="10"/>
      <c r="E246" s="10"/>
      <c r="F246" s="10"/>
    </row>
    <row r="247" spans="1:6" ht="18" x14ac:dyDescent="0.25">
      <c r="A247" s="10"/>
      <c r="B247" s="10"/>
      <c r="C247" s="10"/>
      <c r="D247" s="10"/>
      <c r="E247" s="10"/>
      <c r="F247" s="10"/>
    </row>
    <row r="248" spans="1:6" ht="18" x14ac:dyDescent="0.25">
      <c r="A248" s="10" t="s">
        <v>50</v>
      </c>
      <c r="B248" s="10"/>
      <c r="C248" s="10"/>
      <c r="D248" s="10"/>
      <c r="E248" s="10"/>
      <c r="F248" s="10"/>
    </row>
    <row r="249" spans="1:6" ht="18" x14ac:dyDescent="0.25">
      <c r="A249" s="10"/>
      <c r="B249" s="10"/>
      <c r="C249" s="10"/>
      <c r="D249" s="10"/>
      <c r="E249" s="10"/>
      <c r="F249" s="10"/>
    </row>
    <row r="258" spans="1:6" ht="18" x14ac:dyDescent="0.25">
      <c r="A258" s="10" t="s">
        <v>44</v>
      </c>
      <c r="B258" s="12">
        <f>Gräsv.30!$A$1</f>
        <v>30</v>
      </c>
      <c r="C258" s="10"/>
      <c r="D258" s="10"/>
      <c r="E258" s="10"/>
      <c r="F258" s="10"/>
    </row>
    <row r="259" spans="1:6" ht="18" x14ac:dyDescent="0.25">
      <c r="A259" s="10"/>
      <c r="B259" s="12"/>
      <c r="C259" s="10"/>
      <c r="D259" s="10"/>
      <c r="E259" s="10"/>
      <c r="F259" s="10"/>
    </row>
    <row r="260" spans="1:6" ht="18" x14ac:dyDescent="0.25">
      <c r="A260" s="10"/>
      <c r="B260" s="12"/>
      <c r="C260" s="10"/>
      <c r="D260" s="10"/>
      <c r="E260" s="10"/>
      <c r="F260" s="10"/>
    </row>
    <row r="261" spans="1:6" ht="18" x14ac:dyDescent="0.25">
      <c r="A261" s="10" t="s">
        <v>45</v>
      </c>
      <c r="B261" s="10"/>
      <c r="C261" s="10"/>
      <c r="D261" s="10"/>
      <c r="E261" s="10"/>
      <c r="F261" s="10"/>
    </row>
    <row r="262" spans="1:6" ht="18" x14ac:dyDescent="0.25">
      <c r="A262" s="10"/>
      <c r="B262" s="10"/>
      <c r="C262" s="10"/>
      <c r="D262" s="10"/>
      <c r="E262" s="10"/>
      <c r="F262" s="10"/>
    </row>
    <row r="263" spans="1:6" ht="18" x14ac:dyDescent="0.25">
      <c r="A263" s="10" t="s">
        <v>46</v>
      </c>
      <c r="B263" s="10"/>
      <c r="C263" s="10"/>
      <c r="D263" s="13">
        <f>Gräsv.30!$B$3</f>
        <v>2689</v>
      </c>
      <c r="E263" s="10" t="s">
        <v>47</v>
      </c>
      <c r="F263" s="10"/>
    </row>
    <row r="264" spans="1:6" ht="18" x14ac:dyDescent="0.25">
      <c r="A264" s="10"/>
      <c r="B264" s="10"/>
      <c r="C264" s="10"/>
      <c r="D264" s="10"/>
      <c r="E264" s="10"/>
      <c r="F264" s="10"/>
    </row>
    <row r="265" spans="1:6" ht="18" x14ac:dyDescent="0.25">
      <c r="A265" s="10"/>
      <c r="B265" s="10"/>
      <c r="C265" s="10"/>
      <c r="D265" s="10"/>
      <c r="E265" s="10"/>
      <c r="F265" s="10"/>
    </row>
    <row r="266" spans="1:6" ht="18.75" thickBot="1" x14ac:dyDescent="0.3">
      <c r="A266" s="10" t="s">
        <v>48</v>
      </c>
      <c r="B266" s="11">
        <f>'Huvud mätare'!$A$2</f>
        <v>45777</v>
      </c>
      <c r="C266" s="10" t="s">
        <v>49</v>
      </c>
      <c r="D266" s="14"/>
    </row>
    <row r="267" spans="1:6" ht="18" x14ac:dyDescent="0.25">
      <c r="A267" s="10"/>
      <c r="B267" s="10"/>
      <c r="C267" s="10"/>
      <c r="D267" s="10"/>
      <c r="E267" s="10"/>
      <c r="F267" s="10"/>
    </row>
    <row r="268" spans="1:6" ht="18" x14ac:dyDescent="0.25">
      <c r="A268" s="10"/>
      <c r="B268" s="10"/>
      <c r="C268" s="10"/>
      <c r="D268" s="10"/>
      <c r="E268" s="10"/>
      <c r="F268" s="10"/>
    </row>
    <row r="269" spans="1:6" ht="18" x14ac:dyDescent="0.25">
      <c r="A269" s="10" t="s">
        <v>50</v>
      </c>
      <c r="B269" s="10"/>
      <c r="C269" s="10"/>
      <c r="D269" s="10"/>
      <c r="E269" s="10"/>
      <c r="F269" s="10"/>
    </row>
    <row r="270" spans="1:6" ht="18" x14ac:dyDescent="0.25">
      <c r="A270" s="10"/>
      <c r="B270" s="10"/>
      <c r="C270" s="10"/>
      <c r="D270" s="10"/>
      <c r="E270" s="10"/>
      <c r="F270" s="10"/>
    </row>
    <row r="271" spans="1:6" ht="18" x14ac:dyDescent="0.25">
      <c r="A271" s="10"/>
      <c r="B271" s="10"/>
      <c r="C271" s="10"/>
      <c r="D271" s="10"/>
      <c r="E271" s="10"/>
      <c r="F271" s="10"/>
    </row>
    <row r="272" spans="1:6" ht="18" x14ac:dyDescent="0.25">
      <c r="A272" s="10"/>
      <c r="B272" s="10"/>
      <c r="C272" s="10"/>
      <c r="D272" s="10"/>
      <c r="E272" s="10"/>
      <c r="F272" s="10"/>
    </row>
    <row r="273" spans="1:6" ht="18" x14ac:dyDescent="0.25">
      <c r="A273" s="10"/>
      <c r="B273" s="10"/>
      <c r="C273" s="10"/>
      <c r="D273" s="10"/>
      <c r="E273" s="10"/>
      <c r="F273" s="10"/>
    </row>
    <row r="274" spans="1:6" ht="18" x14ac:dyDescent="0.25">
      <c r="A274" s="10"/>
      <c r="B274" s="10"/>
      <c r="C274" s="10"/>
      <c r="D274" s="10"/>
      <c r="E274" s="10"/>
      <c r="F274" s="10"/>
    </row>
    <row r="275" spans="1:6" ht="18" x14ac:dyDescent="0.25">
      <c r="A275" s="10"/>
      <c r="B275" s="10"/>
      <c r="C275" s="10"/>
      <c r="D275" s="10"/>
      <c r="E275" s="10"/>
      <c r="F275" s="10"/>
    </row>
    <row r="276" spans="1:6" ht="18" x14ac:dyDescent="0.25">
      <c r="A276" s="10"/>
      <c r="B276" s="10"/>
      <c r="C276" s="10"/>
      <c r="D276" s="10"/>
      <c r="E276" s="10"/>
      <c r="F276" s="10"/>
    </row>
    <row r="277" spans="1:6" ht="18" x14ac:dyDescent="0.25">
      <c r="A277" s="10"/>
      <c r="B277" s="12"/>
      <c r="C277" s="10"/>
      <c r="D277" s="10"/>
      <c r="E277" s="10"/>
      <c r="F277" s="10"/>
    </row>
    <row r="278" spans="1:6" s="34" customFormat="1" ht="18" x14ac:dyDescent="0.25">
      <c r="A278" s="32"/>
      <c r="B278" s="33"/>
      <c r="C278" s="32"/>
      <c r="D278" s="32"/>
      <c r="E278" s="32"/>
      <c r="F278" s="32"/>
    </row>
    <row r="279" spans="1:6" ht="18" x14ac:dyDescent="0.25">
      <c r="A279" s="10"/>
      <c r="B279" s="12"/>
      <c r="C279" s="10"/>
      <c r="D279" s="10"/>
      <c r="E279" s="10"/>
      <c r="F279" s="10"/>
    </row>
    <row r="280" spans="1:6" ht="18" x14ac:dyDescent="0.25">
      <c r="A280" s="10" t="s">
        <v>44</v>
      </c>
      <c r="B280" s="12">
        <f>Gräsv.32!$A$1</f>
        <v>32</v>
      </c>
      <c r="C280" s="10"/>
      <c r="D280" s="10"/>
      <c r="E280" s="10"/>
      <c r="F280" s="10"/>
    </row>
    <row r="281" spans="1:6" ht="18" x14ac:dyDescent="0.25">
      <c r="A281" s="10"/>
      <c r="B281" s="12"/>
      <c r="C281" s="10"/>
      <c r="D281" s="10"/>
      <c r="E281" s="10"/>
      <c r="F281" s="10"/>
    </row>
    <row r="282" spans="1:6" ht="18" x14ac:dyDescent="0.25">
      <c r="A282" s="10"/>
      <c r="B282" s="12"/>
      <c r="C282" s="10"/>
      <c r="D282" s="10"/>
      <c r="E282" s="10"/>
      <c r="F282" s="10"/>
    </row>
    <row r="283" spans="1:6" ht="18" x14ac:dyDescent="0.25">
      <c r="A283" s="10" t="s">
        <v>45</v>
      </c>
      <c r="B283" s="10"/>
      <c r="C283" s="10"/>
      <c r="D283" s="10"/>
      <c r="E283" s="10"/>
      <c r="F283" s="10"/>
    </row>
    <row r="284" spans="1:6" ht="18" x14ac:dyDescent="0.25">
      <c r="A284" s="10"/>
      <c r="B284" s="10"/>
      <c r="C284" s="10"/>
      <c r="D284" s="10"/>
      <c r="E284" s="10"/>
      <c r="F284" s="10"/>
    </row>
    <row r="285" spans="1:6" ht="18" x14ac:dyDescent="0.25">
      <c r="A285" s="10" t="s">
        <v>46</v>
      </c>
      <c r="B285" s="10"/>
      <c r="C285" s="10"/>
      <c r="D285" s="13">
        <f>Gräsv.32!$B$3</f>
        <v>5657</v>
      </c>
      <c r="E285" s="10" t="s">
        <v>47</v>
      </c>
      <c r="F285" s="10"/>
    </row>
    <row r="286" spans="1:6" ht="18" x14ac:dyDescent="0.25">
      <c r="A286" s="10"/>
      <c r="B286" s="10"/>
      <c r="C286" s="10"/>
      <c r="D286" s="10"/>
      <c r="E286" s="10"/>
      <c r="F286" s="10"/>
    </row>
    <row r="287" spans="1:6" ht="18" x14ac:dyDescent="0.25">
      <c r="A287" s="10"/>
      <c r="B287" s="10"/>
      <c r="C287" s="10"/>
      <c r="D287" s="10"/>
      <c r="E287" s="10"/>
      <c r="F287" s="10"/>
    </row>
    <row r="288" spans="1:6" ht="18.75" thickBot="1" x14ac:dyDescent="0.3">
      <c r="A288" s="10" t="s">
        <v>48</v>
      </c>
      <c r="B288" s="11">
        <f>'Huvud mätare'!$A$2</f>
        <v>45777</v>
      </c>
      <c r="C288" s="10" t="s">
        <v>49</v>
      </c>
      <c r="D288" s="14"/>
    </row>
    <row r="289" spans="1:6" ht="18" x14ac:dyDescent="0.25">
      <c r="A289" s="10"/>
      <c r="B289" s="10"/>
      <c r="C289" s="10"/>
      <c r="D289" s="10"/>
      <c r="E289" s="10"/>
      <c r="F289" s="10"/>
    </row>
    <row r="290" spans="1:6" ht="18" x14ac:dyDescent="0.25">
      <c r="A290" s="10"/>
      <c r="B290" s="10"/>
      <c r="C290" s="10"/>
      <c r="D290" s="10"/>
      <c r="E290" s="10"/>
      <c r="F290" s="10"/>
    </row>
    <row r="291" spans="1:6" ht="18" x14ac:dyDescent="0.25">
      <c r="A291" s="10" t="s">
        <v>50</v>
      </c>
      <c r="B291" s="10"/>
      <c r="C291" s="10"/>
      <c r="D291" s="10"/>
      <c r="E291" s="10"/>
      <c r="F291" s="10"/>
    </row>
    <row r="292" spans="1:6" ht="18" x14ac:dyDescent="0.25">
      <c r="A292" s="10"/>
      <c r="B292" s="10"/>
      <c r="C292" s="10"/>
      <c r="D292" s="10"/>
      <c r="E292" s="10"/>
      <c r="F292" s="10"/>
    </row>
  </sheetData>
  <mergeCells count="1">
    <mergeCell ref="A14:F14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21B25-27B7-4B3D-A664-D81CE3A6DD65}">
  <sheetPr>
    <tabColor theme="0" tint="-0.249977111117893"/>
    <pageSetUpPr fitToPage="1"/>
  </sheetPr>
  <dimension ref="B1:D33"/>
  <sheetViews>
    <sheetView showGridLines="0" tabSelected="1" view="pageLayout" zoomScaleNormal="100" workbookViewId="0">
      <selection activeCell="D11" sqref="D11"/>
    </sheetView>
  </sheetViews>
  <sheetFormatPr defaultColWidth="9.140625" defaultRowHeight="30" customHeight="1" x14ac:dyDescent="0.25"/>
  <cols>
    <col min="1" max="1" width="3" style="46" customWidth="1"/>
    <col min="2" max="2" width="55.42578125" style="46" customWidth="1"/>
    <col min="3" max="3" width="21.140625" style="46" bestFit="1" customWidth="1"/>
    <col min="4" max="4" width="22.7109375" style="46" customWidth="1"/>
    <col min="5" max="5" width="3" style="46" customWidth="1"/>
    <col min="6" max="16384" width="9.140625" style="46"/>
  </cols>
  <sheetData>
    <row r="1" spans="2:4" ht="34.5" customHeight="1" x14ac:dyDescent="0.45">
      <c r="B1" s="45" t="s">
        <v>51</v>
      </c>
      <c r="C1" s="70" t="s">
        <v>52</v>
      </c>
      <c r="D1" s="70"/>
    </row>
    <row r="2" spans="2:4" ht="30" customHeight="1" x14ac:dyDescent="0.25">
      <c r="B2" s="47"/>
    </row>
    <row r="3" spans="2:4" ht="30" customHeight="1" x14ac:dyDescent="0.25">
      <c r="B3" s="46" t="str">
        <f>"Gräsvägen " &amp; Gräsv.6!$A$1</f>
        <v>Gräsvägen 6</v>
      </c>
      <c r="C3" s="48" t="s">
        <v>53</v>
      </c>
      <c r="D3" s="49">
        <f ca="1">TODAY()</f>
        <v>45806</v>
      </c>
    </row>
    <row r="4" spans="2:4" ht="15" customHeight="1" x14ac:dyDescent="0.25">
      <c r="B4" s="46" t="s">
        <v>54</v>
      </c>
      <c r="C4" s="48"/>
      <c r="D4" s="50"/>
    </row>
    <row r="5" spans="2:4" ht="30" customHeight="1" x14ac:dyDescent="0.25">
      <c r="B5" s="51"/>
      <c r="C5" s="52"/>
      <c r="D5" s="53"/>
    </row>
    <row r="6" spans="2:4" ht="30" customHeight="1" x14ac:dyDescent="0.25">
      <c r="B6" s="51"/>
    </row>
    <row r="7" spans="2:4" ht="30" customHeight="1" x14ac:dyDescent="0.25">
      <c r="B7" s="54" t="s">
        <v>55</v>
      </c>
      <c r="C7" s="55" t="s">
        <v>56</v>
      </c>
      <c r="D7" s="54" t="s">
        <v>57</v>
      </c>
    </row>
    <row r="8" spans="2:4" ht="27.2" customHeight="1" x14ac:dyDescent="0.25">
      <c r="B8" s="56" t="s">
        <v>58</v>
      </c>
      <c r="C8" t="str">
        <f>Gräsv.6!$D$3 &amp; "m³ X " &amp;Gräsv.6!$F$3</f>
        <v>26m³ X 24</v>
      </c>
      <c r="D8" s="16">
        <f>Gräsv.6!$G$3</f>
        <v>588</v>
      </c>
    </row>
    <row r="9" spans="2:4" ht="27.2" customHeight="1" x14ac:dyDescent="0.25">
      <c r="B9" s="56" t="s">
        <v>59</v>
      </c>
      <c r="C9" s="56"/>
      <c r="D9" s="16">
        <f>Gräsv.6!$H$3</f>
        <v>879.14738095238101</v>
      </c>
    </row>
    <row r="10" spans="2:4" ht="27.2" customHeight="1" x14ac:dyDescent="0.25">
      <c r="B10" s="56" t="s">
        <v>60</v>
      </c>
      <c r="C10" s="56" t="s">
        <v>61</v>
      </c>
      <c r="D10" s="9">
        <f>Gräsv.6!$I$3</f>
        <v>1000</v>
      </c>
    </row>
    <row r="11" spans="2:4" ht="27.2" customHeight="1" x14ac:dyDescent="0.25">
      <c r="B11" s="56"/>
      <c r="C11" s="56"/>
      <c r="D11" s="59"/>
    </row>
    <row r="12" spans="2:4" ht="27.2" customHeight="1" x14ac:dyDescent="0.25">
      <c r="B12" s="56"/>
      <c r="C12" s="56"/>
      <c r="D12" s="59"/>
    </row>
    <row r="13" spans="2:4" ht="27.2" customHeight="1" x14ac:dyDescent="0.25">
      <c r="B13" s="56"/>
      <c r="C13" s="56"/>
      <c r="D13" s="59"/>
    </row>
    <row r="14" spans="2:4" ht="27.2" customHeight="1" x14ac:dyDescent="0.25">
      <c r="B14" s="56"/>
      <c r="C14" s="56"/>
      <c r="D14" s="59"/>
    </row>
    <row r="15" spans="2:4" ht="30" customHeight="1" x14ac:dyDescent="0.25">
      <c r="B15" s="57"/>
      <c r="C15" s="58" t="s">
        <v>62</v>
      </c>
      <c r="D15" s="60">
        <f>SUBTOTAL(109,Faktura[BELOPP])</f>
        <v>2467.1473809523809</v>
      </c>
    </row>
    <row r="17" spans="2:4" ht="30" customHeight="1" x14ac:dyDescent="0.25">
      <c r="B17" s="71" t="s">
        <v>63</v>
      </c>
      <c r="C17" s="71"/>
      <c r="D17" s="71"/>
    </row>
    <row r="18" spans="2:4" ht="30" customHeight="1" x14ac:dyDescent="0.25">
      <c r="B18" s="72"/>
      <c r="C18" s="72"/>
      <c r="D18" s="72"/>
    </row>
    <row r="19" spans="2:4" ht="17.100000000000001" customHeight="1" x14ac:dyDescent="0.25"/>
    <row r="20" spans="2:4" ht="17.100000000000001" customHeight="1" x14ac:dyDescent="0.25"/>
    <row r="21" spans="2:4" ht="17.100000000000001" customHeight="1" x14ac:dyDescent="0.4">
      <c r="C21" s="44"/>
    </row>
    <row r="22" spans="2:4" ht="17.100000000000001" customHeight="1" x14ac:dyDescent="0.4">
      <c r="C22" s="44"/>
    </row>
    <row r="23" spans="2:4" ht="17.100000000000001" customHeight="1" x14ac:dyDescent="0.4">
      <c r="C23" s="44" t="s">
        <v>64</v>
      </c>
    </row>
    <row r="24" spans="2:4" ht="17.100000000000001" customHeight="1" x14ac:dyDescent="0.25">
      <c r="C24" s="43"/>
    </row>
    <row r="25" spans="2:4" ht="17.100000000000001" customHeight="1" x14ac:dyDescent="0.25">
      <c r="C25" s="43" t="s">
        <v>51</v>
      </c>
    </row>
    <row r="26" spans="2:4" ht="17.100000000000001" customHeight="1" x14ac:dyDescent="0.25">
      <c r="C26"/>
    </row>
    <row r="27" spans="2:4" ht="17.100000000000001" customHeight="1" x14ac:dyDescent="0.25">
      <c r="C27"/>
    </row>
    <row r="28" spans="2:4" ht="17.100000000000001" customHeight="1" x14ac:dyDescent="0.25">
      <c r="C28"/>
    </row>
    <row r="29" spans="2:4" ht="17.100000000000001" customHeight="1" x14ac:dyDescent="0.25">
      <c r="C29"/>
    </row>
    <row r="30" spans="2:4" ht="17.100000000000001" customHeight="1" x14ac:dyDescent="0.25">
      <c r="C30"/>
    </row>
    <row r="31" spans="2:4" ht="21.6" customHeight="1" x14ac:dyDescent="0.25">
      <c r="C31"/>
    </row>
    <row r="32" spans="2:4" ht="17.100000000000001" customHeight="1" x14ac:dyDescent="0.25">
      <c r="C32" s="61">
        <f>Faktura[[#Totals],[BELOPP]]</f>
        <v>2467.1473809523809</v>
      </c>
    </row>
    <row r="33" ht="17.100000000000001" customHeight="1" x14ac:dyDescent="0.25"/>
  </sheetData>
  <mergeCells count="3">
    <mergeCell ref="C1:D1"/>
    <mergeCell ref="B17:D17"/>
    <mergeCell ref="B18:D18"/>
  </mergeCells>
  <phoneticPr fontId="24" type="noConversion"/>
  <dataValidations disablePrompts="1" count="19">
    <dataValidation allowBlank="1" showInputMessage="1" showErrorMessage="1" prompt="Den här cellen innehåller kalkylbladets rubrik. Ange fakturainformation i cell C3 till D5" sqref="C1:D1" xr:uid="{E60DF69E-B793-4B08-BB08-84D7E6972ABF}"/>
    <dataValidation allowBlank="1" showInputMessage="1" showErrorMessage="1" prompt="Skapa en faktura som beräknar summan i det här kalkylbladet. Ange företags- och kundinformation, och beskrivningar och belopp i tabellen Faktura. Totalsumman beräknas automatiskt" sqref="A1" xr:uid="{CE64BC35-1ACB-41FB-8467-9F0C30DDA3DC}"/>
    <dataValidation allowBlank="1" showInputMessage="1" showErrorMessage="1" prompt="Lägg till faktureringsföretagets namn i den här cellen och dess slogan i cellen nedan" sqref="B1" xr:uid="{BCA963C3-1A3F-42C1-B1D4-2B23C56D46CB}"/>
    <dataValidation allowBlank="1" showInputMessage="1" showErrorMessage="1" prompt="Ange fakturadatum i den här cellen" sqref="D3" xr:uid="{85CBF73C-9FC0-4130-AD21-CC62DD40280B}"/>
    <dataValidation allowBlank="1" showInputMessage="1" showErrorMessage="1" prompt="Ange fakturadatum i cellen till höger" sqref="C3" xr:uid="{7D7838ED-BDFD-4FCA-8B94-4D02113A0CBC}"/>
    <dataValidation allowBlank="1" showInputMessage="1" showErrorMessage="1" prompt="Ange fakturanummer i den här cellen" sqref="D4" xr:uid="{6C9863D6-B4CE-4E33-B759-1E4C56CFB6B6}"/>
    <dataValidation allowBlank="1" showInputMessage="1" showErrorMessage="1" prompt="Ange fakturanummer i cellen till höger" sqref="C4" xr:uid="{49627475-3B20-4FDB-BCDF-7FDFAC2B42E6}"/>
    <dataValidation allowBlank="1" showInputMessage="1" showErrorMessage="1" prompt="Ange fakturans produktbeskrivning i cellen till höger" sqref="C5" xr:uid="{63E71FFE-3A29-4E2E-8356-99278E313CA2}"/>
    <dataValidation allowBlank="1" showInputMessage="1" showErrorMessage="1" prompt="Ange produktbeskrivning för faktura i denna cell" sqref="D5" xr:uid="{9455C0CB-124C-4B57-BC6E-41466774A178}"/>
    <dataValidation allowBlank="1" showInputMessage="1" showErrorMessage="1" prompt="Ange företagets slogan i den här cellen och företagsadress i cellen nedan" sqref="B2" xr:uid="{99D07F06-4EF2-482A-A2B6-03849A99F4FB}"/>
    <dataValidation allowBlank="1" showInputMessage="1" showErrorMessage="1" prompt="Ange företagets gatuadress i den här cellen" sqref="B3" xr:uid="{56276330-1215-4221-ACAF-C9074835C23A}"/>
    <dataValidation allowBlank="1" showInputMessage="1" showErrorMessage="1" prompt="Ange postnummer och ort i den här cellen" sqref="B4" xr:uid="{F176D0B4-33FC-4FB2-BD8C-1D8FB8A0E95F}"/>
    <dataValidation allowBlank="1" showInputMessage="1" showErrorMessage="1" prompt="Ange telefon- och faxnummer inom parentes i den här cellen" sqref="B5" xr:uid="{F57BAA35-4298-4DED-8F37-1172013B7136}"/>
    <dataValidation allowBlank="1" showInputMessage="1" showErrorMessage="1" prompt="Ange kundens telefonnummer i den här cellen" sqref="B6" xr:uid="{24CF8E49-8177-4C0E-891A-86A0AF77AB91}"/>
    <dataValidation allowBlank="1" showInputMessage="1" showErrorMessage="1" prompt="Ange fakturabeskrivning i den här kolumnen under den här rubriken" sqref="B7" xr:uid="{A4B92947-6982-440D-B0AB-DD9ABE754659}"/>
    <dataValidation allowBlank="1" showInputMessage="1" showErrorMessage="1" prompt="Ange anpassat fält i den här rubriken och motsvarande data i den här kolumnen under denna rubrik" sqref="C7" xr:uid="{A791E931-C187-456C-A6E3-AD008F6FC112}"/>
    <dataValidation allowBlank="1" showInputMessage="1" showErrorMessage="1" prompt="Ange belopp i den här kolumnen under rubriken för varje beskrivning i kolumn B. Den sista cellen i tabellen innehåller totalsumman som ska betalas" sqref="D7" xr:uid="{521DA2F5-BC36-46D4-A870-50AFDFDD55DA}"/>
    <dataValidation allowBlank="1" showInputMessage="1" showErrorMessage="1" prompt="Ange faktureringsföretagets kontaktnamn, telefonnummer och e-post i den här cellen" sqref="B17:D17" xr:uid="{2AE8548B-9223-4374-97BA-A954E66E17CF}"/>
    <dataValidation allowBlank="1" showInputMessage="1" showErrorMessage="1" prompt="Företagets namn läggs automatiskt till i den här cellen" sqref="B16" xr:uid="{C253AA56-DFCB-4BE6-9C69-1A46E79745D7}"/>
  </dataValidations>
  <printOptions horizontalCentered="1"/>
  <pageMargins left="0" right="0" top="0.55118110236220474" bottom="0.31496062992125984" header="0" footer="0"/>
  <pageSetup paperSize="9" scale="98" fitToHeight="0" orientation="portrait" r:id="rId1"/>
  <ignoredErrors>
    <ignoredError sqref="D9:D10 C10" calculatedColumn="1"/>
  </ignoredErrors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F021-71A7-4A9E-8960-BC77C7B5BEFE}">
  <sheetPr>
    <tabColor theme="0" tint="-0.249977111117893"/>
    <pageSetUpPr fitToPage="1"/>
  </sheetPr>
  <dimension ref="B1:D33"/>
  <sheetViews>
    <sheetView showGridLines="0" view="pageLayout" zoomScaleNormal="100" workbookViewId="0">
      <selection activeCell="D8" sqref="D8"/>
    </sheetView>
  </sheetViews>
  <sheetFormatPr defaultColWidth="9.140625" defaultRowHeight="30" customHeight="1" x14ac:dyDescent="0.25"/>
  <cols>
    <col min="1" max="1" width="3" style="46" customWidth="1"/>
    <col min="2" max="2" width="55.42578125" style="46" customWidth="1"/>
    <col min="3" max="3" width="21.140625" style="46" bestFit="1" customWidth="1"/>
    <col min="4" max="4" width="22.7109375" style="46" customWidth="1"/>
    <col min="5" max="5" width="3" style="46" customWidth="1"/>
    <col min="6" max="16384" width="9.140625" style="46"/>
  </cols>
  <sheetData>
    <row r="1" spans="2:4" ht="34.5" customHeight="1" x14ac:dyDescent="0.45">
      <c r="B1" s="45" t="s">
        <v>51</v>
      </c>
      <c r="C1" s="70" t="s">
        <v>52</v>
      </c>
      <c r="D1" s="70"/>
    </row>
    <row r="2" spans="2:4" ht="30" customHeight="1" x14ac:dyDescent="0.25">
      <c r="B2" s="47"/>
    </row>
    <row r="3" spans="2:4" ht="30" customHeight="1" x14ac:dyDescent="0.25">
      <c r="B3" s="46" t="str">
        <f>"Gräsvägen " &amp; Gräsv.8!$A$1</f>
        <v>Gräsvägen 8</v>
      </c>
      <c r="C3" s="48" t="s">
        <v>53</v>
      </c>
      <c r="D3" s="49">
        <f ca="1">TODAY()</f>
        <v>45806</v>
      </c>
    </row>
    <row r="4" spans="2:4" ht="15" customHeight="1" x14ac:dyDescent="0.25">
      <c r="B4" s="46" t="s">
        <v>54</v>
      </c>
      <c r="C4" s="48"/>
      <c r="D4" s="50"/>
    </row>
    <row r="5" spans="2:4" ht="30" customHeight="1" x14ac:dyDescent="0.25">
      <c r="B5" s="51"/>
      <c r="C5" s="52"/>
      <c r="D5" s="53"/>
    </row>
    <row r="6" spans="2:4" ht="30" customHeight="1" x14ac:dyDescent="0.25">
      <c r="B6" s="51"/>
    </row>
    <row r="7" spans="2:4" ht="30" customHeight="1" x14ac:dyDescent="0.25">
      <c r="B7" s="54" t="s">
        <v>55</v>
      </c>
      <c r="C7" s="55" t="s">
        <v>56</v>
      </c>
      <c r="D7" s="54" t="s">
        <v>57</v>
      </c>
    </row>
    <row r="8" spans="2:4" ht="27.2" customHeight="1" x14ac:dyDescent="0.25">
      <c r="B8" s="56" t="s">
        <v>58</v>
      </c>
      <c r="C8" t="str">
        <f>Gräsv.8!$D$3 &amp; "m³ X " &amp;Gräsv.8!$F$3</f>
        <v>80m³ X 24</v>
      </c>
      <c r="D8" s="16">
        <f>Gräsv.8!$G$3</f>
        <v>1884</v>
      </c>
    </row>
    <row r="9" spans="2:4" ht="27.2" customHeight="1" x14ac:dyDescent="0.25">
      <c r="B9" s="56" t="s">
        <v>59</v>
      </c>
      <c r="C9" s="56"/>
      <c r="D9" s="16">
        <f>Gräsv.8!$H$3</f>
        <v>879.14738095238101</v>
      </c>
    </row>
    <row r="10" spans="2:4" ht="27.2" customHeight="1" x14ac:dyDescent="0.25">
      <c r="B10" s="56" t="s">
        <v>60</v>
      </c>
      <c r="C10" s="56" t="s">
        <v>61</v>
      </c>
      <c r="D10" s="9">
        <f>Gräsv.8!$I$3</f>
        <v>1000</v>
      </c>
    </row>
    <row r="11" spans="2:4" ht="27.2" customHeight="1" x14ac:dyDescent="0.25">
      <c r="B11" s="56"/>
      <c r="C11" s="56"/>
      <c r="D11" s="59"/>
    </row>
    <row r="12" spans="2:4" ht="27.2" customHeight="1" x14ac:dyDescent="0.25">
      <c r="B12" s="56"/>
      <c r="C12" s="56"/>
      <c r="D12" s="59"/>
    </row>
    <row r="13" spans="2:4" ht="27.2" customHeight="1" x14ac:dyDescent="0.25">
      <c r="B13" s="56"/>
      <c r="C13" s="56"/>
      <c r="D13" s="59"/>
    </row>
    <row r="14" spans="2:4" ht="27.2" customHeight="1" x14ac:dyDescent="0.25">
      <c r="B14" s="56"/>
      <c r="C14" s="56"/>
      <c r="D14" s="59"/>
    </row>
    <row r="15" spans="2:4" ht="30" customHeight="1" x14ac:dyDescent="0.25">
      <c r="B15" s="57"/>
      <c r="C15" s="58" t="s">
        <v>62</v>
      </c>
      <c r="D15" s="60">
        <f>SUBTOTAL(109,Faktura3[BELOPP])</f>
        <v>3763.1473809523809</v>
      </c>
    </row>
    <row r="17" spans="2:4" ht="30" customHeight="1" x14ac:dyDescent="0.25">
      <c r="B17" s="71" t="s">
        <v>63</v>
      </c>
      <c r="C17" s="71"/>
      <c r="D17" s="71"/>
    </row>
    <row r="18" spans="2:4" ht="30" customHeight="1" x14ac:dyDescent="0.25">
      <c r="B18" s="72"/>
      <c r="C18" s="72"/>
      <c r="D18" s="72"/>
    </row>
    <row r="19" spans="2:4" ht="17.100000000000001" customHeight="1" x14ac:dyDescent="0.25"/>
    <row r="20" spans="2:4" ht="17.100000000000001" customHeight="1" x14ac:dyDescent="0.25"/>
    <row r="21" spans="2:4" ht="17.100000000000001" customHeight="1" x14ac:dyDescent="0.4">
      <c r="C21" s="44"/>
    </row>
    <row r="22" spans="2:4" ht="17.100000000000001" customHeight="1" x14ac:dyDescent="0.4">
      <c r="C22" s="44"/>
    </row>
    <row r="23" spans="2:4" ht="17.100000000000001" customHeight="1" x14ac:dyDescent="0.4">
      <c r="C23" s="44" t="s">
        <v>64</v>
      </c>
    </row>
    <row r="24" spans="2:4" ht="17.100000000000001" customHeight="1" x14ac:dyDescent="0.25">
      <c r="C24" s="43"/>
    </row>
    <row r="25" spans="2:4" ht="17.100000000000001" customHeight="1" x14ac:dyDescent="0.25">
      <c r="C25" s="43" t="s">
        <v>51</v>
      </c>
    </row>
    <row r="26" spans="2:4" ht="17.100000000000001" customHeight="1" x14ac:dyDescent="0.25">
      <c r="C26"/>
    </row>
    <row r="27" spans="2:4" ht="17.100000000000001" customHeight="1" x14ac:dyDescent="0.25">
      <c r="C27"/>
    </row>
    <row r="28" spans="2:4" ht="17.100000000000001" customHeight="1" x14ac:dyDescent="0.25">
      <c r="C28"/>
    </row>
    <row r="29" spans="2:4" ht="17.100000000000001" customHeight="1" x14ac:dyDescent="0.25">
      <c r="C29"/>
    </row>
    <row r="30" spans="2:4" ht="17.100000000000001" customHeight="1" x14ac:dyDescent="0.25">
      <c r="C30"/>
    </row>
    <row r="31" spans="2:4" ht="21.6" customHeight="1" x14ac:dyDescent="0.25">
      <c r="C31"/>
    </row>
    <row r="32" spans="2:4" ht="17.100000000000001" customHeight="1" x14ac:dyDescent="0.25">
      <c r="C32" s="61">
        <f>Faktura3[[#Totals],[BELOPP]]</f>
        <v>3763.1473809523809</v>
      </c>
    </row>
    <row r="33" ht="17.100000000000001" customHeight="1" x14ac:dyDescent="0.25"/>
  </sheetData>
  <sheetProtection sheet="1" objects="1" scenarios="1"/>
  <mergeCells count="3">
    <mergeCell ref="C1:D1"/>
    <mergeCell ref="B17:D17"/>
    <mergeCell ref="B18:D18"/>
  </mergeCells>
  <dataValidations count="19">
    <dataValidation allowBlank="1" showInputMessage="1" showErrorMessage="1" prompt="Företagets namn läggs automatiskt till i den här cellen" sqref="B16" xr:uid="{C35393F9-A4AB-46F4-BCC5-74837746B8C4}"/>
    <dataValidation allowBlank="1" showInputMessage="1" showErrorMessage="1" prompt="Ange faktureringsföretagets kontaktnamn, telefonnummer och e-post i den här cellen" sqref="B17:D17" xr:uid="{55135431-D469-48B0-B7DB-FD6042160247}"/>
    <dataValidation allowBlank="1" showInputMessage="1" showErrorMessage="1" prompt="Ange belopp i den här kolumnen under rubriken för varje beskrivning i kolumn B. Den sista cellen i tabellen innehåller totalsumman som ska betalas" sqref="D7" xr:uid="{434E905C-93A6-4D2E-8091-C7E840F4B242}"/>
    <dataValidation allowBlank="1" showInputMessage="1" showErrorMessage="1" prompt="Ange anpassat fält i den här rubriken och motsvarande data i den här kolumnen under denna rubrik" sqref="C7" xr:uid="{7A8154B2-AD8C-40CD-9901-4AB3830BF38D}"/>
    <dataValidation allowBlank="1" showInputMessage="1" showErrorMessage="1" prompt="Ange fakturabeskrivning i den här kolumnen under den här rubriken" sqref="B7" xr:uid="{519AA0B6-F61B-4622-84EB-3E04728E6E01}"/>
    <dataValidation allowBlank="1" showInputMessage="1" showErrorMessage="1" prompt="Ange kundens telefonnummer i den här cellen" sqref="B6" xr:uid="{F66D5EC1-DEE5-4536-9147-DDCAA9A4C43F}"/>
    <dataValidation allowBlank="1" showInputMessage="1" showErrorMessage="1" prompt="Ange telefon- och faxnummer inom parentes i den här cellen" sqref="B5" xr:uid="{CAFD118D-3898-48D0-967E-DDA977DB5F43}"/>
    <dataValidation allowBlank="1" showInputMessage="1" showErrorMessage="1" prompt="Ange postnummer och ort i den här cellen" sqref="B4" xr:uid="{78DFD6F4-BC2F-42A8-B221-659E1F1E3BD2}"/>
    <dataValidation allowBlank="1" showInputMessage="1" showErrorMessage="1" prompt="Ange företagets gatuadress i den här cellen" sqref="B3" xr:uid="{23C88CF1-2F1C-426F-806D-FBD1CC6031C8}"/>
    <dataValidation allowBlank="1" showInputMessage="1" showErrorMessage="1" prompt="Ange företagets slogan i den här cellen och företagsadress i cellen nedan" sqref="B2" xr:uid="{F02BF581-9AA4-4E48-9779-FD512F10E4C6}"/>
    <dataValidation allowBlank="1" showInputMessage="1" showErrorMessage="1" prompt="Ange produktbeskrivning för faktura i denna cell" sqref="D5" xr:uid="{72E99748-4E5C-4C77-95DD-7F454C859EA9}"/>
    <dataValidation allowBlank="1" showInputMessage="1" showErrorMessage="1" prompt="Ange fakturans produktbeskrivning i cellen till höger" sqref="C5" xr:uid="{9CA28D01-312E-4B13-92BF-B1AA7F4FE842}"/>
    <dataValidation allowBlank="1" showInputMessage="1" showErrorMessage="1" prompt="Ange fakturanummer i cellen till höger" sqref="C4" xr:uid="{4184EA05-FC16-4DEA-90BA-7EB196A7BBA0}"/>
    <dataValidation allowBlank="1" showInputMessage="1" showErrorMessage="1" prompt="Ange fakturanummer i den här cellen" sqref="D4" xr:uid="{F74553F5-4910-46F0-9B7D-94E39B4AA1DF}"/>
    <dataValidation allowBlank="1" showInputMessage="1" showErrorMessage="1" prompt="Ange fakturadatum i cellen till höger" sqref="C3" xr:uid="{BCA4D0E5-4992-4BF1-ACFB-462DAC07A817}"/>
    <dataValidation allowBlank="1" showInputMessage="1" showErrorMessage="1" prompt="Ange fakturadatum i den här cellen" sqref="D3" xr:uid="{9999AB8C-77FC-46A2-9078-8C6B39BA2799}"/>
    <dataValidation allowBlank="1" showInputMessage="1" showErrorMessage="1" prompt="Lägg till faktureringsföretagets namn i den här cellen och dess slogan i cellen nedan" sqref="B1" xr:uid="{557CDB64-323B-44B2-B443-90F51E3FBEF1}"/>
    <dataValidation allowBlank="1" showInputMessage="1" showErrorMessage="1" prompt="Skapa en faktura som beräknar summan i det här kalkylbladet. Ange företags- och kundinformation, och beskrivningar och belopp i tabellen Faktura. Totalsumman beräknas automatiskt" sqref="A1" xr:uid="{FB243296-3879-4D8D-90BE-E597CEDEE19B}"/>
    <dataValidation allowBlank="1" showInputMessage="1" showErrorMessage="1" prompt="Den här cellen innehåller kalkylbladets rubrik. Ange fakturainformation i cell C3 till D5" sqref="C1:D1" xr:uid="{A832DD6D-ABED-4B3E-8584-FD16EBBC1476}"/>
  </dataValidations>
  <printOptions horizontalCentered="1"/>
  <pageMargins left="0" right="0" top="0.55118110236220474" bottom="0.31496062992125984" header="0" footer="0"/>
  <pageSetup paperSize="9" fitToHeight="0" orientation="portrait" r:id="rId1"/>
  <ignoredErrors>
    <ignoredError sqref="C8:D10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pageSetUpPr fitToPage="1"/>
  </sheetPr>
  <dimension ref="A1:S65"/>
  <sheetViews>
    <sheetView workbookViewId="0"/>
  </sheetViews>
  <sheetFormatPr defaultColWidth="9.140625" defaultRowHeight="15" x14ac:dyDescent="0.25"/>
  <cols>
    <col min="1" max="1" width="18.7109375" style="31" customWidth="1"/>
    <col min="2" max="2" width="12.7109375" style="31" bestFit="1" customWidth="1"/>
    <col min="3" max="3" width="13.42578125" style="31" bestFit="1" customWidth="1"/>
    <col min="4" max="4" width="13.5703125" style="31" bestFit="1" customWidth="1"/>
    <col min="5" max="5" width="12.7109375" style="31" bestFit="1" customWidth="1"/>
    <col min="6" max="6" width="13.42578125" style="31" bestFit="1" customWidth="1"/>
    <col min="7" max="7" width="15.28515625" style="31" customWidth="1"/>
    <col min="8" max="8" width="17.28515625" style="31" customWidth="1"/>
    <col min="9" max="9" width="18.5703125" style="31" bestFit="1" customWidth="1"/>
    <col min="10" max="10" width="11.42578125" style="31" customWidth="1"/>
    <col min="11" max="11" width="12.7109375" style="31" customWidth="1"/>
    <col min="12" max="12" width="16.5703125" style="31" bestFit="1" customWidth="1"/>
    <col min="13" max="13" width="17.140625" style="31" bestFit="1" customWidth="1"/>
    <col min="14" max="14" width="9" style="31" bestFit="1" customWidth="1"/>
    <col min="15" max="15" width="11.85546875" style="31" bestFit="1" customWidth="1"/>
    <col min="16" max="16" width="9.140625" style="31"/>
    <col min="17" max="17" width="15" style="31" bestFit="1" customWidth="1"/>
    <col min="18" max="18" width="21.42578125" style="31" bestFit="1" customWidth="1"/>
    <col min="19" max="16384" width="9.140625" style="31"/>
  </cols>
  <sheetData>
    <row r="1" spans="1:19" x14ac:dyDescent="0.25">
      <c r="A1" s="75">
        <v>45777</v>
      </c>
      <c r="B1" s="38" t="s">
        <v>6</v>
      </c>
      <c r="C1" s="38"/>
      <c r="D1" s="38"/>
      <c r="E1" t="s">
        <v>7</v>
      </c>
      <c r="F1" t="s">
        <v>8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ht="15.75" thickBot="1" x14ac:dyDescent="0.3">
      <c r="A2" s="4">
        <v>45777</v>
      </c>
      <c r="B2" s="38" t="s">
        <v>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15.75" thickBot="1" x14ac:dyDescent="0.3">
      <c r="A3" s="38"/>
      <c r="B3" s="64" t="s">
        <v>10</v>
      </c>
      <c r="C3" s="65"/>
      <c r="D3" s="66"/>
      <c r="E3" s="67" t="s">
        <v>11</v>
      </c>
      <c r="F3" s="65"/>
      <c r="G3" s="68"/>
      <c r="H3" s="38"/>
      <c r="I3" s="38"/>
      <c r="J3" s="38"/>
      <c r="K3" s="38"/>
      <c r="L3" s="38">
        <f>VLOOKUP($A1,Tabell6[],12)</f>
        <v>19.2</v>
      </c>
      <c r="M3" s="38">
        <f>VLOOKUP($A1,Tabell6[],13)</f>
        <v>24</v>
      </c>
      <c r="N3" s="38">
        <f>VLOOKUP($A1,Tabell6[],14)</f>
        <v>3186</v>
      </c>
      <c r="O3" s="38">
        <f>VLOOKUP($A1,Tabell6[],15)</f>
        <v>25111</v>
      </c>
      <c r="P3" s="38">
        <f>VLOOKUP($A1,Tabell6[],16)</f>
        <v>8627.19</v>
      </c>
      <c r="Q3" s="38">
        <f>VLOOKUP($A1,Tabell6[],17)</f>
        <v>12308.063333333334</v>
      </c>
      <c r="R3" s="38">
        <f>VLOOKUP($A1,Tabell6[],18)</f>
        <v>879.14738095238101</v>
      </c>
      <c r="S3" s="38">
        <f>VLOOKUP($A1,Tabell6[],19)</f>
        <v>14000</v>
      </c>
    </row>
    <row r="4" spans="1:19" x14ac:dyDescent="0.25">
      <c r="A4" s="38" t="s">
        <v>12</v>
      </c>
      <c r="B4" s="38" t="s">
        <v>13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  <c r="L4" s="38" t="s">
        <v>23</v>
      </c>
      <c r="M4" s="38" t="s">
        <v>24</v>
      </c>
      <c r="N4" s="38" t="s">
        <v>25</v>
      </c>
      <c r="O4" s="38" t="s">
        <v>26</v>
      </c>
      <c r="P4" s="38" t="s">
        <v>27</v>
      </c>
      <c r="Q4" s="38" t="s">
        <v>28</v>
      </c>
      <c r="R4" s="38" t="s">
        <v>29</v>
      </c>
      <c r="S4" s="38" t="s">
        <v>30</v>
      </c>
    </row>
    <row r="5" spans="1:19" x14ac:dyDescent="0.25">
      <c r="A5" s="39">
        <v>40543</v>
      </c>
      <c r="B5" s="40">
        <v>384.9</v>
      </c>
      <c r="C5" s="38">
        <v>27.6</v>
      </c>
      <c r="D5" s="38">
        <f t="shared" ref="D5:D21" si="0">IF(B5-C5&lt;0,0,B5-C5)</f>
        <v>357.29999999999995</v>
      </c>
      <c r="E5" s="40">
        <v>367.3</v>
      </c>
      <c r="F5" s="38">
        <v>26.4</v>
      </c>
      <c r="G5" s="38">
        <f t="shared" ref="G5:G7" si="1">IF(E5-F5&lt;0,0,E5-F5)</f>
        <v>340.90000000000003</v>
      </c>
      <c r="H5" s="38">
        <f t="shared" ref="H5:H21" si="2">D5+G5</f>
        <v>698.2</v>
      </c>
      <c r="I5" s="38">
        <f>SUM(Gräsv.6:Gräsv.32!D5)</f>
        <v>696</v>
      </c>
      <c r="J5" s="38">
        <f>I5-H5</f>
        <v>-2.2000000000000455</v>
      </c>
      <c r="K5" s="41">
        <f>Tabell6[[#This Row],[Differens]]/-14</f>
        <v>0.15714285714286039</v>
      </c>
      <c r="L5" s="38">
        <v>13.504</v>
      </c>
      <c r="M5" s="38">
        <f>Tabell6[[#This Row],[Pris/m3 ex.moms]]*1.25</f>
        <v>16.88</v>
      </c>
      <c r="N5" s="42">
        <f t="shared" ref="N5:N10" si="3">1788/3</f>
        <v>596</v>
      </c>
      <c r="O5" s="42">
        <f t="shared" ref="O5:O10" si="4">14091/3</f>
        <v>4697</v>
      </c>
      <c r="P5" s="38"/>
      <c r="Q5" s="42">
        <f>SUM(Tabell6[[#This Row],[Fast avg]:[sd]])</f>
        <v>5293</v>
      </c>
      <c r="R5" s="42">
        <f>Tabell6[[#This Row],[Summa fast avg]]/14</f>
        <v>378.07142857142856</v>
      </c>
      <c r="S5" s="38"/>
    </row>
    <row r="6" spans="1:19" x14ac:dyDescent="0.25">
      <c r="A6" s="39">
        <v>40664</v>
      </c>
      <c r="B6" s="40">
        <v>666.3</v>
      </c>
      <c r="C6" s="38">
        <f t="shared" ref="C6:C21" si="5">B5</f>
        <v>384.9</v>
      </c>
      <c r="D6" s="38">
        <f t="shared" si="0"/>
        <v>281.39999999999998</v>
      </c>
      <c r="E6" s="40">
        <v>637.29999999999995</v>
      </c>
      <c r="F6" s="38">
        <f>E5</f>
        <v>367.3</v>
      </c>
      <c r="G6" s="38">
        <f t="shared" si="1"/>
        <v>269.99999999999994</v>
      </c>
      <c r="H6" s="38">
        <f t="shared" si="2"/>
        <v>551.39999999999986</v>
      </c>
      <c r="I6" s="38">
        <f>SUM(Gräsv.6:Gräsv.32!D6)</f>
        <v>551</v>
      </c>
      <c r="J6" s="38">
        <f t="shared" ref="J6:J21" si="6">I6-H6</f>
        <v>-0.39999999999986358</v>
      </c>
      <c r="K6" s="41">
        <f>Tabell6[[#This Row],[Differens]]/-14</f>
        <v>2.8571428571418828E-2</v>
      </c>
      <c r="L6" s="38">
        <v>13.504</v>
      </c>
      <c r="M6" s="38">
        <f>Tabell6[[#This Row],[Pris/m3 ex.moms]]*1.25</f>
        <v>16.88</v>
      </c>
      <c r="N6" s="42">
        <f t="shared" si="3"/>
        <v>596</v>
      </c>
      <c r="O6" s="42">
        <f t="shared" si="4"/>
        <v>4697</v>
      </c>
      <c r="P6" s="38"/>
      <c r="Q6" s="42">
        <f>SUM(Tabell6[[#This Row],[Fast avg]:[sd]])</f>
        <v>5293</v>
      </c>
      <c r="R6" s="42">
        <f>Tabell6[[#This Row],[Summa fast avg]]/14</f>
        <v>378.07142857142856</v>
      </c>
      <c r="S6" s="38"/>
    </row>
    <row r="7" spans="1:19" x14ac:dyDescent="0.25">
      <c r="A7" s="39">
        <v>40786</v>
      </c>
      <c r="B7" s="40">
        <v>972.3</v>
      </c>
      <c r="C7" s="38">
        <f t="shared" si="5"/>
        <v>666.3</v>
      </c>
      <c r="D7" s="38">
        <f t="shared" si="0"/>
        <v>306</v>
      </c>
      <c r="E7" s="40">
        <v>930.9</v>
      </c>
      <c r="F7" s="38">
        <f t="shared" ref="F7:F21" si="7">E6</f>
        <v>637.29999999999995</v>
      </c>
      <c r="G7" s="38">
        <f t="shared" si="1"/>
        <v>293.60000000000002</v>
      </c>
      <c r="H7" s="38">
        <f t="shared" si="2"/>
        <v>599.6</v>
      </c>
      <c r="I7" s="38">
        <f>SUM(Gräsv.6:Gräsv.32!D7)</f>
        <v>600</v>
      </c>
      <c r="J7" s="38">
        <f t="shared" si="6"/>
        <v>0.39999999999997726</v>
      </c>
      <c r="K7" s="41">
        <f>Tabell6[[#This Row],[Differens]]/-14</f>
        <v>-2.8571428571426947E-2</v>
      </c>
      <c r="L7" s="38">
        <v>13.504</v>
      </c>
      <c r="M7" s="38">
        <f>Tabell6[[#This Row],[Pris/m3 ex.moms]]*1.25</f>
        <v>16.88</v>
      </c>
      <c r="N7" s="42">
        <f t="shared" si="3"/>
        <v>596</v>
      </c>
      <c r="O7" s="42">
        <f t="shared" si="4"/>
        <v>4697</v>
      </c>
      <c r="P7" s="38"/>
      <c r="Q7" s="42">
        <f>SUM(Tabell6[[#This Row],[Fast avg]:[sd]])</f>
        <v>5293</v>
      </c>
      <c r="R7" s="42">
        <f>Tabell6[[#This Row],[Summa fast avg]]/14</f>
        <v>378.07142857142856</v>
      </c>
      <c r="S7" s="38"/>
    </row>
    <row r="8" spans="1:19" x14ac:dyDescent="0.25">
      <c r="A8" s="39">
        <v>40908</v>
      </c>
      <c r="B8" s="40">
        <v>1267</v>
      </c>
      <c r="C8" s="38">
        <f t="shared" si="5"/>
        <v>972.3</v>
      </c>
      <c r="D8" s="38">
        <f t="shared" si="0"/>
        <v>294.70000000000005</v>
      </c>
      <c r="E8" s="40">
        <v>1217</v>
      </c>
      <c r="F8" s="38">
        <f t="shared" si="7"/>
        <v>930.9</v>
      </c>
      <c r="G8" s="38">
        <f>IF(E8-F8&lt;0,0,E8-F8)</f>
        <v>286.10000000000002</v>
      </c>
      <c r="H8" s="38">
        <f t="shared" si="2"/>
        <v>580.80000000000007</v>
      </c>
      <c r="I8" s="38">
        <f>SUM(Gräsv.6:Gräsv.32!D8)</f>
        <v>584</v>
      </c>
      <c r="J8" s="38">
        <f t="shared" si="6"/>
        <v>3.1999999999999318</v>
      </c>
      <c r="K8" s="41">
        <f>Tabell6[[#This Row],[Differens]]/-14</f>
        <v>-0.22857142857142371</v>
      </c>
      <c r="L8" s="38">
        <v>13.46</v>
      </c>
      <c r="M8" s="38">
        <f>Tabell6[[#This Row],[Pris/m3 ex.moms]]*1.25</f>
        <v>16.825000000000003</v>
      </c>
      <c r="N8" s="42">
        <f t="shared" si="3"/>
        <v>596</v>
      </c>
      <c r="O8" s="42">
        <f t="shared" si="4"/>
        <v>4697</v>
      </c>
      <c r="P8" s="38"/>
      <c r="Q8" s="42">
        <f>SUM(Tabell6[[#This Row],[Fast avg]:[sd]])</f>
        <v>5293</v>
      </c>
      <c r="R8" s="42">
        <f>Tabell6[[#This Row],[Summa fast avg]]/14</f>
        <v>378.07142857142856</v>
      </c>
      <c r="S8" s="38">
        <v>14000</v>
      </c>
    </row>
    <row r="9" spans="1:19" x14ac:dyDescent="0.25">
      <c r="A9" s="39">
        <v>41029</v>
      </c>
      <c r="B9" s="40">
        <v>1544</v>
      </c>
      <c r="C9" s="38">
        <f t="shared" si="5"/>
        <v>1267</v>
      </c>
      <c r="D9" s="38">
        <f t="shared" si="0"/>
        <v>277</v>
      </c>
      <c r="E9" s="40">
        <v>1491</v>
      </c>
      <c r="F9" s="38">
        <f t="shared" si="7"/>
        <v>1217</v>
      </c>
      <c r="G9" s="38">
        <f t="shared" ref="G9:G21" si="8">IF(E9-F9&lt;0,0,E9-F9)</f>
        <v>274</v>
      </c>
      <c r="H9" s="38">
        <f t="shared" si="2"/>
        <v>551</v>
      </c>
      <c r="I9" s="38">
        <f>SUM(Gräsv.6:Gräsv.32!D9)</f>
        <v>565</v>
      </c>
      <c r="J9" s="38">
        <f t="shared" si="6"/>
        <v>14</v>
      </c>
      <c r="K9" s="41">
        <f>Tabell6[[#This Row],[Differens]]/-14</f>
        <v>-1</v>
      </c>
      <c r="L9" s="38">
        <v>13.46</v>
      </c>
      <c r="M9" s="38">
        <f>Tabell6[[#This Row],[Pris/m3 ex.moms]]*1.25</f>
        <v>16.825000000000003</v>
      </c>
      <c r="N9" s="42">
        <f t="shared" si="3"/>
        <v>596</v>
      </c>
      <c r="O9" s="42">
        <f t="shared" si="4"/>
        <v>4697</v>
      </c>
      <c r="P9" s="38"/>
      <c r="Q9" s="42">
        <f>SUM(Tabell6[[#This Row],[Fast avg]:[sd]])</f>
        <v>5293</v>
      </c>
      <c r="R9" s="42">
        <f>Tabell6[[#This Row],[Summa fast avg]]/14</f>
        <v>378.07142857142856</v>
      </c>
      <c r="S9" s="38">
        <v>14000</v>
      </c>
    </row>
    <row r="10" spans="1:19" x14ac:dyDescent="0.25">
      <c r="A10" s="39">
        <v>41152</v>
      </c>
      <c r="B10" s="40">
        <v>1848</v>
      </c>
      <c r="C10" s="38">
        <f t="shared" si="5"/>
        <v>1544</v>
      </c>
      <c r="D10" s="38">
        <f t="shared" si="0"/>
        <v>304</v>
      </c>
      <c r="E10" s="40">
        <v>1783</v>
      </c>
      <c r="F10" s="38">
        <f t="shared" si="7"/>
        <v>1491</v>
      </c>
      <c r="G10" s="38">
        <f t="shared" si="8"/>
        <v>292</v>
      </c>
      <c r="H10" s="38">
        <f t="shared" si="2"/>
        <v>596</v>
      </c>
      <c r="I10" s="38">
        <f>SUM(Gräsv.6:Gräsv.32!D10)</f>
        <v>598</v>
      </c>
      <c r="J10" s="38">
        <f t="shared" si="6"/>
        <v>2</v>
      </c>
      <c r="K10" s="41">
        <f>Tabell6[[#This Row],[Differens]]/-14</f>
        <v>-0.14285714285714285</v>
      </c>
      <c r="L10" s="38">
        <v>13.46</v>
      </c>
      <c r="M10" s="38">
        <f>Tabell6[[#This Row],[Pris/m3 ex.moms]]*1.25</f>
        <v>16.825000000000003</v>
      </c>
      <c r="N10" s="42">
        <f t="shared" si="3"/>
        <v>596</v>
      </c>
      <c r="O10" s="42">
        <f t="shared" si="4"/>
        <v>4697</v>
      </c>
      <c r="P10" s="38"/>
      <c r="Q10" s="42">
        <f>SUM(Tabell6[[#This Row],[Fast avg]:[sd]])</f>
        <v>5293</v>
      </c>
      <c r="R10" s="42">
        <f>Tabell6[[#This Row],[Summa fast avg]]/14</f>
        <v>378.07142857142856</v>
      </c>
      <c r="S10" s="38">
        <v>14000</v>
      </c>
    </row>
    <row r="11" spans="1:19" x14ac:dyDescent="0.25">
      <c r="A11" s="39">
        <v>41274</v>
      </c>
      <c r="B11" s="40">
        <v>2127</v>
      </c>
      <c r="C11" s="38">
        <f t="shared" si="5"/>
        <v>1848</v>
      </c>
      <c r="D11" s="38">
        <f t="shared" si="0"/>
        <v>279</v>
      </c>
      <c r="E11" s="40">
        <v>2047</v>
      </c>
      <c r="F11" s="38">
        <f t="shared" si="7"/>
        <v>1783</v>
      </c>
      <c r="G11" s="38">
        <f t="shared" si="8"/>
        <v>264</v>
      </c>
      <c r="H11" s="38">
        <f t="shared" si="2"/>
        <v>543</v>
      </c>
      <c r="I11" s="38">
        <f>SUM(Gräsv.6:Gräsv.32!D11)</f>
        <v>556</v>
      </c>
      <c r="J11" s="38">
        <f t="shared" si="6"/>
        <v>13</v>
      </c>
      <c r="K11" s="41">
        <f>Tabell6[[#This Row],[Differens]]/-14</f>
        <v>-0.9285714285714286</v>
      </c>
      <c r="L11" s="38">
        <v>11.85</v>
      </c>
      <c r="M11" s="38">
        <f>Tabell6[[#This Row],[Pris/m3 ex.moms]]*1.25</f>
        <v>14.8125</v>
      </c>
      <c r="N11" s="42">
        <f>1966/3</f>
        <v>655.33333333333337</v>
      </c>
      <c r="O11" s="42">
        <f t="shared" ref="O11:O13" si="9">15500/3</f>
        <v>5166.666666666667</v>
      </c>
      <c r="P11" s="42">
        <f>5309/3</f>
        <v>1769.6666666666667</v>
      </c>
      <c r="Q11" s="42">
        <f>SUM(Tabell6[[#This Row],[Fast avg]:[sd]])</f>
        <v>7591.666666666667</v>
      </c>
      <c r="R11" s="42">
        <f>Tabell6[[#This Row],[Summa fast avg]]/14</f>
        <v>542.26190476190482</v>
      </c>
      <c r="S11" s="38">
        <v>14000</v>
      </c>
    </row>
    <row r="12" spans="1:19" x14ac:dyDescent="0.25">
      <c r="A12" s="39">
        <v>41394</v>
      </c>
      <c r="B12" s="40">
        <v>2426</v>
      </c>
      <c r="C12" s="38">
        <f t="shared" si="5"/>
        <v>2127</v>
      </c>
      <c r="D12" s="38">
        <f t="shared" si="0"/>
        <v>299</v>
      </c>
      <c r="E12" s="40">
        <v>2327</v>
      </c>
      <c r="F12" s="38">
        <f t="shared" si="7"/>
        <v>2047</v>
      </c>
      <c r="G12" s="38">
        <f t="shared" si="8"/>
        <v>280</v>
      </c>
      <c r="H12" s="38">
        <f t="shared" si="2"/>
        <v>579</v>
      </c>
      <c r="I12" s="38">
        <f>SUM(Gräsv.6:Gräsv.32!D12)</f>
        <v>601</v>
      </c>
      <c r="J12" s="38">
        <f t="shared" si="6"/>
        <v>22</v>
      </c>
      <c r="K12" s="41">
        <f>Tabell6[[#This Row],[Differens]]/-14</f>
        <v>-1.5714285714285714</v>
      </c>
      <c r="L12" s="38">
        <v>11.85</v>
      </c>
      <c r="M12" s="38">
        <f>Tabell6[[#This Row],[Pris/m3 ex.moms]]*1.25</f>
        <v>14.8125</v>
      </c>
      <c r="N12" s="42">
        <f t="shared" ref="N12:N13" si="10">1966/3</f>
        <v>655.33333333333337</v>
      </c>
      <c r="O12" s="42">
        <f t="shared" si="9"/>
        <v>5166.666666666667</v>
      </c>
      <c r="P12" s="42">
        <f t="shared" ref="P12:P13" si="11">5309/3</f>
        <v>1769.6666666666667</v>
      </c>
      <c r="Q12" s="42">
        <f>SUM(Tabell6[[#This Row],[Fast avg]:[sd]])</f>
        <v>7591.666666666667</v>
      </c>
      <c r="R12" s="42">
        <f>Tabell6[[#This Row],[Summa fast avg]]/14</f>
        <v>542.26190476190482</v>
      </c>
      <c r="S12" s="38">
        <v>14000</v>
      </c>
    </row>
    <row r="13" spans="1:19" x14ac:dyDescent="0.25">
      <c r="A13" s="39">
        <v>41517</v>
      </c>
      <c r="B13" s="40">
        <v>2756</v>
      </c>
      <c r="C13" s="38">
        <f t="shared" si="5"/>
        <v>2426</v>
      </c>
      <c r="D13" s="38">
        <f t="shared" si="0"/>
        <v>330</v>
      </c>
      <c r="E13" s="40">
        <v>2627</v>
      </c>
      <c r="F13" s="38">
        <f t="shared" si="7"/>
        <v>2327</v>
      </c>
      <c r="G13" s="38">
        <f t="shared" si="8"/>
        <v>300</v>
      </c>
      <c r="H13" s="38">
        <f t="shared" si="2"/>
        <v>630</v>
      </c>
      <c r="I13" s="38">
        <f>SUM(Gräsv.6:Gräsv.32!D13)</f>
        <v>642</v>
      </c>
      <c r="J13" s="38">
        <f t="shared" si="6"/>
        <v>12</v>
      </c>
      <c r="K13" s="41">
        <f>Tabell6[[#This Row],[Differens]]/-14</f>
        <v>-0.8571428571428571</v>
      </c>
      <c r="L13" s="38">
        <v>11.85</v>
      </c>
      <c r="M13" s="38">
        <f>Tabell6[[#This Row],[Pris/m3 ex.moms]]*1.25</f>
        <v>14.8125</v>
      </c>
      <c r="N13" s="42">
        <f t="shared" si="10"/>
        <v>655.33333333333337</v>
      </c>
      <c r="O13" s="42">
        <f t="shared" si="9"/>
        <v>5166.666666666667</v>
      </c>
      <c r="P13" s="42">
        <f t="shared" si="11"/>
        <v>1769.6666666666667</v>
      </c>
      <c r="Q13" s="42">
        <f>SUM(Tabell6[[#This Row],[Fast avg]:[sd]])</f>
        <v>7591.666666666667</v>
      </c>
      <c r="R13" s="42">
        <f>Tabell6[[#This Row],[Summa fast avg]]/14</f>
        <v>542.26190476190482</v>
      </c>
      <c r="S13" s="38">
        <v>14000</v>
      </c>
    </row>
    <row r="14" spans="1:19" x14ac:dyDescent="0.25">
      <c r="A14" s="39">
        <v>41639</v>
      </c>
      <c r="B14" s="40">
        <v>3019</v>
      </c>
      <c r="C14" s="38">
        <f t="shared" si="5"/>
        <v>2756</v>
      </c>
      <c r="D14" s="38">
        <f t="shared" si="0"/>
        <v>263</v>
      </c>
      <c r="E14" s="40">
        <v>2878</v>
      </c>
      <c r="F14" s="38">
        <f t="shared" si="7"/>
        <v>2627</v>
      </c>
      <c r="G14" s="38">
        <f t="shared" si="8"/>
        <v>251</v>
      </c>
      <c r="H14" s="38">
        <f t="shared" si="2"/>
        <v>514</v>
      </c>
      <c r="I14" s="38">
        <f>SUM(Gräsv.6:Gräsv.32!D14)</f>
        <v>549</v>
      </c>
      <c r="J14" s="38">
        <f t="shared" si="6"/>
        <v>35</v>
      </c>
      <c r="K14" s="41">
        <f>Tabell6[[#This Row],[Differens]]/-14</f>
        <v>-2.5</v>
      </c>
      <c r="L14" s="38">
        <v>11.85</v>
      </c>
      <c r="M14" s="38">
        <f>Tabell6[[#This Row],[Pris/m3 ex.moms]]*1.25</f>
        <v>14.8125</v>
      </c>
      <c r="N14" s="42">
        <f>1986/3</f>
        <v>662</v>
      </c>
      <c r="O14" s="42">
        <f>15655/3</f>
        <v>5218.333333333333</v>
      </c>
      <c r="P14" s="42">
        <f>5369/3</f>
        <v>1789.6666666666667</v>
      </c>
      <c r="Q14" s="42">
        <f>SUM(Tabell6[[#This Row],[Fast avg]:[sd]])</f>
        <v>7670</v>
      </c>
      <c r="R14" s="42">
        <f>Tabell6[[#This Row],[Summa fast avg]]/14</f>
        <v>547.85714285714289</v>
      </c>
      <c r="S14" s="38">
        <v>14000</v>
      </c>
    </row>
    <row r="15" spans="1:19" x14ac:dyDescent="0.25">
      <c r="A15" s="39">
        <v>41759</v>
      </c>
      <c r="B15" s="40">
        <v>3262</v>
      </c>
      <c r="C15" s="38">
        <f t="shared" si="5"/>
        <v>3019</v>
      </c>
      <c r="D15" s="38">
        <f t="shared" si="0"/>
        <v>243</v>
      </c>
      <c r="E15" s="40">
        <v>3105</v>
      </c>
      <c r="F15" s="38">
        <f t="shared" si="7"/>
        <v>2878</v>
      </c>
      <c r="G15" s="38">
        <f t="shared" si="8"/>
        <v>227</v>
      </c>
      <c r="H15" s="38">
        <f t="shared" si="2"/>
        <v>470</v>
      </c>
      <c r="I15" s="38">
        <f>SUM(Gräsv.6:Gräsv.32!D15)</f>
        <v>492</v>
      </c>
      <c r="J15" s="38">
        <f t="shared" si="6"/>
        <v>22</v>
      </c>
      <c r="K15" s="41">
        <f>Tabell6[[#This Row],[Differens]]/-14</f>
        <v>-1.5714285714285714</v>
      </c>
      <c r="L15" s="38">
        <v>11.97</v>
      </c>
      <c r="M15" s="38">
        <f>Tabell6[[#This Row],[Pris/m3 ex.moms]]*1.25</f>
        <v>14.9625</v>
      </c>
      <c r="N15" s="42">
        <f t="shared" ref="N15:N29" si="12">1986/3</f>
        <v>662</v>
      </c>
      <c r="O15" s="42">
        <f t="shared" ref="O15:O29" si="13">15655/3</f>
        <v>5218.333333333333</v>
      </c>
      <c r="P15" s="42">
        <f t="shared" ref="P15:P29" si="14">5369/3</f>
        <v>1789.6666666666667</v>
      </c>
      <c r="Q15" s="42">
        <f>SUM(Tabell6[[#This Row],[Fast avg]:[sd]])</f>
        <v>7670</v>
      </c>
      <c r="R15" s="42">
        <f>Tabell6[[#This Row],[Summa fast avg]]/14</f>
        <v>547.85714285714289</v>
      </c>
      <c r="S15" s="38">
        <v>14000</v>
      </c>
    </row>
    <row r="16" spans="1:19" x14ac:dyDescent="0.25">
      <c r="A16" s="39">
        <v>41882</v>
      </c>
      <c r="B16" s="40">
        <v>3521</v>
      </c>
      <c r="C16" s="38">
        <f t="shared" si="5"/>
        <v>3262</v>
      </c>
      <c r="D16" s="38">
        <f t="shared" si="0"/>
        <v>259</v>
      </c>
      <c r="E16" s="40">
        <v>3340</v>
      </c>
      <c r="F16" s="38">
        <f t="shared" si="7"/>
        <v>3105</v>
      </c>
      <c r="G16" s="38">
        <f t="shared" si="8"/>
        <v>235</v>
      </c>
      <c r="H16" s="38">
        <f t="shared" si="2"/>
        <v>494</v>
      </c>
      <c r="I16" s="38">
        <f>SUM(Gräsv.6:Gräsv.32!D16)</f>
        <v>519</v>
      </c>
      <c r="J16" s="38">
        <f t="shared" si="6"/>
        <v>25</v>
      </c>
      <c r="K16" s="41">
        <f>Tabell6[[#This Row],[Differens]]/-14</f>
        <v>-1.7857142857142858</v>
      </c>
      <c r="L16" s="38">
        <v>11.97</v>
      </c>
      <c r="M16" s="38">
        <f>Tabell6[[#This Row],[Pris/m3 ex.moms]]*1.25</f>
        <v>14.9625</v>
      </c>
      <c r="N16" s="42">
        <f t="shared" si="12"/>
        <v>662</v>
      </c>
      <c r="O16" s="42">
        <f t="shared" si="13"/>
        <v>5218.333333333333</v>
      </c>
      <c r="P16" s="42">
        <f t="shared" si="14"/>
        <v>1789.6666666666667</v>
      </c>
      <c r="Q16" s="42">
        <f>SUM(Tabell6[[#This Row],[Fast avg]:[sd]])</f>
        <v>7670</v>
      </c>
      <c r="R16" s="42">
        <f>Tabell6[[#This Row],[Summa fast avg]]/14</f>
        <v>547.85714285714289</v>
      </c>
      <c r="S16" s="38">
        <v>14000</v>
      </c>
    </row>
    <row r="17" spans="1:19" x14ac:dyDescent="0.25">
      <c r="A17" s="39">
        <v>42004</v>
      </c>
      <c r="B17" s="40">
        <v>3773</v>
      </c>
      <c r="C17" s="38">
        <f t="shared" si="5"/>
        <v>3521</v>
      </c>
      <c r="D17" s="38">
        <f t="shared" si="0"/>
        <v>252</v>
      </c>
      <c r="E17" s="40">
        <v>3564</v>
      </c>
      <c r="F17" s="38">
        <f t="shared" si="7"/>
        <v>3340</v>
      </c>
      <c r="G17" s="38">
        <f t="shared" si="8"/>
        <v>224</v>
      </c>
      <c r="H17" s="38">
        <f t="shared" si="2"/>
        <v>476</v>
      </c>
      <c r="I17" s="38">
        <f>SUM(Gräsv.6:Gräsv.32!D17)</f>
        <v>505</v>
      </c>
      <c r="J17" s="38">
        <f t="shared" si="6"/>
        <v>29</v>
      </c>
      <c r="K17" s="41">
        <f>Tabell6[[#This Row],[Differens]]/-14</f>
        <v>-2.0714285714285716</v>
      </c>
      <c r="L17" s="38">
        <v>11.97</v>
      </c>
      <c r="M17" s="38">
        <f>Tabell6[[#This Row],[Pris/m3 ex.moms]]*1.25</f>
        <v>14.9625</v>
      </c>
      <c r="N17" s="42">
        <f t="shared" si="12"/>
        <v>662</v>
      </c>
      <c r="O17" s="42">
        <f t="shared" si="13"/>
        <v>5218.333333333333</v>
      </c>
      <c r="P17" s="42">
        <f t="shared" si="14"/>
        <v>1789.6666666666667</v>
      </c>
      <c r="Q17" s="42">
        <f>SUM(Tabell6[[#This Row],[Fast avg]:[sd]])</f>
        <v>7670</v>
      </c>
      <c r="R17" s="42">
        <f>Tabell6[[#This Row],[Summa fast avg]]/14</f>
        <v>547.85714285714289</v>
      </c>
      <c r="S17" s="38">
        <v>14000</v>
      </c>
    </row>
    <row r="18" spans="1:19" x14ac:dyDescent="0.25">
      <c r="A18" s="39">
        <v>42124</v>
      </c>
      <c r="B18" s="40">
        <v>4027</v>
      </c>
      <c r="C18" s="38">
        <f t="shared" si="5"/>
        <v>3773</v>
      </c>
      <c r="D18" s="38">
        <f t="shared" si="0"/>
        <v>254</v>
      </c>
      <c r="E18" s="40">
        <v>3779</v>
      </c>
      <c r="F18" s="38">
        <f t="shared" si="7"/>
        <v>3564</v>
      </c>
      <c r="G18" s="38">
        <f t="shared" si="8"/>
        <v>215</v>
      </c>
      <c r="H18" s="38">
        <f t="shared" si="2"/>
        <v>469</v>
      </c>
      <c r="I18" s="38">
        <f>SUM(Gräsv.6:Gräsv.32!D18)</f>
        <v>504</v>
      </c>
      <c r="J18" s="38">
        <f t="shared" si="6"/>
        <v>35</v>
      </c>
      <c r="K18" s="41">
        <f>Tabell6[[#This Row],[Differens]]/-14</f>
        <v>-2.5</v>
      </c>
      <c r="L18" s="38">
        <v>11.97</v>
      </c>
      <c r="M18" s="38">
        <f>Tabell6[[#This Row],[Pris/m3 ex.moms]]*1.25</f>
        <v>14.9625</v>
      </c>
      <c r="N18" s="42">
        <f t="shared" si="12"/>
        <v>662</v>
      </c>
      <c r="O18" s="42">
        <f t="shared" si="13"/>
        <v>5218.333333333333</v>
      </c>
      <c r="P18" s="42">
        <f t="shared" si="14"/>
        <v>1789.6666666666667</v>
      </c>
      <c r="Q18" s="42">
        <f>SUM(Tabell6[[#This Row],[Fast avg]:[sd]])</f>
        <v>7670</v>
      </c>
      <c r="R18" s="42">
        <f>Tabell6[[#This Row],[Summa fast avg]]/14</f>
        <v>547.85714285714289</v>
      </c>
      <c r="S18" s="38">
        <f>14*600</f>
        <v>8400</v>
      </c>
    </row>
    <row r="19" spans="1:19" x14ac:dyDescent="0.25">
      <c r="A19" s="39">
        <v>42247</v>
      </c>
      <c r="B19" s="40">
        <v>4303</v>
      </c>
      <c r="C19" s="38">
        <f t="shared" si="5"/>
        <v>4027</v>
      </c>
      <c r="D19" s="38">
        <f t="shared" si="0"/>
        <v>276</v>
      </c>
      <c r="E19" s="40">
        <v>3998</v>
      </c>
      <c r="F19" s="38">
        <f t="shared" si="7"/>
        <v>3779</v>
      </c>
      <c r="G19" s="38">
        <f t="shared" si="8"/>
        <v>219</v>
      </c>
      <c r="H19" s="38">
        <f t="shared" si="2"/>
        <v>495</v>
      </c>
      <c r="I19" s="38">
        <f>SUM(Gräsv.6:Gräsv.32!D19)</f>
        <v>527</v>
      </c>
      <c r="J19" s="38">
        <f t="shared" si="6"/>
        <v>32</v>
      </c>
      <c r="K19" s="41">
        <f>Tabell6[[#This Row],[Differens]]/-14</f>
        <v>-2.2857142857142856</v>
      </c>
      <c r="L19" s="38">
        <v>11.97</v>
      </c>
      <c r="M19" s="38">
        <f>Tabell6[[#This Row],[Pris/m3 ex.moms]]*1.25</f>
        <v>14.9625</v>
      </c>
      <c r="N19" s="42">
        <f t="shared" si="12"/>
        <v>662</v>
      </c>
      <c r="O19" s="42">
        <f t="shared" si="13"/>
        <v>5218.333333333333</v>
      </c>
      <c r="P19" s="42">
        <f t="shared" si="14"/>
        <v>1789.6666666666667</v>
      </c>
      <c r="Q19" s="42">
        <f>SUM(Tabell6[[#This Row],[Fast avg]:[sd]])</f>
        <v>7670</v>
      </c>
      <c r="R19" s="42">
        <f>Tabell6[[#This Row],[Summa fast avg]]/14</f>
        <v>547.85714285714289</v>
      </c>
      <c r="S19" s="38">
        <v>8400</v>
      </c>
    </row>
    <row r="20" spans="1:19" x14ac:dyDescent="0.25">
      <c r="A20" s="39">
        <v>42369</v>
      </c>
      <c r="B20" s="40">
        <v>4581</v>
      </c>
      <c r="C20" s="38">
        <f t="shared" si="5"/>
        <v>4303</v>
      </c>
      <c r="D20" s="38">
        <f t="shared" si="0"/>
        <v>278</v>
      </c>
      <c r="E20" s="40">
        <v>4220</v>
      </c>
      <c r="F20" s="38">
        <f t="shared" si="7"/>
        <v>3998</v>
      </c>
      <c r="G20" s="38">
        <f t="shared" si="8"/>
        <v>222</v>
      </c>
      <c r="H20" s="38">
        <f t="shared" si="2"/>
        <v>500</v>
      </c>
      <c r="I20" s="38">
        <f>SUM(Gräsv.6:Gräsv.32!D20)</f>
        <v>540</v>
      </c>
      <c r="J20" s="38">
        <f t="shared" si="6"/>
        <v>40</v>
      </c>
      <c r="K20" s="41">
        <f>Tabell6[[#This Row],[Differens]]/-14</f>
        <v>-2.8571428571428572</v>
      </c>
      <c r="L20" s="38">
        <v>11.97</v>
      </c>
      <c r="M20" s="38">
        <f>Tabell6[[#This Row],[Pris/m3 ex.moms]]*1.25</f>
        <v>14.9625</v>
      </c>
      <c r="N20" s="42">
        <f t="shared" si="12"/>
        <v>662</v>
      </c>
      <c r="O20" s="42">
        <f t="shared" si="13"/>
        <v>5218.333333333333</v>
      </c>
      <c r="P20" s="42">
        <f t="shared" si="14"/>
        <v>1789.6666666666667</v>
      </c>
      <c r="Q20" s="42">
        <f>SUM(Tabell6[[#This Row],[Fast avg]:[sd]])</f>
        <v>7670</v>
      </c>
      <c r="R20" s="42">
        <f>Tabell6[[#This Row],[Summa fast avg]]/14</f>
        <v>547.85714285714289</v>
      </c>
      <c r="S20" s="38">
        <v>8400</v>
      </c>
    </row>
    <row r="21" spans="1:19" x14ac:dyDescent="0.25">
      <c r="A21" s="39">
        <v>42490</v>
      </c>
      <c r="B21" s="40">
        <v>4940</v>
      </c>
      <c r="C21" s="38">
        <f t="shared" si="5"/>
        <v>4581</v>
      </c>
      <c r="D21" s="38">
        <f t="shared" si="0"/>
        <v>359</v>
      </c>
      <c r="E21" s="40">
        <v>4524</v>
      </c>
      <c r="F21" s="38">
        <f t="shared" si="7"/>
        <v>4220</v>
      </c>
      <c r="G21" s="38">
        <f t="shared" si="8"/>
        <v>304</v>
      </c>
      <c r="H21" s="38">
        <f t="shared" si="2"/>
        <v>663</v>
      </c>
      <c r="I21" s="38">
        <f>SUM(Gräsv.6:Gräsv.32!D21)</f>
        <v>712</v>
      </c>
      <c r="J21" s="38">
        <f t="shared" si="6"/>
        <v>49</v>
      </c>
      <c r="K21" s="41">
        <f>Tabell6[[#This Row],[Differens]]/-14</f>
        <v>-3.5</v>
      </c>
      <c r="L21" s="38">
        <v>11.97</v>
      </c>
      <c r="M21" s="38">
        <f>Tabell6[[#This Row],[Pris/m3 ex.moms]]*1.25</f>
        <v>14.9625</v>
      </c>
      <c r="N21" s="42">
        <f t="shared" si="12"/>
        <v>662</v>
      </c>
      <c r="O21" s="42">
        <f t="shared" si="13"/>
        <v>5218.333333333333</v>
      </c>
      <c r="P21" s="42">
        <f t="shared" si="14"/>
        <v>1789.6666666666667</v>
      </c>
      <c r="Q21" s="42">
        <f>SUM(Tabell6[[#This Row],[Fast avg]:[sd]])</f>
        <v>7670</v>
      </c>
      <c r="R21" s="42">
        <f>Tabell6[[#This Row],[Summa fast avg]]/14</f>
        <v>547.85714285714289</v>
      </c>
      <c r="S21" s="38">
        <v>8400</v>
      </c>
    </row>
    <row r="22" spans="1:19" x14ac:dyDescent="0.25">
      <c r="A22" s="39">
        <v>42613</v>
      </c>
      <c r="B22" s="40">
        <v>5112</v>
      </c>
      <c r="C22" s="38">
        <f t="shared" ref="C22:C35" si="15">B21</f>
        <v>4940</v>
      </c>
      <c r="D22" s="38">
        <f t="shared" ref="D22:D35" si="16">IF(B22-C22&lt;0,0,B22-C22)</f>
        <v>172</v>
      </c>
      <c r="E22" s="40">
        <v>4671</v>
      </c>
      <c r="F22" s="38">
        <f t="shared" ref="F22:F35" si="17">E21</f>
        <v>4524</v>
      </c>
      <c r="G22" s="38">
        <f t="shared" ref="G22:G35" si="18">IF(E22-F22&lt;0,0,E22-F22)</f>
        <v>147</v>
      </c>
      <c r="H22" s="38">
        <f t="shared" ref="H22:H35" si="19">D22+G22</f>
        <v>319</v>
      </c>
      <c r="I22" s="38">
        <f>SUM(Gräsv.6:Gräsv.32!D22)</f>
        <v>334</v>
      </c>
      <c r="J22" s="38">
        <f t="shared" ref="J22:J35" si="20">I22-H22</f>
        <v>15</v>
      </c>
      <c r="K22" s="41">
        <f>Tabell6[[#This Row],[Differens]]/-14</f>
        <v>-1.0714285714285714</v>
      </c>
      <c r="L22" s="38">
        <v>11.97</v>
      </c>
      <c r="M22" s="38">
        <f>Tabell6[[#This Row],[Pris/m3 ex.moms]]*1.25</f>
        <v>14.9625</v>
      </c>
      <c r="N22" s="42">
        <f t="shared" si="12"/>
        <v>662</v>
      </c>
      <c r="O22" s="42">
        <f t="shared" si="13"/>
        <v>5218.333333333333</v>
      </c>
      <c r="P22" s="42">
        <f t="shared" si="14"/>
        <v>1789.6666666666667</v>
      </c>
      <c r="Q22" s="42">
        <f>SUM(Tabell6[[#This Row],[Fast avg]:[sd]])</f>
        <v>7670</v>
      </c>
      <c r="R22" s="42">
        <f>Tabell6[[#This Row],[Summa fast avg]]/14</f>
        <v>547.85714285714289</v>
      </c>
      <c r="S22" s="38">
        <v>8400</v>
      </c>
    </row>
    <row r="23" spans="1:19" x14ac:dyDescent="0.25">
      <c r="A23" s="39">
        <v>42735</v>
      </c>
      <c r="B23" s="40">
        <v>5384</v>
      </c>
      <c r="C23" s="38">
        <f t="shared" si="15"/>
        <v>5112</v>
      </c>
      <c r="D23" s="38">
        <f t="shared" si="16"/>
        <v>272</v>
      </c>
      <c r="E23" s="40">
        <v>4905</v>
      </c>
      <c r="F23" s="38">
        <f t="shared" si="17"/>
        <v>4671</v>
      </c>
      <c r="G23" s="38">
        <f t="shared" si="18"/>
        <v>234</v>
      </c>
      <c r="H23" s="38">
        <f t="shared" si="19"/>
        <v>506</v>
      </c>
      <c r="I23" s="38">
        <f>SUM(Gräsv.6:Gräsv.32!D23)</f>
        <v>558</v>
      </c>
      <c r="J23" s="38">
        <f t="shared" si="20"/>
        <v>52</v>
      </c>
      <c r="K23" s="41">
        <f>Tabell6[[#This Row],[Differens]]/-14</f>
        <v>-3.7142857142857144</v>
      </c>
      <c r="L23" s="38">
        <v>11.97</v>
      </c>
      <c r="M23" s="38">
        <f>Tabell6[[#This Row],[Pris/m3 ex.moms]]*1.25</f>
        <v>14.9625</v>
      </c>
      <c r="N23" s="42">
        <f t="shared" si="12"/>
        <v>662</v>
      </c>
      <c r="O23" s="42">
        <f t="shared" si="13"/>
        <v>5218.333333333333</v>
      </c>
      <c r="P23" s="42">
        <f t="shared" si="14"/>
        <v>1789.6666666666667</v>
      </c>
      <c r="Q23" s="42">
        <f>SUM(Tabell6[[#This Row],[Fast avg]:[sd]])</f>
        <v>7670</v>
      </c>
      <c r="R23" s="42">
        <f>Tabell6[[#This Row],[Summa fast avg]]/14</f>
        <v>547.85714285714289</v>
      </c>
      <c r="S23" s="38">
        <v>8400</v>
      </c>
    </row>
    <row r="24" spans="1:19" x14ac:dyDescent="0.25">
      <c r="A24" s="39">
        <v>42855</v>
      </c>
      <c r="B24" s="40">
        <v>5616</v>
      </c>
      <c r="C24" s="38">
        <f t="shared" si="15"/>
        <v>5384</v>
      </c>
      <c r="D24" s="38">
        <f t="shared" si="16"/>
        <v>232</v>
      </c>
      <c r="E24" s="40">
        <v>5118</v>
      </c>
      <c r="F24" s="38">
        <f t="shared" si="17"/>
        <v>4905</v>
      </c>
      <c r="G24" s="38">
        <f t="shared" si="18"/>
        <v>213</v>
      </c>
      <c r="H24" s="38">
        <f t="shared" si="19"/>
        <v>445</v>
      </c>
      <c r="I24" s="38">
        <f>SUM(Gräsv.6:Gräsv.32!D24)</f>
        <v>473</v>
      </c>
      <c r="J24" s="38">
        <f t="shared" si="20"/>
        <v>28</v>
      </c>
      <c r="K24" s="41">
        <f>Tabell6[[#This Row],[Differens]]/-14</f>
        <v>-2</v>
      </c>
      <c r="L24" s="38">
        <v>11.97</v>
      </c>
      <c r="M24" s="38">
        <f>Tabell6[[#This Row],[Pris/m3 ex.moms]]*1.25</f>
        <v>14.9625</v>
      </c>
      <c r="N24" s="42">
        <f t="shared" si="12"/>
        <v>662</v>
      </c>
      <c r="O24" s="42">
        <f t="shared" si="13"/>
        <v>5218.333333333333</v>
      </c>
      <c r="P24" s="42">
        <f t="shared" si="14"/>
        <v>1789.6666666666667</v>
      </c>
      <c r="Q24" s="42">
        <f>SUM(Tabell6[[#This Row],[Fast avg]:[sd]])</f>
        <v>7670</v>
      </c>
      <c r="R24" s="42">
        <f>Tabell6[[#This Row],[Summa fast avg]]/14</f>
        <v>547.85714285714289</v>
      </c>
      <c r="S24" s="38">
        <f>14*700</f>
        <v>9800</v>
      </c>
    </row>
    <row r="25" spans="1:19" x14ac:dyDescent="0.25">
      <c r="A25" s="39">
        <v>42978</v>
      </c>
      <c r="B25" s="40">
        <v>5876</v>
      </c>
      <c r="C25" s="38">
        <f t="shared" si="15"/>
        <v>5616</v>
      </c>
      <c r="D25" s="38">
        <f t="shared" si="16"/>
        <v>260</v>
      </c>
      <c r="E25" s="40">
        <v>5361</v>
      </c>
      <c r="F25" s="38">
        <f t="shared" si="17"/>
        <v>5118</v>
      </c>
      <c r="G25" s="38">
        <f t="shared" si="18"/>
        <v>243</v>
      </c>
      <c r="H25" s="38">
        <f t="shared" si="19"/>
        <v>503</v>
      </c>
      <c r="I25" s="38">
        <f>SUM(Gräsv.6:Gräsv.32!D25)</f>
        <v>550</v>
      </c>
      <c r="J25" s="38">
        <f t="shared" si="20"/>
        <v>47</v>
      </c>
      <c r="K25" s="41">
        <f>Tabell6[[#This Row],[Differens]]/-14</f>
        <v>-3.3571428571428572</v>
      </c>
      <c r="L25" s="38">
        <v>11.97</v>
      </c>
      <c r="M25" s="38">
        <f>Tabell6[[#This Row],[Pris/m3 ex.moms]]*1.25</f>
        <v>14.9625</v>
      </c>
      <c r="N25" s="42">
        <f t="shared" si="12"/>
        <v>662</v>
      </c>
      <c r="O25" s="42">
        <f t="shared" si="13"/>
        <v>5218.333333333333</v>
      </c>
      <c r="P25" s="42">
        <f t="shared" si="14"/>
        <v>1789.6666666666667</v>
      </c>
      <c r="Q25" s="42">
        <f>SUM(Tabell6[[#This Row],[Fast avg]:[sd]])</f>
        <v>7670</v>
      </c>
      <c r="R25" s="42">
        <f>Tabell6[[#This Row],[Summa fast avg]]/14</f>
        <v>547.85714285714289</v>
      </c>
      <c r="S25" s="38">
        <f>14*700</f>
        <v>9800</v>
      </c>
    </row>
    <row r="26" spans="1:19" x14ac:dyDescent="0.25">
      <c r="A26" s="39">
        <v>43100</v>
      </c>
      <c r="B26" s="40">
        <v>6121</v>
      </c>
      <c r="C26" s="38">
        <f t="shared" si="15"/>
        <v>5876</v>
      </c>
      <c r="D26" s="38">
        <f t="shared" si="16"/>
        <v>245</v>
      </c>
      <c r="E26" s="40">
        <v>5598</v>
      </c>
      <c r="F26" s="38">
        <f t="shared" si="17"/>
        <v>5361</v>
      </c>
      <c r="G26" s="38">
        <f t="shared" si="18"/>
        <v>237</v>
      </c>
      <c r="H26" s="38">
        <f t="shared" si="19"/>
        <v>482</v>
      </c>
      <c r="I26" s="38">
        <f>SUM(Gräsv.6:Gräsv.32!D26)</f>
        <v>508</v>
      </c>
      <c r="J26" s="38">
        <f t="shared" si="20"/>
        <v>26</v>
      </c>
      <c r="K26" s="41">
        <f>Tabell6[[#This Row],[Differens]]/-14</f>
        <v>-1.8571428571428572</v>
      </c>
      <c r="L26" s="38">
        <v>11.97</v>
      </c>
      <c r="M26" s="38">
        <f>Tabell6[[#This Row],[Pris/m3 ex.moms]]*1.25</f>
        <v>14.9625</v>
      </c>
      <c r="N26" s="42">
        <f t="shared" si="12"/>
        <v>662</v>
      </c>
      <c r="O26" s="42">
        <f t="shared" si="13"/>
        <v>5218.333333333333</v>
      </c>
      <c r="P26" s="42">
        <f t="shared" si="14"/>
        <v>1789.6666666666667</v>
      </c>
      <c r="Q26" s="42">
        <f>SUM(Tabell6[[#This Row],[Fast avg]:[sd]])</f>
        <v>7670</v>
      </c>
      <c r="R26" s="42">
        <f>Tabell6[[#This Row],[Summa fast avg]]/14</f>
        <v>547.85714285714289</v>
      </c>
      <c r="S26" s="38">
        <f>14*700</f>
        <v>9800</v>
      </c>
    </row>
    <row r="27" spans="1:19" x14ac:dyDescent="0.25">
      <c r="A27" s="39">
        <v>43220</v>
      </c>
      <c r="B27" s="40">
        <v>6339</v>
      </c>
      <c r="C27" s="38">
        <f t="shared" si="15"/>
        <v>6121</v>
      </c>
      <c r="D27" s="38">
        <f t="shared" si="16"/>
        <v>218</v>
      </c>
      <c r="E27" s="40">
        <v>5814</v>
      </c>
      <c r="F27" s="38">
        <f t="shared" si="17"/>
        <v>5598</v>
      </c>
      <c r="G27" s="38">
        <f t="shared" si="18"/>
        <v>216</v>
      </c>
      <c r="H27" s="38">
        <f t="shared" si="19"/>
        <v>434</v>
      </c>
      <c r="I27" s="38">
        <f>SUM(Gräsv.6:Gräsv.32!D27)</f>
        <v>470</v>
      </c>
      <c r="J27" s="38">
        <f t="shared" si="20"/>
        <v>36</v>
      </c>
      <c r="K27" s="41">
        <f>Tabell6[[#This Row],[Differens]]/-14</f>
        <v>-2.5714285714285716</v>
      </c>
      <c r="L27" s="38">
        <v>11.97</v>
      </c>
      <c r="M27" s="38">
        <f>Tabell6[[#This Row],[Pris/m3 ex.moms]]*1.25</f>
        <v>14.9625</v>
      </c>
      <c r="N27" s="42">
        <f t="shared" si="12"/>
        <v>662</v>
      </c>
      <c r="O27" s="42">
        <f t="shared" si="13"/>
        <v>5218.333333333333</v>
      </c>
      <c r="P27" s="42">
        <f t="shared" si="14"/>
        <v>1789.6666666666667</v>
      </c>
      <c r="Q27" s="42">
        <f>SUM(Tabell6[[#This Row],[Fast avg]:[sd]])</f>
        <v>7670</v>
      </c>
      <c r="R27" s="42">
        <f>Tabell6[[#This Row],[Summa fast avg]]/14</f>
        <v>547.85714285714289</v>
      </c>
      <c r="S27" s="38">
        <v>14000</v>
      </c>
    </row>
    <row r="28" spans="1:19" x14ac:dyDescent="0.25">
      <c r="A28" s="39">
        <v>43343</v>
      </c>
      <c r="B28" s="40">
        <v>6595</v>
      </c>
      <c r="C28" s="38">
        <f t="shared" si="15"/>
        <v>6339</v>
      </c>
      <c r="D28" s="38">
        <f t="shared" si="16"/>
        <v>256</v>
      </c>
      <c r="E28" s="40">
        <v>6050</v>
      </c>
      <c r="F28" s="38">
        <f t="shared" si="17"/>
        <v>5814</v>
      </c>
      <c r="G28" s="38">
        <f t="shared" si="18"/>
        <v>236</v>
      </c>
      <c r="H28" s="38">
        <f t="shared" si="19"/>
        <v>492</v>
      </c>
      <c r="I28" s="38">
        <f>SUM(Gräsv.6:Gräsv.32!D28)</f>
        <v>523</v>
      </c>
      <c r="J28" s="38">
        <f t="shared" si="20"/>
        <v>31</v>
      </c>
      <c r="K28" s="41">
        <f>Tabell6[[#This Row],[Differens]]/-14</f>
        <v>-2.2142857142857144</v>
      </c>
      <c r="L28" s="38">
        <v>11.97</v>
      </c>
      <c r="M28" s="38">
        <f>Tabell6[[#This Row],[Pris/m3 ex.moms]]*1.25</f>
        <v>14.9625</v>
      </c>
      <c r="N28" s="42">
        <f t="shared" si="12"/>
        <v>662</v>
      </c>
      <c r="O28" s="42">
        <f t="shared" si="13"/>
        <v>5218.333333333333</v>
      </c>
      <c r="P28" s="42">
        <f t="shared" si="14"/>
        <v>1789.6666666666667</v>
      </c>
      <c r="Q28" s="42">
        <f>SUM(Tabell6[[#This Row],[Fast avg]:[sd]])</f>
        <v>7670</v>
      </c>
      <c r="R28" s="42">
        <f>Tabell6[[#This Row],[Summa fast avg]]/14</f>
        <v>547.85714285714289</v>
      </c>
      <c r="S28" s="38">
        <v>14000</v>
      </c>
    </row>
    <row r="29" spans="1:19" x14ac:dyDescent="0.25">
      <c r="A29" s="39">
        <v>43465</v>
      </c>
      <c r="B29" s="40">
        <v>6867</v>
      </c>
      <c r="C29" s="38">
        <f t="shared" si="15"/>
        <v>6595</v>
      </c>
      <c r="D29" s="38">
        <f t="shared" si="16"/>
        <v>272</v>
      </c>
      <c r="E29" s="40">
        <v>6286</v>
      </c>
      <c r="F29" s="38">
        <f t="shared" si="17"/>
        <v>6050</v>
      </c>
      <c r="G29" s="38">
        <f t="shared" si="18"/>
        <v>236</v>
      </c>
      <c r="H29" s="38">
        <f t="shared" si="19"/>
        <v>508</v>
      </c>
      <c r="I29" s="38">
        <f>SUM(Gräsv.6:Gräsv.32!D29)</f>
        <v>529</v>
      </c>
      <c r="J29" s="38">
        <f t="shared" si="20"/>
        <v>21</v>
      </c>
      <c r="K29" s="41">
        <f>Tabell6[[#This Row],[Differens]]/-14</f>
        <v>-1.5</v>
      </c>
      <c r="L29" s="38">
        <v>12.624000000000001</v>
      </c>
      <c r="M29" s="38">
        <f>Tabell6[[#This Row],[Pris/m3 ex.moms]]*1.25</f>
        <v>15.780000000000001</v>
      </c>
      <c r="N29" s="42">
        <f t="shared" si="12"/>
        <v>662</v>
      </c>
      <c r="O29" s="42">
        <f t="shared" si="13"/>
        <v>5218.333333333333</v>
      </c>
      <c r="P29" s="42">
        <f t="shared" si="14"/>
        <v>1789.6666666666667</v>
      </c>
      <c r="Q29" s="42">
        <f>SUM(Tabell6[[#This Row],[Fast avg]:[sd]])</f>
        <v>7670</v>
      </c>
      <c r="R29" s="42">
        <f>Tabell6[[#This Row],[Summa fast avg]]/14</f>
        <v>547.85714285714289</v>
      </c>
      <c r="S29" s="38">
        <v>14000</v>
      </c>
    </row>
    <row r="30" spans="1:19" x14ac:dyDescent="0.25">
      <c r="A30" s="39">
        <v>43585</v>
      </c>
      <c r="B30" s="40">
        <v>7087</v>
      </c>
      <c r="C30" s="38">
        <f t="shared" si="15"/>
        <v>6867</v>
      </c>
      <c r="D30" s="38">
        <f t="shared" si="16"/>
        <v>220</v>
      </c>
      <c r="E30" s="40">
        <v>6484</v>
      </c>
      <c r="F30" s="38">
        <f t="shared" si="17"/>
        <v>6286</v>
      </c>
      <c r="G30" s="38">
        <f t="shared" si="18"/>
        <v>198</v>
      </c>
      <c r="H30" s="38">
        <f t="shared" si="19"/>
        <v>418</v>
      </c>
      <c r="I30" s="38">
        <f>SUM(Gräsv.6:Gräsv.32!D30)</f>
        <v>520</v>
      </c>
      <c r="J30" s="38">
        <f t="shared" si="20"/>
        <v>102</v>
      </c>
      <c r="K30" s="41">
        <f>Tabell6[[#This Row],[Differens]]/-14</f>
        <v>-7.2857142857142856</v>
      </c>
      <c r="L30" s="38">
        <v>12.624000000000001</v>
      </c>
      <c r="M30" s="38">
        <f>Tabell6[[#This Row],[Pris/m3 ex.moms]]*1.25</f>
        <v>15.780000000000001</v>
      </c>
      <c r="N30" s="42">
        <f>2096/3</f>
        <v>698.66666666666663</v>
      </c>
      <c r="O30" s="42">
        <f>16516/3</f>
        <v>5505.333333333333</v>
      </c>
      <c r="P30" s="42">
        <f>(6033*0.94)/3</f>
        <v>1890.34</v>
      </c>
      <c r="Q30" s="42">
        <f>SUM(Tabell6[[#This Row],[Fast avg]:[sd]])</f>
        <v>8094.34</v>
      </c>
      <c r="R30" s="42">
        <f>Tabell6[[#This Row],[Summa fast avg]]/14</f>
        <v>578.16714285714284</v>
      </c>
      <c r="S30" s="38">
        <v>14000</v>
      </c>
    </row>
    <row r="31" spans="1:19" x14ac:dyDescent="0.25">
      <c r="A31" s="39">
        <v>43708</v>
      </c>
      <c r="B31" s="40">
        <v>7343</v>
      </c>
      <c r="C31" s="38">
        <f t="shared" si="15"/>
        <v>7087</v>
      </c>
      <c r="D31" s="38">
        <f t="shared" si="16"/>
        <v>256</v>
      </c>
      <c r="E31" s="40">
        <v>6711</v>
      </c>
      <c r="F31" s="38">
        <f t="shared" si="17"/>
        <v>6484</v>
      </c>
      <c r="G31" s="38">
        <f t="shared" si="18"/>
        <v>227</v>
      </c>
      <c r="H31" s="38">
        <f t="shared" si="19"/>
        <v>483</v>
      </c>
      <c r="I31" s="38">
        <f>SUM(Gräsv.6:Gräsv.32!D31)</f>
        <v>531</v>
      </c>
      <c r="J31" s="38">
        <f t="shared" si="20"/>
        <v>48</v>
      </c>
      <c r="K31" s="41">
        <f>Tabell6[[#This Row],[Differens]]/-14</f>
        <v>-3.4285714285714284</v>
      </c>
      <c r="L31" s="38">
        <v>12.624000000000001</v>
      </c>
      <c r="M31" s="38">
        <f>Tabell6[[#This Row],[Pris/m3 ex.moms]]*1.25</f>
        <v>15.780000000000001</v>
      </c>
      <c r="N31" s="42">
        <f t="shared" ref="N31:N41" si="21">2096/3</f>
        <v>698.66666666666663</v>
      </c>
      <c r="O31" s="42">
        <f t="shared" ref="O31:O41" si="22">16516/3</f>
        <v>5505.333333333333</v>
      </c>
      <c r="P31" s="42">
        <f t="shared" ref="P31:P41" si="23">(6033*0.94)/3</f>
        <v>1890.34</v>
      </c>
      <c r="Q31" s="42">
        <f>SUM(Tabell6[[#This Row],[Fast avg]:[sd]])</f>
        <v>8094.34</v>
      </c>
      <c r="R31" s="42">
        <f>Tabell6[[#This Row],[Summa fast avg]]/14</f>
        <v>578.16714285714284</v>
      </c>
      <c r="S31" s="38">
        <v>14000</v>
      </c>
    </row>
    <row r="32" spans="1:19" x14ac:dyDescent="0.25">
      <c r="A32" s="39">
        <v>43830</v>
      </c>
      <c r="B32" s="40">
        <v>7587</v>
      </c>
      <c r="C32" s="38">
        <f t="shared" si="15"/>
        <v>7343</v>
      </c>
      <c r="D32" s="38">
        <f t="shared" si="16"/>
        <v>244</v>
      </c>
      <c r="E32" s="40">
        <v>6939</v>
      </c>
      <c r="F32" s="38">
        <f t="shared" si="17"/>
        <v>6711</v>
      </c>
      <c r="G32" s="38">
        <f t="shared" si="18"/>
        <v>228</v>
      </c>
      <c r="H32" s="38">
        <f t="shared" si="19"/>
        <v>472</v>
      </c>
      <c r="I32" s="38">
        <f>SUM(Gräsv.6:Gräsv.32!D32)</f>
        <v>514</v>
      </c>
      <c r="J32" s="38">
        <f t="shared" si="20"/>
        <v>42</v>
      </c>
      <c r="K32" s="41">
        <f>Tabell6[[#This Row],[Differens]]/-14</f>
        <v>-3</v>
      </c>
      <c r="L32" s="38">
        <v>12.624000000000001</v>
      </c>
      <c r="M32" s="38">
        <f>Tabell6[[#This Row],[Pris/m3 ex.moms]]*1.25</f>
        <v>15.780000000000001</v>
      </c>
      <c r="N32" s="42">
        <f t="shared" si="21"/>
        <v>698.66666666666663</v>
      </c>
      <c r="O32" s="42">
        <f t="shared" si="22"/>
        <v>5505.333333333333</v>
      </c>
      <c r="P32" s="42">
        <f t="shared" si="23"/>
        <v>1890.34</v>
      </c>
      <c r="Q32" s="42">
        <f>SUM(Tabell6[[#This Row],[Fast avg]:[sd]])</f>
        <v>8094.34</v>
      </c>
      <c r="R32" s="42">
        <f>Tabell6[[#This Row],[Summa fast avg]]/14</f>
        <v>578.16714285714284</v>
      </c>
      <c r="S32" s="38">
        <v>14000</v>
      </c>
    </row>
    <row r="33" spans="1:19" x14ac:dyDescent="0.25">
      <c r="A33" s="39">
        <v>43951</v>
      </c>
      <c r="B33" s="40">
        <v>7845</v>
      </c>
      <c r="C33" s="38">
        <f t="shared" si="15"/>
        <v>7587</v>
      </c>
      <c r="D33" s="38">
        <f t="shared" si="16"/>
        <v>258</v>
      </c>
      <c r="E33" s="40">
        <v>7195</v>
      </c>
      <c r="F33" s="38">
        <f t="shared" si="17"/>
        <v>6939</v>
      </c>
      <c r="G33" s="38">
        <f t="shared" si="18"/>
        <v>256</v>
      </c>
      <c r="H33" s="38">
        <f t="shared" si="19"/>
        <v>514</v>
      </c>
      <c r="I33" s="38">
        <f>SUM(Gräsv.6:Gräsv.32!D33)</f>
        <v>541</v>
      </c>
      <c r="J33" s="38">
        <f t="shared" si="20"/>
        <v>27</v>
      </c>
      <c r="K33" s="41">
        <f>Tabell6[[#This Row],[Differens]]/-14</f>
        <v>-1.9285714285714286</v>
      </c>
      <c r="L33" s="38">
        <v>12.624000000000001</v>
      </c>
      <c r="M33" s="38">
        <f>Tabell6[[#This Row],[Pris/m3 ex.moms]]*1.25</f>
        <v>15.780000000000001</v>
      </c>
      <c r="N33" s="42">
        <f t="shared" si="21"/>
        <v>698.66666666666663</v>
      </c>
      <c r="O33" s="42">
        <f t="shared" si="22"/>
        <v>5505.333333333333</v>
      </c>
      <c r="P33" s="42">
        <f t="shared" si="23"/>
        <v>1890.34</v>
      </c>
      <c r="Q33" s="42">
        <f>SUM(Tabell6[[#This Row],[Fast avg]:[sd]])</f>
        <v>8094.34</v>
      </c>
      <c r="R33" s="42">
        <f>Tabell6[[#This Row],[Summa fast avg]]/14</f>
        <v>578.16714285714284</v>
      </c>
      <c r="S33" s="38">
        <v>14000</v>
      </c>
    </row>
    <row r="34" spans="1:19" x14ac:dyDescent="0.25">
      <c r="A34" s="39">
        <v>44074</v>
      </c>
      <c r="B34" s="40">
        <v>8138</v>
      </c>
      <c r="C34" s="38">
        <f t="shared" si="15"/>
        <v>7845</v>
      </c>
      <c r="D34" s="38">
        <f t="shared" si="16"/>
        <v>293</v>
      </c>
      <c r="E34" s="40">
        <v>7469</v>
      </c>
      <c r="F34" s="38">
        <f t="shared" si="17"/>
        <v>7195</v>
      </c>
      <c r="G34" s="38">
        <f t="shared" si="18"/>
        <v>274</v>
      </c>
      <c r="H34" s="38">
        <f t="shared" si="19"/>
        <v>567</v>
      </c>
      <c r="I34" s="38">
        <f>SUM(Gräsv.6:Gräsv.32!D34)</f>
        <v>593</v>
      </c>
      <c r="J34" s="38">
        <f t="shared" si="20"/>
        <v>26</v>
      </c>
      <c r="K34" s="41">
        <f>Tabell6[[#This Row],[Differens]]/-14</f>
        <v>-1.8571428571428572</v>
      </c>
      <c r="L34" s="38">
        <v>12.624000000000001</v>
      </c>
      <c r="M34" s="38">
        <f>Tabell6[[#This Row],[Pris/m3 ex.moms]]*1.25</f>
        <v>15.780000000000001</v>
      </c>
      <c r="N34" s="42">
        <f t="shared" si="21"/>
        <v>698.66666666666663</v>
      </c>
      <c r="O34" s="42">
        <f t="shared" si="22"/>
        <v>5505.333333333333</v>
      </c>
      <c r="P34" s="42">
        <f t="shared" si="23"/>
        <v>1890.34</v>
      </c>
      <c r="Q34" s="42">
        <f>SUM(Tabell6[[#This Row],[Fast avg]:[sd]])</f>
        <v>8094.34</v>
      </c>
      <c r="R34" s="42">
        <f>Tabell6[[#This Row],[Summa fast avg]]/14</f>
        <v>578.16714285714284</v>
      </c>
      <c r="S34" s="38">
        <v>14000</v>
      </c>
    </row>
    <row r="35" spans="1:19" x14ac:dyDescent="0.25">
      <c r="A35" s="39">
        <v>44196</v>
      </c>
      <c r="B35" s="40">
        <v>8402</v>
      </c>
      <c r="C35" s="38">
        <f t="shared" si="15"/>
        <v>8138</v>
      </c>
      <c r="D35" s="38">
        <f t="shared" si="16"/>
        <v>264</v>
      </c>
      <c r="E35" s="40">
        <v>7717</v>
      </c>
      <c r="F35" s="38">
        <f t="shared" si="17"/>
        <v>7469</v>
      </c>
      <c r="G35" s="38">
        <f t="shared" si="18"/>
        <v>248</v>
      </c>
      <c r="H35" s="38">
        <f t="shared" si="19"/>
        <v>512</v>
      </c>
      <c r="I35" s="38">
        <f>SUM(Gräsv.6:Gräsv.32!D35)</f>
        <v>543</v>
      </c>
      <c r="J35" s="38">
        <f t="shared" si="20"/>
        <v>31</v>
      </c>
      <c r="K35" s="41">
        <f>Tabell6[[#This Row],[Differens]]/-14</f>
        <v>-2.2142857142857144</v>
      </c>
      <c r="L35" s="38">
        <v>12.624000000000001</v>
      </c>
      <c r="M35" s="38">
        <f>Tabell6[[#This Row],[Pris/m3 ex.moms]]*1.25</f>
        <v>15.780000000000001</v>
      </c>
      <c r="N35" s="42">
        <f t="shared" si="21"/>
        <v>698.66666666666663</v>
      </c>
      <c r="O35" s="42">
        <f t="shared" si="22"/>
        <v>5505.333333333333</v>
      </c>
      <c r="P35" s="42">
        <f t="shared" si="23"/>
        <v>1890.34</v>
      </c>
      <c r="Q35" s="42">
        <f>SUM(Tabell6[[#This Row],[Fast avg]:[sd]])</f>
        <v>8094.34</v>
      </c>
      <c r="R35" s="42">
        <f>Tabell6[[#This Row],[Summa fast avg]]/14</f>
        <v>578.16714285714284</v>
      </c>
      <c r="S35" s="38">
        <v>14000</v>
      </c>
    </row>
    <row r="36" spans="1:19" x14ac:dyDescent="0.25">
      <c r="A36" s="39">
        <v>44316</v>
      </c>
      <c r="B36" s="40">
        <v>8639</v>
      </c>
      <c r="C36" s="38">
        <f>B35</f>
        <v>8402</v>
      </c>
      <c r="D36" s="38">
        <f t="shared" ref="D36" si="24">IF(B36-C36&lt;0,0,B36-C36)</f>
        <v>237</v>
      </c>
      <c r="E36" s="40">
        <v>7941</v>
      </c>
      <c r="F36" s="38">
        <f>E35</f>
        <v>7717</v>
      </c>
      <c r="G36" s="38">
        <f t="shared" ref="G36" si="25">IF(E36-F36&lt;0,0,E36-F36)</f>
        <v>224</v>
      </c>
      <c r="H36" s="38">
        <f t="shared" ref="H36" si="26">D36+G36</f>
        <v>461</v>
      </c>
      <c r="I36" s="38">
        <f>SUM(Gräsv.6:Gräsv.32!D36)</f>
        <v>476</v>
      </c>
      <c r="J36" s="38">
        <f t="shared" ref="J36" si="27">I36-H36</f>
        <v>15</v>
      </c>
      <c r="K36" s="41">
        <f>Tabell6[[#This Row],[Differens]]/-14</f>
        <v>-1.0714285714285714</v>
      </c>
      <c r="L36" s="38">
        <v>12.624000000000001</v>
      </c>
      <c r="M36" s="38">
        <f>Tabell6[[#This Row],[Pris/m3 ex.moms]]*1.25</f>
        <v>15.780000000000001</v>
      </c>
      <c r="N36" s="42">
        <f t="shared" si="21"/>
        <v>698.66666666666663</v>
      </c>
      <c r="O36" s="42">
        <f t="shared" si="22"/>
        <v>5505.333333333333</v>
      </c>
      <c r="P36" s="42">
        <f t="shared" si="23"/>
        <v>1890.34</v>
      </c>
      <c r="Q36" s="42">
        <f>SUM(Tabell6[[#This Row],[Fast avg]:[sd]])</f>
        <v>8094.34</v>
      </c>
      <c r="R36" s="42">
        <f>Tabell6[[#This Row],[Summa fast avg]]/14</f>
        <v>578.16714285714284</v>
      </c>
      <c r="S36" s="38">
        <v>14000</v>
      </c>
    </row>
    <row r="37" spans="1:19" x14ac:dyDescent="0.25">
      <c r="A37" s="39">
        <v>44439</v>
      </c>
      <c r="B37" s="40">
        <v>8908</v>
      </c>
      <c r="C37" s="38">
        <f>B36</f>
        <v>8639</v>
      </c>
      <c r="D37" s="38">
        <f>IF(B37-C37&lt;0,0,B37-C37)</f>
        <v>269</v>
      </c>
      <c r="E37" s="40">
        <v>8192</v>
      </c>
      <c r="F37" s="38">
        <f>E36</f>
        <v>7941</v>
      </c>
      <c r="G37" s="38">
        <f>IF(E37-F37&lt;0,0,E37-F37)</f>
        <v>251</v>
      </c>
      <c r="H37" s="38">
        <f>D37+G37</f>
        <v>520</v>
      </c>
      <c r="I37" s="38">
        <f>SUM(Gräsv.6:Gräsv.32!D37)</f>
        <v>554</v>
      </c>
      <c r="J37" s="38">
        <f>I37-H37</f>
        <v>34</v>
      </c>
      <c r="K37" s="41">
        <f>Tabell6[[#This Row],[Differens]]/-14</f>
        <v>-2.4285714285714284</v>
      </c>
      <c r="L37" s="38">
        <v>12.624000000000001</v>
      </c>
      <c r="M37" s="38">
        <f>Tabell6[[#This Row],[Pris/m3 ex.moms]]*1.25</f>
        <v>15.780000000000001</v>
      </c>
      <c r="N37" s="42">
        <f t="shared" si="21"/>
        <v>698.66666666666663</v>
      </c>
      <c r="O37" s="42">
        <f t="shared" si="22"/>
        <v>5505.333333333333</v>
      </c>
      <c r="P37" s="42">
        <f t="shared" si="23"/>
        <v>1890.34</v>
      </c>
      <c r="Q37" s="42">
        <f>SUM(Tabell6[[#This Row],[Fast avg]:[sd]])</f>
        <v>8094.34</v>
      </c>
      <c r="R37" s="42">
        <f>Tabell6[[#This Row],[Summa fast avg]]/14</f>
        <v>578.16714285714284</v>
      </c>
      <c r="S37" s="38">
        <v>14000</v>
      </c>
    </row>
    <row r="38" spans="1:19" x14ac:dyDescent="0.25">
      <c r="A38" s="39">
        <v>44561</v>
      </c>
      <c r="B38" s="40">
        <v>9158</v>
      </c>
      <c r="C38" s="38">
        <f>B37</f>
        <v>8908</v>
      </c>
      <c r="D38" s="38">
        <f>IF(B38-C38&lt;0,0,B38-C38)</f>
        <v>250</v>
      </c>
      <c r="E38" s="40">
        <v>8422</v>
      </c>
      <c r="F38" s="38">
        <f>E37</f>
        <v>8192</v>
      </c>
      <c r="G38" s="38">
        <f>IF(E38-F38&lt;0,0,E38-F38)</f>
        <v>230</v>
      </c>
      <c r="H38" s="38">
        <f>D38+G38</f>
        <v>480</v>
      </c>
      <c r="I38" s="38">
        <f>SUM(Gräsv.6:Gräsv.32!D38)</f>
        <v>499</v>
      </c>
      <c r="J38" s="38">
        <f>I38-H38</f>
        <v>19</v>
      </c>
      <c r="K38" s="41">
        <f>Tabell6[[#This Row],[Differens]]/-14</f>
        <v>-1.3571428571428572</v>
      </c>
      <c r="L38" s="38">
        <v>12.624000000000001</v>
      </c>
      <c r="M38" s="38">
        <f>Tabell6[[#This Row],[Pris/m3 ex.moms]]*1.25</f>
        <v>15.780000000000001</v>
      </c>
      <c r="N38" s="42">
        <f t="shared" si="21"/>
        <v>698.66666666666663</v>
      </c>
      <c r="O38" s="42">
        <f t="shared" si="22"/>
        <v>5505.333333333333</v>
      </c>
      <c r="P38" s="42">
        <f t="shared" si="23"/>
        <v>1890.34</v>
      </c>
      <c r="Q38" s="42">
        <f>SUM(Tabell6[[#This Row],[Fast avg]:[sd]])</f>
        <v>8094.34</v>
      </c>
      <c r="R38" s="42">
        <f>Tabell6[[#This Row],[Summa fast avg]]/14</f>
        <v>578.16714285714284</v>
      </c>
      <c r="S38" s="38">
        <v>14000</v>
      </c>
    </row>
    <row r="39" spans="1:19" x14ac:dyDescent="0.25">
      <c r="A39" s="39">
        <v>44681</v>
      </c>
      <c r="B39" s="40">
        <v>9441</v>
      </c>
      <c r="C39" s="38">
        <f>B38</f>
        <v>9158</v>
      </c>
      <c r="D39" s="38">
        <f>IF(B39-C39&lt;0,0,B39-C39)</f>
        <v>283</v>
      </c>
      <c r="E39" s="40">
        <v>8683</v>
      </c>
      <c r="F39" s="38">
        <f>E38</f>
        <v>8422</v>
      </c>
      <c r="G39" s="38">
        <f>IF(E39-F39&lt;0,0,E39-F39)</f>
        <v>261</v>
      </c>
      <c r="H39" s="38">
        <f>D39+G39</f>
        <v>544</v>
      </c>
      <c r="I39" s="38">
        <f>SUM(Gräsv.6:Gräsv.32!D39)</f>
        <v>582</v>
      </c>
      <c r="J39" s="38">
        <f>I39-H39</f>
        <v>38</v>
      </c>
      <c r="K39" s="41">
        <f>Tabell6[[#This Row],[Differens]]/-14</f>
        <v>-2.7142857142857144</v>
      </c>
      <c r="L39" s="38">
        <v>12.624000000000001</v>
      </c>
      <c r="M39" s="38">
        <f>Tabell6[[#This Row],[Pris/m3 ex.moms]]*1.25</f>
        <v>15.780000000000001</v>
      </c>
      <c r="N39" s="42">
        <f t="shared" si="21"/>
        <v>698.66666666666663</v>
      </c>
      <c r="O39" s="42">
        <f t="shared" si="22"/>
        <v>5505.333333333333</v>
      </c>
      <c r="P39" s="42">
        <f t="shared" si="23"/>
        <v>1890.34</v>
      </c>
      <c r="Q39" s="42">
        <f>SUM(Tabell6[[#This Row],[Fast avg]:[sd]])</f>
        <v>8094.34</v>
      </c>
      <c r="R39" s="42">
        <f>Tabell6[[#This Row],[Summa fast avg]]/14</f>
        <v>578.16714285714284</v>
      </c>
      <c r="S39" s="38">
        <v>14000</v>
      </c>
    </row>
    <row r="40" spans="1:19" x14ac:dyDescent="0.25">
      <c r="A40" s="39">
        <v>44804</v>
      </c>
      <c r="B40" s="40">
        <v>9652</v>
      </c>
      <c r="C40" s="38">
        <f>B39</f>
        <v>9441</v>
      </c>
      <c r="D40" s="38">
        <f>IF(B40-C40&lt;0,0,B40-C40)</f>
        <v>211</v>
      </c>
      <c r="E40" s="40">
        <v>8876</v>
      </c>
      <c r="F40" s="38">
        <f>E39</f>
        <v>8683</v>
      </c>
      <c r="G40" s="38">
        <f>IF(E40-F40&lt;0,0,E40-F40)</f>
        <v>193</v>
      </c>
      <c r="H40" s="38">
        <f>D40+G40</f>
        <v>404</v>
      </c>
      <c r="I40" s="38">
        <f>SUM(Gräsv.6:Gräsv.32!D40)</f>
        <v>405</v>
      </c>
      <c r="J40" s="38">
        <f>I40-H40</f>
        <v>1</v>
      </c>
      <c r="K40" s="41">
        <f>Tabell6[[#This Row],[Differens]]/-14</f>
        <v>-7.1428571428571425E-2</v>
      </c>
      <c r="L40" s="38">
        <v>12.624000000000001</v>
      </c>
      <c r="M40" s="38">
        <f>Tabell6[[#This Row],[Pris/m3 ex.moms]]*1.25</f>
        <v>15.780000000000001</v>
      </c>
      <c r="N40" s="42">
        <f t="shared" si="21"/>
        <v>698.66666666666663</v>
      </c>
      <c r="O40" s="42">
        <f t="shared" si="22"/>
        <v>5505.333333333333</v>
      </c>
      <c r="P40" s="42">
        <f t="shared" si="23"/>
        <v>1890.34</v>
      </c>
      <c r="Q40" s="42">
        <f>SUM(Tabell6[[#This Row],[Fast avg]:[sd]])</f>
        <v>8094.34</v>
      </c>
      <c r="R40" s="42">
        <f>Tabell6[[#This Row],[Summa fast avg]]/14</f>
        <v>578.16714285714284</v>
      </c>
      <c r="S40" s="38">
        <v>14000</v>
      </c>
    </row>
    <row r="41" spans="1:19" x14ac:dyDescent="0.25">
      <c r="A41" s="39">
        <v>44926</v>
      </c>
      <c r="B41" s="40">
        <v>9924</v>
      </c>
      <c r="C41" s="38">
        <f t="shared" ref="C41:C60" si="28">B40</f>
        <v>9652</v>
      </c>
      <c r="D41" s="38">
        <f t="shared" ref="D41:D55" si="29">IF(B41-C41&lt;0,0,B41-C41)</f>
        <v>272</v>
      </c>
      <c r="E41" s="40">
        <v>9120</v>
      </c>
      <c r="F41" s="38">
        <f t="shared" ref="F41:F60" si="30">E40</f>
        <v>8876</v>
      </c>
      <c r="G41" s="38">
        <f t="shared" ref="G41:G55" si="31">IF(E41-F41&lt;0,0,E41-F41)</f>
        <v>244</v>
      </c>
      <c r="H41" s="38">
        <f t="shared" ref="H41:H55" si="32">D41+G41</f>
        <v>516</v>
      </c>
      <c r="I41" s="38">
        <f>SUM(Gräsv.6:Gräsv.32!D41)</f>
        <v>516</v>
      </c>
      <c r="J41" s="38">
        <f t="shared" ref="J41:J55" si="33">I41-H41</f>
        <v>0</v>
      </c>
      <c r="K41" s="41">
        <f>Tabell6[[#This Row],[Differens]]/-14</f>
        <v>0</v>
      </c>
      <c r="L41" s="38">
        <v>12.624000000000001</v>
      </c>
      <c r="M41" s="38">
        <f>Tabell6[[#This Row],[Pris/m3 ex.moms]]*1.25</f>
        <v>15.780000000000001</v>
      </c>
      <c r="N41" s="42">
        <f t="shared" si="21"/>
        <v>698.66666666666663</v>
      </c>
      <c r="O41" s="42">
        <f t="shared" si="22"/>
        <v>5505.333333333333</v>
      </c>
      <c r="P41" s="42">
        <f t="shared" si="23"/>
        <v>1890.34</v>
      </c>
      <c r="Q41" s="42">
        <f>SUM(Tabell6[[#This Row],[Fast avg]:[sd]])</f>
        <v>8094.34</v>
      </c>
      <c r="R41" s="42">
        <f>Tabell6[[#This Row],[Summa fast avg]]/14</f>
        <v>578.16714285714284</v>
      </c>
      <c r="S41" s="38">
        <v>14000</v>
      </c>
    </row>
    <row r="42" spans="1:19" x14ac:dyDescent="0.25">
      <c r="A42" s="39">
        <v>45046</v>
      </c>
      <c r="B42" s="40">
        <v>10151</v>
      </c>
      <c r="C42" s="38">
        <f t="shared" si="28"/>
        <v>9924</v>
      </c>
      <c r="D42" s="38">
        <f t="shared" si="29"/>
        <v>227</v>
      </c>
      <c r="E42" s="40">
        <v>9325</v>
      </c>
      <c r="F42" s="38">
        <f t="shared" si="30"/>
        <v>9120</v>
      </c>
      <c r="G42" s="38">
        <f t="shared" si="31"/>
        <v>205</v>
      </c>
      <c r="H42" s="38">
        <f t="shared" si="32"/>
        <v>432</v>
      </c>
      <c r="I42" s="38">
        <f>SUM(Gräsv.6:Gräsv.32!D42)</f>
        <v>430</v>
      </c>
      <c r="J42" s="38">
        <f t="shared" si="33"/>
        <v>-2</v>
      </c>
      <c r="K42" s="41">
        <f>Tabell6[[#This Row],[Differens]]/-14</f>
        <v>0.14285714285714285</v>
      </c>
      <c r="L42" s="38">
        <v>14.263999999999999</v>
      </c>
      <c r="M42" s="38">
        <f>Tabell6[[#This Row],[Pris/m3 ex.moms]]*1.25</f>
        <v>17.829999999999998</v>
      </c>
      <c r="N42" s="42">
        <f>2368/3</f>
        <v>789.33333333333337</v>
      </c>
      <c r="O42" s="42">
        <f>18663/3</f>
        <v>6221</v>
      </c>
      <c r="P42" s="42">
        <f>(6033*1.06)/3</f>
        <v>2131.6600000000003</v>
      </c>
      <c r="Q42" s="42">
        <f>SUM(Tabell6[[#This Row],[Fast avg]:[sd]])</f>
        <v>9141.9933333333338</v>
      </c>
      <c r="R42" s="42">
        <f>Tabell6[[#This Row],[Summa fast avg]]/14</f>
        <v>652.99952380952379</v>
      </c>
      <c r="S42" s="38">
        <v>14000</v>
      </c>
    </row>
    <row r="43" spans="1:19" x14ac:dyDescent="0.25">
      <c r="A43" s="39">
        <v>45169</v>
      </c>
      <c r="B43" s="40">
        <v>10385</v>
      </c>
      <c r="C43" s="38">
        <f t="shared" si="28"/>
        <v>10151</v>
      </c>
      <c r="D43" s="38">
        <f t="shared" si="29"/>
        <v>234</v>
      </c>
      <c r="E43" s="40">
        <v>9535</v>
      </c>
      <c r="F43" s="38">
        <f t="shared" si="30"/>
        <v>9325</v>
      </c>
      <c r="G43" s="38">
        <f t="shared" si="31"/>
        <v>210</v>
      </c>
      <c r="H43" s="38">
        <f t="shared" si="32"/>
        <v>444</v>
      </c>
      <c r="I43" s="38">
        <f>SUM(Gräsv.6:Gräsv.32!D43)</f>
        <v>475</v>
      </c>
      <c r="J43" s="38">
        <f t="shared" si="33"/>
        <v>31</v>
      </c>
      <c r="K43" s="41">
        <f>Tabell6[[#This Row],[Differens]]/-14</f>
        <v>-2.2142857142857144</v>
      </c>
      <c r="L43" s="38">
        <v>14.263999999999999</v>
      </c>
      <c r="M43" s="38">
        <f>Tabell6[[#This Row],[Pris/m3 ex.moms]]*1.25</f>
        <v>17.829999999999998</v>
      </c>
      <c r="N43" s="42">
        <f t="shared" ref="N43:N45" si="34">2368/3</f>
        <v>789.33333333333337</v>
      </c>
      <c r="O43" s="42">
        <f t="shared" ref="O43:O45" si="35">18663/3</f>
        <v>6221</v>
      </c>
      <c r="P43" s="42">
        <f t="shared" ref="P43:P45" si="36">(6033*1.06)/3</f>
        <v>2131.6600000000003</v>
      </c>
      <c r="Q43" s="42">
        <f>SUM(Tabell6[[#This Row],[Fast avg]:[sd]])</f>
        <v>9141.9933333333338</v>
      </c>
      <c r="R43" s="42">
        <f>Tabell6[[#This Row],[Summa fast avg]]/14</f>
        <v>652.99952380952379</v>
      </c>
      <c r="S43" s="38">
        <v>14000</v>
      </c>
    </row>
    <row r="44" spans="1:19" x14ac:dyDescent="0.25">
      <c r="A44" s="39">
        <v>45291</v>
      </c>
      <c r="B44" s="40">
        <v>10608</v>
      </c>
      <c r="C44" s="38">
        <f t="shared" si="28"/>
        <v>10385</v>
      </c>
      <c r="D44" s="38">
        <f t="shared" si="29"/>
        <v>223</v>
      </c>
      <c r="E44" s="40">
        <v>9735</v>
      </c>
      <c r="F44" s="38">
        <f t="shared" si="30"/>
        <v>9535</v>
      </c>
      <c r="G44" s="38">
        <f t="shared" si="31"/>
        <v>200</v>
      </c>
      <c r="H44" s="38">
        <f t="shared" si="32"/>
        <v>423</v>
      </c>
      <c r="I44" s="38">
        <f>SUM(Gräsv.6:Gräsv.32!D44)</f>
        <v>434</v>
      </c>
      <c r="J44" s="38">
        <f t="shared" si="33"/>
        <v>11</v>
      </c>
      <c r="K44" s="41">
        <f>Tabell6[[#This Row],[Differens]]/-14</f>
        <v>-0.7857142857142857</v>
      </c>
      <c r="L44" s="38">
        <v>14.263999999999999</v>
      </c>
      <c r="M44" s="38">
        <f>Tabell6[[#This Row],[Pris/m3 ex.moms]]*1.25</f>
        <v>17.829999999999998</v>
      </c>
      <c r="N44" s="42">
        <f t="shared" si="34"/>
        <v>789.33333333333337</v>
      </c>
      <c r="O44" s="42">
        <f t="shared" si="35"/>
        <v>6221</v>
      </c>
      <c r="P44" s="42">
        <f t="shared" si="36"/>
        <v>2131.6600000000003</v>
      </c>
      <c r="Q44" s="42">
        <f>SUM(Tabell6[[#This Row],[Fast avg]:[sd]])</f>
        <v>9141.9933333333338</v>
      </c>
      <c r="R44" s="42">
        <f>Tabell6[[#This Row],[Summa fast avg]]/14</f>
        <v>652.99952380952379</v>
      </c>
      <c r="S44" s="38">
        <v>14000</v>
      </c>
    </row>
    <row r="45" spans="1:19" x14ac:dyDescent="0.25">
      <c r="A45" s="39">
        <v>45412</v>
      </c>
      <c r="B45" s="40">
        <v>10834</v>
      </c>
      <c r="C45" s="38">
        <f t="shared" si="28"/>
        <v>10608</v>
      </c>
      <c r="D45" s="38">
        <f t="shared" si="29"/>
        <v>226</v>
      </c>
      <c r="E45" s="40">
        <v>9939</v>
      </c>
      <c r="F45" s="38">
        <f t="shared" si="30"/>
        <v>9735</v>
      </c>
      <c r="G45" s="38">
        <f t="shared" si="31"/>
        <v>204</v>
      </c>
      <c r="H45" s="38">
        <f t="shared" si="32"/>
        <v>430</v>
      </c>
      <c r="I45" s="38">
        <f>SUM(Gräsv.6:Gräsv.32!D45)</f>
        <v>431</v>
      </c>
      <c r="J45" s="38">
        <f t="shared" si="33"/>
        <v>1</v>
      </c>
      <c r="K45" s="41">
        <f>Tabell6[[#This Row],[Differens]]/-14</f>
        <v>-7.1428571428571425E-2</v>
      </c>
      <c r="L45" s="38">
        <v>14.263999999999999</v>
      </c>
      <c r="M45" s="38">
        <f>Tabell6[[#This Row],[Pris/m3 ex.moms]]*1.25</f>
        <v>17.829999999999998</v>
      </c>
      <c r="N45" s="42">
        <f t="shared" si="34"/>
        <v>789.33333333333337</v>
      </c>
      <c r="O45" s="42">
        <f t="shared" si="35"/>
        <v>6221</v>
      </c>
      <c r="P45" s="42">
        <f t="shared" si="36"/>
        <v>2131.6600000000003</v>
      </c>
      <c r="Q45" s="42">
        <f>SUM(Tabell6[[#This Row],[Fast avg]:[sd]])</f>
        <v>9141.9933333333338</v>
      </c>
      <c r="R45" s="42">
        <f>Tabell6[[#This Row],[Summa fast avg]]/14</f>
        <v>652.99952380952379</v>
      </c>
      <c r="S45" s="38">
        <v>14000</v>
      </c>
    </row>
    <row r="46" spans="1:19" x14ac:dyDescent="0.25">
      <c r="A46" s="39">
        <v>45535</v>
      </c>
      <c r="B46" s="40">
        <v>11052</v>
      </c>
      <c r="C46" s="38">
        <f t="shared" si="28"/>
        <v>10834</v>
      </c>
      <c r="D46" s="38">
        <f t="shared" si="29"/>
        <v>218</v>
      </c>
      <c r="E46" s="40">
        <v>10136</v>
      </c>
      <c r="F46" s="38">
        <f t="shared" si="30"/>
        <v>9939</v>
      </c>
      <c r="G46" s="38">
        <f t="shared" si="31"/>
        <v>197</v>
      </c>
      <c r="H46" s="38">
        <f t="shared" si="32"/>
        <v>415</v>
      </c>
      <c r="I46" s="38">
        <f>SUM(Gräsv.6:Gräsv.32!D46)</f>
        <v>434</v>
      </c>
      <c r="J46" s="38">
        <f t="shared" si="33"/>
        <v>19</v>
      </c>
      <c r="K46" s="41">
        <f>Tabell6[[#This Row],[Differens]]/-14</f>
        <v>-1.3571428571428572</v>
      </c>
      <c r="L46" s="38">
        <v>16.8</v>
      </c>
      <c r="M46" s="38">
        <v>21</v>
      </c>
      <c r="N46" s="42">
        <v>2770</v>
      </c>
      <c r="O46" s="42">
        <v>21836</v>
      </c>
      <c r="P46" s="74">
        <f>(6033*1.24)</f>
        <v>7480.92</v>
      </c>
      <c r="Q46" s="42">
        <f>SUM(Tabell6[[#This Row],[Fast avg]:[sd]])/3</f>
        <v>10695.64</v>
      </c>
      <c r="R46" s="42">
        <f>Tabell6[[#This Row],[Summa fast avg]]/14</f>
        <v>763.97428571428566</v>
      </c>
      <c r="S46" s="38">
        <v>14000</v>
      </c>
    </row>
    <row r="47" spans="1:19" x14ac:dyDescent="0.25">
      <c r="A47" s="39">
        <v>45657</v>
      </c>
      <c r="B47" s="40">
        <v>11261</v>
      </c>
      <c r="C47" s="38">
        <f t="shared" si="28"/>
        <v>11052</v>
      </c>
      <c r="D47" s="38">
        <f t="shared" si="29"/>
        <v>209</v>
      </c>
      <c r="E47" s="40">
        <v>10332</v>
      </c>
      <c r="F47" s="38">
        <f t="shared" si="30"/>
        <v>10136</v>
      </c>
      <c r="G47" s="38">
        <f t="shared" si="31"/>
        <v>196</v>
      </c>
      <c r="H47" s="38">
        <f t="shared" si="32"/>
        <v>405</v>
      </c>
      <c r="I47" s="38">
        <f>SUM(Gräsv.6:Gräsv.32!D47)</f>
        <v>429</v>
      </c>
      <c r="J47" s="38">
        <f t="shared" si="33"/>
        <v>24</v>
      </c>
      <c r="K47" s="41">
        <f>Tabell6[[#This Row],[Differens]]/-14</f>
        <v>-1.7142857142857142</v>
      </c>
      <c r="L47" s="38">
        <v>16.8</v>
      </c>
      <c r="M47" s="38">
        <v>21</v>
      </c>
      <c r="N47" s="42">
        <v>2770</v>
      </c>
      <c r="O47" s="42">
        <v>21836</v>
      </c>
      <c r="P47" s="74">
        <f>(6033*1.24)</f>
        <v>7480.92</v>
      </c>
      <c r="Q47" s="42">
        <f>SUM(Tabell6[[#This Row],[Fast avg]:[sd]])/3</f>
        <v>10695.64</v>
      </c>
      <c r="R47" s="42">
        <f>Tabell6[[#This Row],[Summa fast avg]]/14</f>
        <v>763.97428571428566</v>
      </c>
      <c r="S47" s="38">
        <v>14000</v>
      </c>
    </row>
    <row r="48" spans="1:19" x14ac:dyDescent="0.25">
      <c r="A48" s="39">
        <v>45777</v>
      </c>
      <c r="B48" s="40">
        <v>11466</v>
      </c>
      <c r="C48" s="38">
        <f t="shared" si="28"/>
        <v>11261</v>
      </c>
      <c r="D48" s="38">
        <f t="shared" si="29"/>
        <v>205</v>
      </c>
      <c r="E48" s="40">
        <v>10530</v>
      </c>
      <c r="F48" s="38">
        <f t="shared" si="30"/>
        <v>10332</v>
      </c>
      <c r="G48" s="38">
        <f t="shared" si="31"/>
        <v>198</v>
      </c>
      <c r="H48" s="38">
        <f t="shared" si="32"/>
        <v>403</v>
      </c>
      <c r="I48" s="38">
        <f>SUM(Gräsv.6:Gräsv.32!D48)</f>
        <v>424</v>
      </c>
      <c r="J48" s="38">
        <f t="shared" si="33"/>
        <v>21</v>
      </c>
      <c r="K48" s="41">
        <f>Tabell6[[#This Row],[Differens]]/-14</f>
        <v>-1.5</v>
      </c>
      <c r="L48" s="38">
        <v>19.2</v>
      </c>
      <c r="M48" s="38">
        <f>Tabell6[[#This Row],[Pris/m3 ex.moms]]*1.25</f>
        <v>24</v>
      </c>
      <c r="N48" s="42">
        <v>3186</v>
      </c>
      <c r="O48" s="42">
        <v>25111</v>
      </c>
      <c r="P48" s="74">
        <f>(6033*1.43)</f>
        <v>8627.19</v>
      </c>
      <c r="Q48" s="42">
        <f>SUM(Tabell6[[#This Row],[Fast avg]:[sd]])/3</f>
        <v>12308.063333333334</v>
      </c>
      <c r="R48" s="42">
        <f>Tabell6[[#This Row],[Summa fast avg]]/14</f>
        <v>879.14738095238101</v>
      </c>
      <c r="S48" s="38">
        <v>14000</v>
      </c>
    </row>
    <row r="49" spans="1:19" x14ac:dyDescent="0.25">
      <c r="A49" s="39">
        <v>45900</v>
      </c>
      <c r="B49" s="40"/>
      <c r="C49" s="38">
        <f t="shared" si="28"/>
        <v>11466</v>
      </c>
      <c r="D49" s="38">
        <f t="shared" si="29"/>
        <v>0</v>
      </c>
      <c r="E49" s="40"/>
      <c r="F49" s="38">
        <f t="shared" si="30"/>
        <v>10530</v>
      </c>
      <c r="G49" s="38">
        <f t="shared" si="31"/>
        <v>0</v>
      </c>
      <c r="H49" s="38">
        <f t="shared" si="32"/>
        <v>0</v>
      </c>
      <c r="I49" s="38">
        <f>SUM(Gräsv.6:Gräsv.32!D49)</f>
        <v>0</v>
      </c>
      <c r="J49" s="38">
        <f t="shared" si="33"/>
        <v>0</v>
      </c>
      <c r="K49" s="41">
        <f>Tabell6[[#This Row],[Differens]]/-14</f>
        <v>0</v>
      </c>
      <c r="L49" s="38">
        <v>19.2</v>
      </c>
      <c r="M49" s="38">
        <f>Tabell6[[#This Row],[Pris/m3 ex.moms]]*1.25</f>
        <v>24</v>
      </c>
      <c r="N49" s="42">
        <v>3186</v>
      </c>
      <c r="O49" s="42">
        <v>25111</v>
      </c>
      <c r="P49" s="74">
        <f t="shared" ref="P49:P60" si="37">(6033*1.43)</f>
        <v>8627.19</v>
      </c>
      <c r="Q49" s="42">
        <f>SUM(Tabell6[[#This Row],[Fast avg]:[sd]])/3</f>
        <v>12308.063333333334</v>
      </c>
      <c r="R49" s="42">
        <f>Tabell6[[#This Row],[Summa fast avg]]/14</f>
        <v>879.14738095238101</v>
      </c>
      <c r="S49" s="38">
        <v>14000</v>
      </c>
    </row>
    <row r="50" spans="1:19" x14ac:dyDescent="0.25">
      <c r="A50" s="39">
        <v>46022</v>
      </c>
      <c r="B50" s="40"/>
      <c r="C50" s="38">
        <f t="shared" si="28"/>
        <v>0</v>
      </c>
      <c r="D50" s="38">
        <f t="shared" si="29"/>
        <v>0</v>
      </c>
      <c r="E50" s="40"/>
      <c r="F50" s="38">
        <f t="shared" si="30"/>
        <v>0</v>
      </c>
      <c r="G50" s="38">
        <f t="shared" si="31"/>
        <v>0</v>
      </c>
      <c r="H50" s="38">
        <f t="shared" si="32"/>
        <v>0</v>
      </c>
      <c r="I50" s="38">
        <f>SUM(Gräsv.6:Gräsv.32!D50)</f>
        <v>0</v>
      </c>
      <c r="J50" s="38">
        <f t="shared" si="33"/>
        <v>0</v>
      </c>
      <c r="K50" s="41">
        <f>Tabell6[[#This Row],[Differens]]/-14</f>
        <v>0</v>
      </c>
      <c r="L50" s="38">
        <v>19.2</v>
      </c>
      <c r="M50" s="38">
        <f>Tabell6[[#This Row],[Pris/m3 ex.moms]]*1.25</f>
        <v>24</v>
      </c>
      <c r="N50" s="42">
        <v>3186</v>
      </c>
      <c r="O50" s="42">
        <v>25111</v>
      </c>
      <c r="P50" s="74">
        <f t="shared" si="37"/>
        <v>8627.19</v>
      </c>
      <c r="Q50" s="42">
        <f>SUM(Tabell6[[#This Row],[Fast avg]:[sd]])/3</f>
        <v>12308.063333333334</v>
      </c>
      <c r="R50" s="42">
        <f>Tabell6[[#This Row],[Summa fast avg]]/14</f>
        <v>879.14738095238101</v>
      </c>
      <c r="S50" s="38">
        <v>14000</v>
      </c>
    </row>
    <row r="51" spans="1:19" x14ac:dyDescent="0.25">
      <c r="A51" s="39">
        <v>46142</v>
      </c>
      <c r="B51" s="40"/>
      <c r="C51" s="38">
        <f t="shared" si="28"/>
        <v>0</v>
      </c>
      <c r="D51" s="38">
        <f t="shared" si="29"/>
        <v>0</v>
      </c>
      <c r="E51" s="40"/>
      <c r="F51" s="38">
        <f t="shared" si="30"/>
        <v>0</v>
      </c>
      <c r="G51" s="38">
        <f t="shared" si="31"/>
        <v>0</v>
      </c>
      <c r="H51" s="38">
        <f t="shared" si="32"/>
        <v>0</v>
      </c>
      <c r="I51" s="38">
        <f>SUM(Gräsv.6:Gräsv.32!D51)</f>
        <v>0</v>
      </c>
      <c r="J51" s="38">
        <f t="shared" si="33"/>
        <v>0</v>
      </c>
      <c r="K51" s="41">
        <f>Tabell6[[#This Row],[Differens]]/-14</f>
        <v>0</v>
      </c>
      <c r="L51" s="38">
        <v>19.2</v>
      </c>
      <c r="M51" s="38">
        <f>Tabell6[[#This Row],[Pris/m3 ex.moms]]*1.25</f>
        <v>24</v>
      </c>
      <c r="N51" s="42">
        <v>3186</v>
      </c>
      <c r="O51" s="42">
        <v>25111</v>
      </c>
      <c r="P51" s="74">
        <f t="shared" si="37"/>
        <v>8627.19</v>
      </c>
      <c r="Q51" s="42">
        <f>SUM(Tabell6[[#This Row],[Fast avg]:[sd]])/3</f>
        <v>12308.063333333334</v>
      </c>
      <c r="R51" s="42">
        <f>Tabell6[[#This Row],[Summa fast avg]]/14</f>
        <v>879.14738095238101</v>
      </c>
      <c r="S51" s="38">
        <v>14000</v>
      </c>
    </row>
    <row r="52" spans="1:19" x14ac:dyDescent="0.25">
      <c r="A52" s="39">
        <v>46265</v>
      </c>
      <c r="B52" s="40"/>
      <c r="C52" s="38">
        <f t="shared" si="28"/>
        <v>0</v>
      </c>
      <c r="D52" s="38">
        <f t="shared" si="29"/>
        <v>0</v>
      </c>
      <c r="E52" s="40"/>
      <c r="F52" s="38">
        <f t="shared" si="30"/>
        <v>0</v>
      </c>
      <c r="G52" s="38">
        <f t="shared" si="31"/>
        <v>0</v>
      </c>
      <c r="H52" s="38">
        <f t="shared" si="32"/>
        <v>0</v>
      </c>
      <c r="I52" s="38">
        <f>SUM(Gräsv.6:Gräsv.32!D52)</f>
        <v>0</v>
      </c>
      <c r="J52" s="38">
        <f t="shared" si="33"/>
        <v>0</v>
      </c>
      <c r="K52" s="41">
        <f>Tabell6[[#This Row],[Differens]]/-14</f>
        <v>0</v>
      </c>
      <c r="L52" s="38">
        <v>19.2</v>
      </c>
      <c r="M52" s="38">
        <f>Tabell6[[#This Row],[Pris/m3 ex.moms]]*1.25</f>
        <v>24</v>
      </c>
      <c r="N52" s="42">
        <v>3186</v>
      </c>
      <c r="O52" s="42">
        <v>25111</v>
      </c>
      <c r="P52" s="74">
        <f t="shared" si="37"/>
        <v>8627.19</v>
      </c>
      <c r="Q52" s="42">
        <f>SUM(Tabell6[[#This Row],[Fast avg]:[sd]])/3</f>
        <v>12308.063333333334</v>
      </c>
      <c r="R52" s="42">
        <f>Tabell6[[#This Row],[Summa fast avg]]/14</f>
        <v>879.14738095238101</v>
      </c>
      <c r="S52" s="38">
        <v>14000</v>
      </c>
    </row>
    <row r="53" spans="1:19" x14ac:dyDescent="0.25">
      <c r="A53" s="39">
        <v>46387</v>
      </c>
      <c r="B53" s="40"/>
      <c r="C53" s="38">
        <f t="shared" si="28"/>
        <v>0</v>
      </c>
      <c r="D53" s="38">
        <f t="shared" si="29"/>
        <v>0</v>
      </c>
      <c r="E53" s="40"/>
      <c r="F53" s="38">
        <f t="shared" si="30"/>
        <v>0</v>
      </c>
      <c r="G53" s="38">
        <f t="shared" si="31"/>
        <v>0</v>
      </c>
      <c r="H53" s="38">
        <f t="shared" si="32"/>
        <v>0</v>
      </c>
      <c r="I53" s="38">
        <f>SUM(Gräsv.6:Gräsv.32!D53)</f>
        <v>0</v>
      </c>
      <c r="J53" s="38">
        <f t="shared" si="33"/>
        <v>0</v>
      </c>
      <c r="K53" s="41">
        <f>Tabell6[[#This Row],[Differens]]/-14</f>
        <v>0</v>
      </c>
      <c r="L53" s="38">
        <v>19.2</v>
      </c>
      <c r="M53" s="38">
        <f>Tabell6[[#This Row],[Pris/m3 ex.moms]]*1.25</f>
        <v>24</v>
      </c>
      <c r="N53" s="42">
        <v>3186</v>
      </c>
      <c r="O53" s="42">
        <v>25111</v>
      </c>
      <c r="P53" s="74">
        <f t="shared" si="37"/>
        <v>8627.19</v>
      </c>
      <c r="Q53" s="42">
        <f>SUM(Tabell6[[#This Row],[Fast avg]:[sd]])/3</f>
        <v>12308.063333333334</v>
      </c>
      <c r="R53" s="42">
        <f>Tabell6[[#This Row],[Summa fast avg]]/14</f>
        <v>879.14738095238101</v>
      </c>
      <c r="S53" s="38">
        <v>14000</v>
      </c>
    </row>
    <row r="54" spans="1:19" x14ac:dyDescent="0.25">
      <c r="A54" s="39">
        <v>46507</v>
      </c>
      <c r="B54" s="40"/>
      <c r="C54" s="38">
        <f t="shared" si="28"/>
        <v>0</v>
      </c>
      <c r="D54" s="38">
        <f t="shared" si="29"/>
        <v>0</v>
      </c>
      <c r="E54" s="40"/>
      <c r="F54" s="38">
        <f t="shared" si="30"/>
        <v>0</v>
      </c>
      <c r="G54" s="38">
        <f t="shared" si="31"/>
        <v>0</v>
      </c>
      <c r="H54" s="38">
        <f t="shared" si="32"/>
        <v>0</v>
      </c>
      <c r="I54" s="38">
        <f>SUM(Gräsv.6:Gräsv.32!D54)</f>
        <v>0</v>
      </c>
      <c r="J54" s="38">
        <f t="shared" si="33"/>
        <v>0</v>
      </c>
      <c r="K54" s="41">
        <f>Tabell6[[#This Row],[Differens]]/-14</f>
        <v>0</v>
      </c>
      <c r="L54" s="38">
        <v>19.2</v>
      </c>
      <c r="M54" s="38">
        <f>Tabell6[[#This Row],[Pris/m3 ex.moms]]*1.25</f>
        <v>24</v>
      </c>
      <c r="N54" s="42">
        <v>3186</v>
      </c>
      <c r="O54" s="42">
        <v>25111</v>
      </c>
      <c r="P54" s="74">
        <f t="shared" si="37"/>
        <v>8627.19</v>
      </c>
      <c r="Q54" s="42">
        <f>SUM(Tabell6[[#This Row],[Fast avg]:[sd]])/3</f>
        <v>12308.063333333334</v>
      </c>
      <c r="R54" s="42">
        <f>Tabell6[[#This Row],[Summa fast avg]]/14</f>
        <v>879.14738095238101</v>
      </c>
      <c r="S54" s="38">
        <v>14000</v>
      </c>
    </row>
    <row r="55" spans="1:19" x14ac:dyDescent="0.25">
      <c r="A55" s="39">
        <v>46630</v>
      </c>
      <c r="B55" s="40"/>
      <c r="C55" s="38">
        <f t="shared" si="28"/>
        <v>0</v>
      </c>
      <c r="D55" s="38">
        <f t="shared" si="29"/>
        <v>0</v>
      </c>
      <c r="E55" s="40"/>
      <c r="F55" s="38">
        <f t="shared" si="30"/>
        <v>0</v>
      </c>
      <c r="G55" s="38">
        <f t="shared" si="31"/>
        <v>0</v>
      </c>
      <c r="H55" s="38">
        <f t="shared" si="32"/>
        <v>0</v>
      </c>
      <c r="I55" s="38">
        <f>SUM(Gräsv.6:Gräsv.32!D55)</f>
        <v>0</v>
      </c>
      <c r="J55" s="38">
        <f t="shared" si="33"/>
        <v>0</v>
      </c>
      <c r="K55" s="41">
        <f>Tabell6[[#This Row],[Differens]]/-14</f>
        <v>0</v>
      </c>
      <c r="L55" s="38">
        <v>19.2</v>
      </c>
      <c r="M55" s="38">
        <f>Tabell6[[#This Row],[Pris/m3 ex.moms]]*1.25</f>
        <v>24</v>
      </c>
      <c r="N55" s="42">
        <v>3186</v>
      </c>
      <c r="O55" s="42">
        <v>25111</v>
      </c>
      <c r="P55" s="74">
        <f t="shared" si="37"/>
        <v>8627.19</v>
      </c>
      <c r="Q55" s="42">
        <f>SUM(Tabell6[[#This Row],[Fast avg]:[sd]])/3</f>
        <v>12308.063333333334</v>
      </c>
      <c r="R55" s="42">
        <f>Tabell6[[#This Row],[Summa fast avg]]/14</f>
        <v>879.14738095238101</v>
      </c>
      <c r="S55" s="38">
        <v>14000</v>
      </c>
    </row>
    <row r="56" spans="1:19" x14ac:dyDescent="0.25">
      <c r="A56" s="39">
        <v>46752</v>
      </c>
      <c r="B56" s="40"/>
      <c r="C56" s="38">
        <f>B55</f>
        <v>0</v>
      </c>
      <c r="D56" s="38">
        <f>IF(B56-C56&lt;0,0,B56-C56)</f>
        <v>0</v>
      </c>
      <c r="E56" s="40"/>
      <c r="F56" s="38">
        <f>E55</f>
        <v>0</v>
      </c>
      <c r="G56" s="38">
        <f>IF(E56-F56&lt;0,0,E56-F56)</f>
        <v>0</v>
      </c>
      <c r="H56" s="38">
        <f>D56+G56</f>
        <v>0</v>
      </c>
      <c r="I56" s="38">
        <f>SUM(Gräsv.6:Gräsv.32!D56)</f>
        <v>0</v>
      </c>
      <c r="J56" s="38">
        <f>I56-H56</f>
        <v>0</v>
      </c>
      <c r="K56" s="41">
        <f>Tabell6[[#This Row],[Differens]]/-14</f>
        <v>0</v>
      </c>
      <c r="L56" s="38">
        <v>19.2</v>
      </c>
      <c r="M56" s="38">
        <f>Tabell6[[#This Row],[Pris/m3 ex.moms]]*1.25</f>
        <v>24</v>
      </c>
      <c r="N56" s="42">
        <v>3186</v>
      </c>
      <c r="O56" s="42">
        <v>25111</v>
      </c>
      <c r="P56" s="74">
        <f t="shared" si="37"/>
        <v>8627.19</v>
      </c>
      <c r="Q56" s="42">
        <f>SUM(Tabell6[[#This Row],[Fast avg]:[sd]])/3</f>
        <v>12308.063333333334</v>
      </c>
      <c r="R56" s="42">
        <f>Tabell6[[#This Row],[Summa fast avg]]/14</f>
        <v>879.14738095238101</v>
      </c>
      <c r="S56" s="38">
        <v>14000</v>
      </c>
    </row>
    <row r="57" spans="1:19" x14ac:dyDescent="0.25">
      <c r="A57" s="39">
        <v>46873</v>
      </c>
      <c r="B57" s="40"/>
      <c r="C57" s="38">
        <f t="shared" si="28"/>
        <v>0</v>
      </c>
      <c r="D57" s="38">
        <f t="shared" ref="D57:D58" si="38">IF(B57-C57&lt;0,0,B57-C57)</f>
        <v>0</v>
      </c>
      <c r="E57" s="40"/>
      <c r="F57" s="38">
        <f t="shared" si="30"/>
        <v>0</v>
      </c>
      <c r="G57" s="38">
        <f t="shared" ref="G57:G58" si="39">IF(E57-F57&lt;0,0,E57-F57)</f>
        <v>0</v>
      </c>
      <c r="H57" s="38">
        <f t="shared" ref="H57:H58" si="40">D57+G57</f>
        <v>0</v>
      </c>
      <c r="I57" s="38">
        <f>SUM(Gräsv.6:Gräsv.32!D57)</f>
        <v>0</v>
      </c>
      <c r="J57" s="38">
        <f t="shared" ref="J57:J58" si="41">I57-H57</f>
        <v>0</v>
      </c>
      <c r="K57" s="41">
        <f>Tabell6[[#This Row],[Differens]]/-14</f>
        <v>0</v>
      </c>
      <c r="L57" s="38">
        <v>19.2</v>
      </c>
      <c r="M57" s="38">
        <f>Tabell6[[#This Row],[Pris/m3 ex.moms]]*1.25</f>
        <v>24</v>
      </c>
      <c r="N57" s="42">
        <v>3186</v>
      </c>
      <c r="O57" s="42">
        <v>25111</v>
      </c>
      <c r="P57" s="74">
        <f t="shared" si="37"/>
        <v>8627.19</v>
      </c>
      <c r="Q57" s="42">
        <f>SUM(Tabell6[[#This Row],[Fast avg]:[sd]])/3</f>
        <v>12308.063333333334</v>
      </c>
      <c r="R57" s="42">
        <f>Tabell6[[#This Row],[Summa fast avg]]/14</f>
        <v>879.14738095238101</v>
      </c>
      <c r="S57" s="38">
        <v>14000</v>
      </c>
    </row>
    <row r="58" spans="1:19" x14ac:dyDescent="0.25">
      <c r="A58" s="39">
        <v>46996</v>
      </c>
      <c r="B58" s="40"/>
      <c r="C58" s="38">
        <f t="shared" si="28"/>
        <v>0</v>
      </c>
      <c r="D58" s="38">
        <f t="shared" si="38"/>
        <v>0</v>
      </c>
      <c r="E58" s="40"/>
      <c r="F58" s="38">
        <f t="shared" si="30"/>
        <v>0</v>
      </c>
      <c r="G58" s="38">
        <f t="shared" si="39"/>
        <v>0</v>
      </c>
      <c r="H58" s="38">
        <f t="shared" si="40"/>
        <v>0</v>
      </c>
      <c r="I58" s="38">
        <f>SUM(Gräsv.6:Gräsv.32!D58)</f>
        <v>0</v>
      </c>
      <c r="J58" s="38">
        <f t="shared" si="41"/>
        <v>0</v>
      </c>
      <c r="K58" s="41">
        <f>Tabell6[[#This Row],[Differens]]/-14</f>
        <v>0</v>
      </c>
      <c r="L58" s="38">
        <v>19.2</v>
      </c>
      <c r="M58" s="38">
        <f>Tabell6[[#This Row],[Pris/m3 ex.moms]]*1.25</f>
        <v>24</v>
      </c>
      <c r="N58" s="42">
        <v>3186</v>
      </c>
      <c r="O58" s="42">
        <v>25111</v>
      </c>
      <c r="P58" s="74">
        <f t="shared" si="37"/>
        <v>8627.19</v>
      </c>
      <c r="Q58" s="42">
        <f>SUM(Tabell6[[#This Row],[Fast avg]:[sd]])/3</f>
        <v>12308.063333333334</v>
      </c>
      <c r="R58" s="42">
        <f>Tabell6[[#This Row],[Summa fast avg]]/14</f>
        <v>879.14738095238101</v>
      </c>
      <c r="S58" s="38">
        <v>14000</v>
      </c>
    </row>
    <row r="59" spans="1:19" x14ac:dyDescent="0.25">
      <c r="A59" s="39">
        <v>47118</v>
      </c>
      <c r="B59" s="40"/>
      <c r="C59" s="38">
        <f>B58</f>
        <v>0</v>
      </c>
      <c r="D59" s="38">
        <f>IF(B59-C59&lt;0,0,B59-C59)</f>
        <v>0</v>
      </c>
      <c r="E59" s="40"/>
      <c r="F59" s="38">
        <f>E58</f>
        <v>0</v>
      </c>
      <c r="G59" s="38">
        <f>IF(E59-F59&lt;0,0,E59-F59)</f>
        <v>0</v>
      </c>
      <c r="H59" s="38">
        <f>D59+G59</f>
        <v>0</v>
      </c>
      <c r="I59" s="38">
        <f>SUM(Gräsv.6:Gräsv.32!D59)</f>
        <v>0</v>
      </c>
      <c r="J59" s="38">
        <f>I59-H59</f>
        <v>0</v>
      </c>
      <c r="K59" s="41">
        <f>Tabell6[[#This Row],[Differens]]/-14</f>
        <v>0</v>
      </c>
      <c r="L59" s="38">
        <v>19.2</v>
      </c>
      <c r="M59" s="38">
        <f>Tabell6[[#This Row],[Pris/m3 ex.moms]]*1.25</f>
        <v>24</v>
      </c>
      <c r="N59" s="42">
        <v>3186</v>
      </c>
      <c r="O59" s="42">
        <v>25111</v>
      </c>
      <c r="P59" s="74">
        <f t="shared" si="37"/>
        <v>8627.19</v>
      </c>
      <c r="Q59" s="42">
        <f>SUM(Tabell6[[#This Row],[Fast avg]:[sd]])/3</f>
        <v>12308.063333333334</v>
      </c>
      <c r="R59" s="42">
        <f>Tabell6[[#This Row],[Summa fast avg]]/14</f>
        <v>879.14738095238101</v>
      </c>
      <c r="S59" s="38">
        <v>14000</v>
      </c>
    </row>
    <row r="60" spans="1:19" x14ac:dyDescent="0.25">
      <c r="A60" s="39">
        <v>47238</v>
      </c>
      <c r="B60" s="40"/>
      <c r="C60" s="38">
        <f t="shared" si="28"/>
        <v>0</v>
      </c>
      <c r="D60" s="38">
        <f t="shared" ref="D60" si="42">IF(B60-C60&lt;0,0,B60-C60)</f>
        <v>0</v>
      </c>
      <c r="E60" s="40"/>
      <c r="F60" s="38">
        <f t="shared" si="30"/>
        <v>0</v>
      </c>
      <c r="G60" s="38">
        <f t="shared" ref="G60" si="43">IF(E60-F60&lt;0,0,E60-F60)</f>
        <v>0</v>
      </c>
      <c r="H60" s="38">
        <f t="shared" ref="H60" si="44">D60+G60</f>
        <v>0</v>
      </c>
      <c r="I60" s="38">
        <f>SUM(Gräsv.6:Gräsv.32!D60)</f>
        <v>0</v>
      </c>
      <c r="J60" s="38">
        <f t="shared" ref="J60" si="45">I60-H60</f>
        <v>0</v>
      </c>
      <c r="K60" s="41">
        <f>Tabell6[[#This Row],[Differens]]/-14</f>
        <v>0</v>
      </c>
      <c r="L60" s="38">
        <v>19.2</v>
      </c>
      <c r="M60" s="38">
        <f>Tabell6[[#This Row],[Pris/m3 ex.moms]]*1.25</f>
        <v>24</v>
      </c>
      <c r="N60" s="42">
        <v>3186</v>
      </c>
      <c r="O60" s="42">
        <v>25111</v>
      </c>
      <c r="P60" s="74">
        <f t="shared" si="37"/>
        <v>8627.19</v>
      </c>
      <c r="Q60" s="42">
        <f>SUM(Tabell6[[#This Row],[Fast avg]:[sd]])/3</f>
        <v>12308.063333333334</v>
      </c>
      <c r="R60" s="42">
        <f>Tabell6[[#This Row],[Summa fast avg]]/14</f>
        <v>879.14738095238101</v>
      </c>
      <c r="S60" s="38">
        <v>14000</v>
      </c>
    </row>
    <row r="63" spans="1:19" ht="15.75" thickBot="1" x14ac:dyDescent="0.3">
      <c r="A63" s="38"/>
      <c r="B63" s="38"/>
      <c r="C63" s="38"/>
      <c r="D63" s="38"/>
      <c r="E63" s="38"/>
      <c r="F63" s="38"/>
      <c r="G63" s="38"/>
      <c r="H63" s="73" t="s">
        <v>65</v>
      </c>
      <c r="I63" s="38">
        <v>3186</v>
      </c>
      <c r="J63" s="38">
        <f>I63/3</f>
        <v>1062</v>
      </c>
      <c r="K63" s="38"/>
      <c r="L63" s="63">
        <v>14.263999999999999</v>
      </c>
      <c r="M63" s="38"/>
      <c r="N63" s="38"/>
      <c r="O63" s="38"/>
      <c r="P63" s="38"/>
      <c r="R63" s="38"/>
      <c r="S63" s="38"/>
    </row>
    <row r="64" spans="1:19" x14ac:dyDescent="0.25">
      <c r="A64" s="38"/>
      <c r="B64" s="38"/>
      <c r="C64" s="38"/>
      <c r="D64" s="38"/>
      <c r="E64" s="38"/>
      <c r="F64" s="38"/>
      <c r="G64" s="38"/>
      <c r="H64" s="73" t="s">
        <v>66</v>
      </c>
      <c r="I64" s="38">
        <v>25111</v>
      </c>
      <c r="J64" s="38">
        <f t="shared" ref="J64:J65" si="46">I64/3</f>
        <v>8370.3333333333339</v>
      </c>
      <c r="K64" s="38"/>
      <c r="L64" s="38"/>
      <c r="M64" s="38"/>
      <c r="N64" s="38"/>
      <c r="O64" s="38"/>
      <c r="P64" s="38"/>
      <c r="Q64" s="38"/>
      <c r="R64" s="38"/>
      <c r="S64" s="38"/>
    </row>
    <row r="65" spans="8:12" x14ac:dyDescent="0.25">
      <c r="H65" s="73" t="s">
        <v>67</v>
      </c>
      <c r="I65" s="38">
        <f>6033*1.43</f>
        <v>8627.19</v>
      </c>
      <c r="J65" s="38">
        <f t="shared" si="46"/>
        <v>2875.73</v>
      </c>
      <c r="K65" s="38"/>
      <c r="L65" s="38"/>
    </row>
  </sheetData>
  <mergeCells count="2">
    <mergeCell ref="B3:D3"/>
    <mergeCell ref="E3:G3"/>
  </mergeCells>
  <pageMargins left="0.70866141732283472" right="0.70866141732283472" top="0.74803149606299213" bottom="0.74803149606299213" header="0.31496062992125984" footer="0.31496062992125984"/>
  <pageSetup paperSize="9" scale="37" orientation="landscape" r:id="rId1"/>
  <ignoredErrors>
    <ignoredError sqref="F5 C5 N11:N14 O11:O14 N15:N23 O15:O21 O22:O41 N24:N41 O42:O45 N42:N45 M46:M47" calculatedColumn="1"/>
  </ignoredErrors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CCD7-BA74-4E3E-835F-C3C7CC4F2664}">
  <sheetPr>
    <tabColor theme="0" tint="-0.249977111117893"/>
    <pageSetUpPr fitToPage="1"/>
  </sheetPr>
  <dimension ref="B1:D33"/>
  <sheetViews>
    <sheetView showGridLines="0" view="pageLayout" zoomScaleNormal="100" workbookViewId="0">
      <selection activeCell="D8" sqref="D8"/>
    </sheetView>
  </sheetViews>
  <sheetFormatPr defaultColWidth="9.140625" defaultRowHeight="30" customHeight="1" x14ac:dyDescent="0.25"/>
  <cols>
    <col min="1" max="1" width="3" style="46" customWidth="1"/>
    <col min="2" max="2" width="55.42578125" style="46" customWidth="1"/>
    <col min="3" max="3" width="21.140625" style="46" bestFit="1" customWidth="1"/>
    <col min="4" max="4" width="22.7109375" style="46" customWidth="1"/>
    <col min="5" max="5" width="3" style="46" customWidth="1"/>
    <col min="6" max="16384" width="9.140625" style="46"/>
  </cols>
  <sheetData>
    <row r="1" spans="2:4" ht="34.5" customHeight="1" x14ac:dyDescent="0.45">
      <c r="B1" s="45" t="s">
        <v>51</v>
      </c>
      <c r="C1" s="70" t="s">
        <v>52</v>
      </c>
      <c r="D1" s="70"/>
    </row>
    <row r="2" spans="2:4" ht="30" customHeight="1" x14ac:dyDescent="0.25">
      <c r="B2" s="47"/>
    </row>
    <row r="3" spans="2:4" ht="30" customHeight="1" x14ac:dyDescent="0.25">
      <c r="B3" s="46" t="str">
        <f>"Gräsvägen " &amp; Gräsv.10!$A$1</f>
        <v>Gräsvägen 10</v>
      </c>
      <c r="C3" s="48" t="s">
        <v>53</v>
      </c>
      <c r="D3" s="49">
        <f ca="1">TODAY()</f>
        <v>45806</v>
      </c>
    </row>
    <row r="4" spans="2:4" ht="15" customHeight="1" x14ac:dyDescent="0.25">
      <c r="B4" s="46" t="s">
        <v>54</v>
      </c>
      <c r="C4" s="48"/>
      <c r="D4" s="50"/>
    </row>
    <row r="5" spans="2:4" ht="30" customHeight="1" x14ac:dyDescent="0.25">
      <c r="B5" s="51"/>
      <c r="C5" s="52"/>
      <c r="D5" s="53"/>
    </row>
    <row r="6" spans="2:4" ht="30" customHeight="1" x14ac:dyDescent="0.25">
      <c r="B6" s="51"/>
    </row>
    <row r="7" spans="2:4" ht="30" customHeight="1" x14ac:dyDescent="0.25">
      <c r="B7" s="54" t="s">
        <v>55</v>
      </c>
      <c r="C7" s="55" t="s">
        <v>56</v>
      </c>
      <c r="D7" s="54" t="s">
        <v>57</v>
      </c>
    </row>
    <row r="8" spans="2:4" ht="27.2" customHeight="1" x14ac:dyDescent="0.25">
      <c r="B8" s="56" t="s">
        <v>58</v>
      </c>
      <c r="C8" t="str">
        <f>Gräsv.10!$D$3 &amp; "m³ X " &amp;Gräsv.10!$F$3</f>
        <v>16m³ X 24</v>
      </c>
      <c r="D8" s="16">
        <f>Gräsv.10!$G$3</f>
        <v>348</v>
      </c>
    </row>
    <row r="9" spans="2:4" ht="27.2" customHeight="1" x14ac:dyDescent="0.25">
      <c r="B9" s="56" t="s">
        <v>59</v>
      </c>
      <c r="C9" s="56"/>
      <c r="D9" s="16">
        <f>Gräsv.10!$H$3</f>
        <v>879.14738095238101</v>
      </c>
    </row>
    <row r="10" spans="2:4" ht="27.2" customHeight="1" x14ac:dyDescent="0.25">
      <c r="B10" s="56" t="s">
        <v>60</v>
      </c>
      <c r="C10" s="56" t="s">
        <v>61</v>
      </c>
      <c r="D10" s="9">
        <f>Gräsv.10!$I$3</f>
        <v>1000</v>
      </c>
    </row>
    <row r="11" spans="2:4" ht="27.2" customHeight="1" x14ac:dyDescent="0.25">
      <c r="B11" s="56"/>
      <c r="C11" s="56"/>
      <c r="D11" s="59"/>
    </row>
    <row r="12" spans="2:4" ht="27.2" customHeight="1" x14ac:dyDescent="0.25">
      <c r="B12" s="56"/>
      <c r="C12" s="56"/>
      <c r="D12" s="59"/>
    </row>
    <row r="13" spans="2:4" ht="27.2" customHeight="1" x14ac:dyDescent="0.25">
      <c r="B13" s="56"/>
      <c r="C13" s="56"/>
      <c r="D13" s="59"/>
    </row>
    <row r="14" spans="2:4" ht="27.2" customHeight="1" x14ac:dyDescent="0.25">
      <c r="B14" s="56"/>
      <c r="C14" s="56"/>
      <c r="D14" s="59"/>
    </row>
    <row r="15" spans="2:4" ht="30" customHeight="1" x14ac:dyDescent="0.25">
      <c r="B15" s="57"/>
      <c r="C15" s="58" t="s">
        <v>62</v>
      </c>
      <c r="D15" s="60">
        <f>SUBTOTAL(109,Faktura34[BELOPP])</f>
        <v>2227.1473809523809</v>
      </c>
    </row>
    <row r="17" spans="2:4" ht="30" customHeight="1" x14ac:dyDescent="0.25">
      <c r="B17" s="71" t="s">
        <v>63</v>
      </c>
      <c r="C17" s="71"/>
      <c r="D17" s="71"/>
    </row>
    <row r="18" spans="2:4" ht="30" customHeight="1" x14ac:dyDescent="0.25">
      <c r="B18" s="72"/>
      <c r="C18" s="72"/>
      <c r="D18" s="72"/>
    </row>
    <row r="19" spans="2:4" ht="17.100000000000001" customHeight="1" x14ac:dyDescent="0.25"/>
    <row r="20" spans="2:4" ht="17.100000000000001" customHeight="1" x14ac:dyDescent="0.25"/>
    <row r="21" spans="2:4" ht="17.100000000000001" customHeight="1" x14ac:dyDescent="0.4">
      <c r="C21" s="44"/>
    </row>
    <row r="22" spans="2:4" ht="17.100000000000001" customHeight="1" x14ac:dyDescent="0.4">
      <c r="C22" s="44"/>
    </row>
    <row r="23" spans="2:4" ht="17.100000000000001" customHeight="1" x14ac:dyDescent="0.4">
      <c r="C23" s="44" t="s">
        <v>64</v>
      </c>
    </row>
    <row r="24" spans="2:4" ht="17.100000000000001" customHeight="1" x14ac:dyDescent="0.25">
      <c r="C24" s="43"/>
    </row>
    <row r="25" spans="2:4" ht="17.100000000000001" customHeight="1" x14ac:dyDescent="0.25">
      <c r="C25" s="43" t="s">
        <v>51</v>
      </c>
    </row>
    <row r="26" spans="2:4" ht="17.100000000000001" customHeight="1" x14ac:dyDescent="0.25">
      <c r="C26"/>
    </row>
    <row r="27" spans="2:4" ht="17.100000000000001" customHeight="1" x14ac:dyDescent="0.25">
      <c r="C27"/>
    </row>
    <row r="28" spans="2:4" ht="17.100000000000001" customHeight="1" x14ac:dyDescent="0.25">
      <c r="C28"/>
    </row>
    <row r="29" spans="2:4" ht="17.100000000000001" customHeight="1" x14ac:dyDescent="0.25">
      <c r="C29"/>
    </row>
    <row r="30" spans="2:4" ht="17.100000000000001" customHeight="1" x14ac:dyDescent="0.25">
      <c r="C30"/>
    </row>
    <row r="31" spans="2:4" ht="21.6" customHeight="1" x14ac:dyDescent="0.25">
      <c r="C31"/>
    </row>
    <row r="32" spans="2:4" ht="17.100000000000001" customHeight="1" x14ac:dyDescent="0.25">
      <c r="C32" s="61">
        <f>Faktura34[[#Totals],[BELOPP]]</f>
        <v>2227.1473809523809</v>
      </c>
    </row>
    <row r="33" ht="17.100000000000001" customHeight="1" x14ac:dyDescent="0.25"/>
  </sheetData>
  <sheetProtection sheet="1" objects="1" scenarios="1"/>
  <mergeCells count="3">
    <mergeCell ref="C1:D1"/>
    <mergeCell ref="B17:D17"/>
    <mergeCell ref="B18:D18"/>
  </mergeCells>
  <dataValidations count="19">
    <dataValidation allowBlank="1" showInputMessage="1" showErrorMessage="1" prompt="Den här cellen innehåller kalkylbladets rubrik. Ange fakturainformation i cell C3 till D5" sqref="C1:D1" xr:uid="{668C9A94-A383-4776-9352-99E4CD3A57C9}"/>
    <dataValidation allowBlank="1" showInputMessage="1" showErrorMessage="1" prompt="Skapa en faktura som beräknar summan i det här kalkylbladet. Ange företags- och kundinformation, och beskrivningar och belopp i tabellen Faktura. Totalsumman beräknas automatiskt" sqref="A1" xr:uid="{3D23F5A0-8B2B-4AC6-A8F9-22071B051432}"/>
    <dataValidation allowBlank="1" showInputMessage="1" showErrorMessage="1" prompt="Lägg till faktureringsföretagets namn i den här cellen och dess slogan i cellen nedan" sqref="B1" xr:uid="{1C6C0290-4F34-4DE2-BB07-D1C0254356D2}"/>
    <dataValidation allowBlank="1" showInputMessage="1" showErrorMessage="1" prompt="Ange fakturadatum i den här cellen" sqref="D3" xr:uid="{CA4B1269-104C-447A-99EA-37BFB34F2EE8}"/>
    <dataValidation allowBlank="1" showInputMessage="1" showErrorMessage="1" prompt="Ange fakturadatum i cellen till höger" sqref="C3" xr:uid="{E6951A08-8193-40AB-B1E0-D523176FD7ED}"/>
    <dataValidation allowBlank="1" showInputMessage="1" showErrorMessage="1" prompt="Ange fakturanummer i den här cellen" sqref="D4" xr:uid="{E8B3875F-5BD6-4BD1-8179-DA3498C1329F}"/>
    <dataValidation allowBlank="1" showInputMessage="1" showErrorMessage="1" prompt="Ange fakturanummer i cellen till höger" sqref="C4" xr:uid="{74192838-BC55-4891-818A-C81938AAAF0E}"/>
    <dataValidation allowBlank="1" showInputMessage="1" showErrorMessage="1" prompt="Ange fakturans produktbeskrivning i cellen till höger" sqref="C5" xr:uid="{BB70CBF7-614C-4A6E-A147-BB3EB2C6BA30}"/>
    <dataValidation allowBlank="1" showInputMessage="1" showErrorMessage="1" prompt="Ange produktbeskrivning för faktura i denna cell" sqref="D5" xr:uid="{92FF5871-C0FC-4D89-A5BB-99CD998547D6}"/>
    <dataValidation allowBlank="1" showInputMessage="1" showErrorMessage="1" prompt="Ange företagets slogan i den här cellen och företagsadress i cellen nedan" sqref="B2" xr:uid="{24560212-3E87-42C5-B49C-2E404393D01E}"/>
    <dataValidation allowBlank="1" showInputMessage="1" showErrorMessage="1" prompt="Ange företagets gatuadress i den här cellen" sqref="B3" xr:uid="{76019DD1-6C8D-4872-A4FD-FAA02E5A4A0F}"/>
    <dataValidation allowBlank="1" showInputMessage="1" showErrorMessage="1" prompt="Ange postnummer och ort i den här cellen" sqref="B4" xr:uid="{4CA2A906-E242-4CE9-98A3-E415D68661FB}"/>
    <dataValidation allowBlank="1" showInputMessage="1" showErrorMessage="1" prompt="Ange telefon- och faxnummer inom parentes i den här cellen" sqref="B5" xr:uid="{AF30C51C-1967-499C-B072-69DD6493B7D6}"/>
    <dataValidation allowBlank="1" showInputMessage="1" showErrorMessage="1" prompt="Ange kundens telefonnummer i den här cellen" sqref="B6" xr:uid="{2710633F-A9C2-436B-ACCC-45EFCD64EA2E}"/>
    <dataValidation allowBlank="1" showInputMessage="1" showErrorMessage="1" prompt="Ange fakturabeskrivning i den här kolumnen under den här rubriken" sqref="B7" xr:uid="{1917D294-DC15-4427-8824-877D227710F4}"/>
    <dataValidation allowBlank="1" showInputMessage="1" showErrorMessage="1" prompt="Ange anpassat fält i den här rubriken och motsvarande data i den här kolumnen under denna rubrik" sqref="C7" xr:uid="{DC862123-6503-4BED-9F6C-D38EB9BB547D}"/>
    <dataValidation allowBlank="1" showInputMessage="1" showErrorMessage="1" prompt="Ange belopp i den här kolumnen under rubriken för varje beskrivning i kolumn B. Den sista cellen i tabellen innehåller totalsumman som ska betalas" sqref="D7" xr:uid="{F5EDF6C4-C29A-453B-A0A6-DAABA1C8AC45}"/>
    <dataValidation allowBlank="1" showInputMessage="1" showErrorMessage="1" prompt="Ange faktureringsföretagets kontaktnamn, telefonnummer och e-post i den här cellen" sqref="B17:D17" xr:uid="{07ABA81D-52D8-431E-9A5C-A3148BF82443}"/>
    <dataValidation allowBlank="1" showInputMessage="1" showErrorMessage="1" prompt="Företagets namn läggs automatiskt till i den här cellen" sqref="B16" xr:uid="{E0133D85-62D7-434A-A42D-58F763CAF42F}"/>
  </dataValidations>
  <printOptions horizontalCentered="1"/>
  <pageMargins left="0" right="0" top="0.55118110236220474" bottom="0.31496062992125984" header="0" footer="0"/>
  <pageSetup paperSize="9" fitToHeight="0" orientation="portrait" r:id="rId1"/>
  <ignoredErrors>
    <ignoredError sqref="C8:D10" calculatedColumn="1"/>
  </ignoredErrors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AC2D3-3A61-43F7-AF0E-3255CB8A1027}">
  <sheetPr>
    <tabColor theme="0" tint="-0.249977111117893"/>
    <pageSetUpPr fitToPage="1"/>
  </sheetPr>
  <dimension ref="B1:D33"/>
  <sheetViews>
    <sheetView showGridLines="0" view="pageLayout" zoomScaleNormal="100" workbookViewId="0">
      <selection activeCell="D8" sqref="D8"/>
    </sheetView>
  </sheetViews>
  <sheetFormatPr defaultColWidth="9.140625" defaultRowHeight="30" customHeight="1" x14ac:dyDescent="0.25"/>
  <cols>
    <col min="1" max="1" width="3" style="46" customWidth="1"/>
    <col min="2" max="2" width="55.42578125" style="46" customWidth="1"/>
    <col min="3" max="3" width="21.140625" style="46" bestFit="1" customWidth="1"/>
    <col min="4" max="4" width="22.7109375" style="46" customWidth="1"/>
    <col min="5" max="5" width="3" style="46" customWidth="1"/>
    <col min="6" max="16384" width="9.140625" style="46"/>
  </cols>
  <sheetData>
    <row r="1" spans="2:4" ht="34.5" customHeight="1" x14ac:dyDescent="0.45">
      <c r="B1" s="45" t="s">
        <v>51</v>
      </c>
      <c r="C1" s="70" t="s">
        <v>52</v>
      </c>
      <c r="D1" s="70"/>
    </row>
    <row r="2" spans="2:4" ht="30" customHeight="1" x14ac:dyDescent="0.25">
      <c r="B2" s="47"/>
    </row>
    <row r="3" spans="2:4" ht="30" customHeight="1" x14ac:dyDescent="0.25">
      <c r="B3" s="46" t="str">
        <f>"Gräsvägen " &amp; Gräsv.12!$A$1</f>
        <v>Gräsvägen 12</v>
      </c>
      <c r="C3" s="48" t="s">
        <v>53</v>
      </c>
      <c r="D3" s="49">
        <f ca="1">TODAY()</f>
        <v>45806</v>
      </c>
    </row>
    <row r="4" spans="2:4" ht="15" customHeight="1" x14ac:dyDescent="0.25">
      <c r="B4" s="46" t="s">
        <v>54</v>
      </c>
      <c r="C4" s="48"/>
      <c r="D4" s="50"/>
    </row>
    <row r="5" spans="2:4" ht="30" customHeight="1" x14ac:dyDescent="0.25">
      <c r="B5" s="51"/>
      <c r="C5" s="52"/>
      <c r="D5" s="53"/>
    </row>
    <row r="6" spans="2:4" ht="30" customHeight="1" x14ac:dyDescent="0.25">
      <c r="B6" s="51"/>
    </row>
    <row r="7" spans="2:4" ht="30" customHeight="1" x14ac:dyDescent="0.25">
      <c r="B7" s="54" t="s">
        <v>55</v>
      </c>
      <c r="C7" s="55" t="s">
        <v>56</v>
      </c>
      <c r="D7" s="54" t="s">
        <v>57</v>
      </c>
    </row>
    <row r="8" spans="2:4" ht="27.2" customHeight="1" x14ac:dyDescent="0.25">
      <c r="B8" s="56" t="s">
        <v>58</v>
      </c>
      <c r="C8" t="str">
        <f>Gräsv.12!$D$3 &amp; "m³ X " &amp;Gräsv.12!$F$3</f>
        <v>29m³ X 24</v>
      </c>
      <c r="D8" s="16">
        <f>Gräsv.12!$G$3</f>
        <v>660</v>
      </c>
    </row>
    <row r="9" spans="2:4" ht="27.2" customHeight="1" x14ac:dyDescent="0.25">
      <c r="B9" s="56" t="s">
        <v>59</v>
      </c>
      <c r="C9" s="56"/>
      <c r="D9" s="16">
        <f>Gräsv.12!$H$3</f>
        <v>879.14738095238101</v>
      </c>
    </row>
    <row r="10" spans="2:4" ht="27.2" customHeight="1" x14ac:dyDescent="0.25">
      <c r="B10" s="56" t="s">
        <v>60</v>
      </c>
      <c r="C10" s="56" t="s">
        <v>61</v>
      </c>
      <c r="D10" s="9">
        <f>Gräsv.12!$I$3</f>
        <v>1000</v>
      </c>
    </row>
    <row r="11" spans="2:4" ht="27.2" customHeight="1" x14ac:dyDescent="0.25">
      <c r="B11" s="56"/>
      <c r="C11" s="56"/>
      <c r="D11" s="59"/>
    </row>
    <row r="12" spans="2:4" ht="27.2" customHeight="1" x14ac:dyDescent="0.25">
      <c r="B12" s="56"/>
      <c r="C12" s="56"/>
      <c r="D12" s="59"/>
    </row>
    <row r="13" spans="2:4" ht="27.2" customHeight="1" x14ac:dyDescent="0.25">
      <c r="B13" s="56"/>
      <c r="C13" s="56"/>
      <c r="D13" s="59"/>
    </row>
    <row r="14" spans="2:4" ht="27.2" customHeight="1" x14ac:dyDescent="0.25">
      <c r="B14" s="56"/>
      <c r="C14" s="56"/>
      <c r="D14" s="59"/>
    </row>
    <row r="15" spans="2:4" ht="30" customHeight="1" x14ac:dyDescent="0.25">
      <c r="B15" s="57"/>
      <c r="C15" s="58" t="s">
        <v>62</v>
      </c>
      <c r="D15" s="60">
        <f>SUBTOTAL(109,Faktura346[BELOPP])</f>
        <v>2539.1473809523809</v>
      </c>
    </row>
    <row r="17" spans="2:4" ht="30" customHeight="1" x14ac:dyDescent="0.25">
      <c r="B17" s="71" t="s">
        <v>63</v>
      </c>
      <c r="C17" s="71"/>
      <c r="D17" s="71"/>
    </row>
    <row r="18" spans="2:4" ht="30" customHeight="1" x14ac:dyDescent="0.25">
      <c r="B18" s="72"/>
      <c r="C18" s="72"/>
      <c r="D18" s="72"/>
    </row>
    <row r="19" spans="2:4" ht="17.100000000000001" customHeight="1" x14ac:dyDescent="0.25"/>
    <row r="20" spans="2:4" ht="17.100000000000001" customHeight="1" x14ac:dyDescent="0.25"/>
    <row r="21" spans="2:4" ht="17.100000000000001" customHeight="1" x14ac:dyDescent="0.4">
      <c r="C21" s="44"/>
    </row>
    <row r="22" spans="2:4" ht="17.100000000000001" customHeight="1" x14ac:dyDescent="0.4">
      <c r="C22" s="44"/>
    </row>
    <row r="23" spans="2:4" ht="17.100000000000001" customHeight="1" x14ac:dyDescent="0.4">
      <c r="C23" s="44" t="s">
        <v>64</v>
      </c>
    </row>
    <row r="24" spans="2:4" ht="17.100000000000001" customHeight="1" x14ac:dyDescent="0.25">
      <c r="C24" s="43"/>
    </row>
    <row r="25" spans="2:4" ht="17.100000000000001" customHeight="1" x14ac:dyDescent="0.25">
      <c r="C25" s="43" t="s">
        <v>51</v>
      </c>
    </row>
    <row r="26" spans="2:4" ht="17.100000000000001" customHeight="1" x14ac:dyDescent="0.25">
      <c r="C26"/>
    </row>
    <row r="27" spans="2:4" ht="17.100000000000001" customHeight="1" x14ac:dyDescent="0.25">
      <c r="C27"/>
    </row>
    <row r="28" spans="2:4" ht="17.100000000000001" customHeight="1" x14ac:dyDescent="0.25">
      <c r="C28"/>
    </row>
    <row r="29" spans="2:4" ht="17.100000000000001" customHeight="1" x14ac:dyDescent="0.25">
      <c r="C29"/>
    </row>
    <row r="30" spans="2:4" ht="17.100000000000001" customHeight="1" x14ac:dyDescent="0.25">
      <c r="C30"/>
    </row>
    <row r="31" spans="2:4" ht="21.6" customHeight="1" x14ac:dyDescent="0.25">
      <c r="C31"/>
    </row>
    <row r="32" spans="2:4" ht="17.100000000000001" customHeight="1" x14ac:dyDescent="0.25">
      <c r="C32" s="61">
        <f>Faktura346[[#Totals],[BELOPP]]</f>
        <v>2539.1473809523809</v>
      </c>
    </row>
    <row r="33" ht="17.100000000000001" customHeight="1" x14ac:dyDescent="0.25"/>
  </sheetData>
  <sheetProtection sheet="1" objects="1" scenarios="1"/>
  <mergeCells count="3">
    <mergeCell ref="C1:D1"/>
    <mergeCell ref="B17:D17"/>
    <mergeCell ref="B18:D18"/>
  </mergeCells>
  <dataValidations count="19">
    <dataValidation allowBlank="1" showInputMessage="1" showErrorMessage="1" prompt="Företagets namn läggs automatiskt till i den här cellen" sqref="B16" xr:uid="{0C01ADEE-060F-445B-91E0-B5AC93E0B918}"/>
    <dataValidation allowBlank="1" showInputMessage="1" showErrorMessage="1" prompt="Ange faktureringsföretagets kontaktnamn, telefonnummer och e-post i den här cellen" sqref="B17:D17" xr:uid="{2574C076-7F2E-4BBF-BBDD-CC1DC0E7086D}"/>
    <dataValidation allowBlank="1" showInputMessage="1" showErrorMessage="1" prompt="Ange belopp i den här kolumnen under rubriken för varje beskrivning i kolumn B. Den sista cellen i tabellen innehåller totalsumman som ska betalas" sqref="D7" xr:uid="{A068DC24-7AC3-4B74-991A-A1BC78075B98}"/>
    <dataValidation allowBlank="1" showInputMessage="1" showErrorMessage="1" prompt="Ange anpassat fält i den här rubriken och motsvarande data i den här kolumnen under denna rubrik" sqref="C7" xr:uid="{82A7473B-C2FD-42A6-AC9D-8FD74F01CA74}"/>
    <dataValidation allowBlank="1" showInputMessage="1" showErrorMessage="1" prompt="Ange fakturabeskrivning i den här kolumnen under den här rubriken" sqref="B7" xr:uid="{64A5C1F1-4011-457C-9D9C-BB4784AFA752}"/>
    <dataValidation allowBlank="1" showInputMessage="1" showErrorMessage="1" prompt="Ange kundens telefonnummer i den här cellen" sqref="B6" xr:uid="{100C08D6-86C4-4857-9FFD-28EA80833A40}"/>
    <dataValidation allowBlank="1" showInputMessage="1" showErrorMessage="1" prompt="Ange telefon- och faxnummer inom parentes i den här cellen" sqref="B5" xr:uid="{D53580B4-C8F6-48B6-BE3D-1B715F0260AA}"/>
    <dataValidation allowBlank="1" showInputMessage="1" showErrorMessage="1" prompt="Ange postnummer och ort i den här cellen" sqref="B4" xr:uid="{73928D2D-0E51-4E6F-BCBC-267C0867549B}"/>
    <dataValidation allowBlank="1" showInputMessage="1" showErrorMessage="1" prompt="Ange företagets gatuadress i den här cellen" sqref="B3" xr:uid="{5D0ACA33-9AE3-4EE2-AC1D-3F63B404FB1B}"/>
    <dataValidation allowBlank="1" showInputMessage="1" showErrorMessage="1" prompt="Ange företagets slogan i den här cellen och företagsadress i cellen nedan" sqref="B2" xr:uid="{3703DDFB-C8E6-444A-A195-798F8FED9632}"/>
    <dataValidation allowBlank="1" showInputMessage="1" showErrorMessage="1" prompt="Ange produktbeskrivning för faktura i denna cell" sqref="D5" xr:uid="{1E39DC01-1035-4468-8227-994C92865998}"/>
    <dataValidation allowBlank="1" showInputMessage="1" showErrorMessage="1" prompt="Ange fakturans produktbeskrivning i cellen till höger" sqref="C5" xr:uid="{A49EAC53-346F-4D8B-9BD5-6F74950D2D7D}"/>
    <dataValidation allowBlank="1" showInputMessage="1" showErrorMessage="1" prompt="Ange fakturanummer i cellen till höger" sqref="C4" xr:uid="{C5182B8E-278D-4157-AB80-5925C29CEE1F}"/>
    <dataValidation allowBlank="1" showInputMessage="1" showErrorMessage="1" prompt="Ange fakturanummer i den här cellen" sqref="D4" xr:uid="{853EA269-6253-4EAD-9C1C-9AEE43E88546}"/>
    <dataValidation allowBlank="1" showInputMessage="1" showErrorMessage="1" prompt="Ange fakturadatum i cellen till höger" sqref="C3" xr:uid="{A09925F8-4F8B-45E2-BADF-9CBA26DA316A}"/>
    <dataValidation allowBlank="1" showInputMessage="1" showErrorMessage="1" prompt="Ange fakturadatum i den här cellen" sqref="D3" xr:uid="{3CFC7BB5-E8B0-402C-8BAE-54B544E931FC}"/>
    <dataValidation allowBlank="1" showInputMessage="1" showErrorMessage="1" prompt="Lägg till faktureringsföretagets namn i den här cellen och dess slogan i cellen nedan" sqref="B1" xr:uid="{0FEBC67E-87E0-4723-A5A6-BB4487042E3C}"/>
    <dataValidation allowBlank="1" showInputMessage="1" showErrorMessage="1" prompt="Skapa en faktura som beräknar summan i det här kalkylbladet. Ange företags- och kundinformation, och beskrivningar och belopp i tabellen Faktura. Totalsumman beräknas automatiskt" sqref="A1" xr:uid="{88394C7F-15E3-4AB2-A1E4-C8841646D3C5}"/>
    <dataValidation allowBlank="1" showInputMessage="1" showErrorMessage="1" prompt="Den här cellen innehåller kalkylbladets rubrik. Ange fakturainformation i cell C3 till D5" sqref="C1:D1" xr:uid="{C0841FF5-A225-45EC-A606-E859975686EA}"/>
  </dataValidations>
  <printOptions horizontalCentered="1"/>
  <pageMargins left="0" right="0" top="0.55118110236220474" bottom="0.31496062992125984" header="0" footer="0"/>
  <pageSetup paperSize="9" fitToHeight="0" orientation="portrait" r:id="rId1"/>
  <ignoredErrors>
    <ignoredError sqref="C8:D10" calculatedColumn="1"/>
  </ignoredErrors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24E0C-150D-47E4-B4BE-6C960162FE72}">
  <sheetPr>
    <tabColor theme="0" tint="-0.249977111117893"/>
    <pageSetUpPr fitToPage="1"/>
  </sheetPr>
  <dimension ref="B1:D33"/>
  <sheetViews>
    <sheetView showGridLines="0" view="pageLayout" zoomScaleNormal="100" workbookViewId="0">
      <selection activeCell="D8" sqref="D8"/>
    </sheetView>
  </sheetViews>
  <sheetFormatPr defaultColWidth="9.140625" defaultRowHeight="30" customHeight="1" x14ac:dyDescent="0.25"/>
  <cols>
    <col min="1" max="1" width="3" style="46" customWidth="1"/>
    <col min="2" max="2" width="55.42578125" style="46" customWidth="1"/>
    <col min="3" max="3" width="21.140625" style="46" bestFit="1" customWidth="1"/>
    <col min="4" max="4" width="22.7109375" style="46" customWidth="1"/>
    <col min="5" max="5" width="3" style="46" customWidth="1"/>
    <col min="6" max="16384" width="9.140625" style="46"/>
  </cols>
  <sheetData>
    <row r="1" spans="2:4" ht="34.5" customHeight="1" x14ac:dyDescent="0.45">
      <c r="B1" s="45" t="s">
        <v>51</v>
      </c>
      <c r="C1" s="70" t="s">
        <v>52</v>
      </c>
      <c r="D1" s="70"/>
    </row>
    <row r="2" spans="2:4" ht="30" customHeight="1" x14ac:dyDescent="0.25">
      <c r="B2" s="47"/>
    </row>
    <row r="3" spans="2:4" ht="30" customHeight="1" x14ac:dyDescent="0.25">
      <c r="B3" s="46" t="str">
        <f>"Gräsvägen " &amp; Gräsv.14!$A$1</f>
        <v>Gräsvägen 14</v>
      </c>
      <c r="C3" s="48" t="s">
        <v>53</v>
      </c>
      <c r="D3" s="49">
        <f ca="1">TODAY()</f>
        <v>45806</v>
      </c>
    </row>
    <row r="4" spans="2:4" ht="15" customHeight="1" x14ac:dyDescent="0.25">
      <c r="B4" s="46" t="s">
        <v>54</v>
      </c>
      <c r="C4" s="48"/>
      <c r="D4" s="50"/>
    </row>
    <row r="5" spans="2:4" ht="30" customHeight="1" x14ac:dyDescent="0.25">
      <c r="B5" s="62"/>
      <c r="C5" s="52"/>
      <c r="D5" s="53"/>
    </row>
    <row r="6" spans="2:4" ht="30" customHeight="1" x14ac:dyDescent="0.25">
      <c r="B6" s="51"/>
    </row>
    <row r="7" spans="2:4" ht="30" customHeight="1" x14ac:dyDescent="0.25">
      <c r="B7" s="54" t="s">
        <v>55</v>
      </c>
      <c r="C7" s="55" t="s">
        <v>56</v>
      </c>
      <c r="D7" s="54" t="s">
        <v>57</v>
      </c>
    </row>
    <row r="8" spans="2:4" ht="27.2" customHeight="1" x14ac:dyDescent="0.25">
      <c r="B8" s="56" t="s">
        <v>58</v>
      </c>
      <c r="C8" t="str">
        <f>Gräsv.14!$D$3 &amp; "m³ X " &amp;Gräsv.14!$F$3</f>
        <v>21m³ X 24</v>
      </c>
      <c r="D8" s="16">
        <f>Gräsv.14!$G$3</f>
        <v>468</v>
      </c>
    </row>
    <row r="9" spans="2:4" ht="27.2" customHeight="1" x14ac:dyDescent="0.25">
      <c r="B9" s="56" t="s">
        <v>59</v>
      </c>
      <c r="C9" s="56"/>
      <c r="D9" s="16">
        <f>Gräsv.14!$H$3</f>
        <v>879.14738095238101</v>
      </c>
    </row>
    <row r="10" spans="2:4" ht="27.2" customHeight="1" x14ac:dyDescent="0.25">
      <c r="B10" s="56" t="s">
        <v>60</v>
      </c>
      <c r="C10" s="56" t="s">
        <v>61</v>
      </c>
      <c r="D10" s="9">
        <f>Gräsv.14!$I$3</f>
        <v>1000</v>
      </c>
    </row>
    <row r="11" spans="2:4" ht="27.2" customHeight="1" x14ac:dyDescent="0.25">
      <c r="B11" s="56"/>
      <c r="C11" s="56"/>
      <c r="D11" s="59"/>
    </row>
    <row r="12" spans="2:4" ht="27.2" customHeight="1" x14ac:dyDescent="0.25">
      <c r="B12" s="56"/>
      <c r="C12" s="56"/>
      <c r="D12" s="59"/>
    </row>
    <row r="13" spans="2:4" ht="27.2" customHeight="1" x14ac:dyDescent="0.25">
      <c r="B13" s="56"/>
      <c r="C13" s="56"/>
      <c r="D13" s="59"/>
    </row>
    <row r="14" spans="2:4" ht="27.2" customHeight="1" x14ac:dyDescent="0.25">
      <c r="B14" s="56"/>
      <c r="C14" s="56"/>
      <c r="D14" s="59"/>
    </row>
    <row r="15" spans="2:4" ht="30" customHeight="1" x14ac:dyDescent="0.25">
      <c r="B15" s="57"/>
      <c r="C15" s="58" t="s">
        <v>62</v>
      </c>
      <c r="D15" s="60">
        <f>SUBTOTAL(109,Faktura3468[BELOPP])</f>
        <v>2347.1473809523809</v>
      </c>
    </row>
    <row r="17" spans="2:4" ht="30" customHeight="1" x14ac:dyDescent="0.25">
      <c r="B17" s="71" t="s">
        <v>63</v>
      </c>
      <c r="C17" s="71"/>
      <c r="D17" s="71"/>
    </row>
    <row r="18" spans="2:4" ht="30" customHeight="1" x14ac:dyDescent="0.25">
      <c r="B18" s="72"/>
      <c r="C18" s="72"/>
      <c r="D18" s="72"/>
    </row>
    <row r="19" spans="2:4" ht="17.100000000000001" customHeight="1" x14ac:dyDescent="0.25"/>
    <row r="20" spans="2:4" ht="17.100000000000001" customHeight="1" x14ac:dyDescent="0.25"/>
    <row r="21" spans="2:4" ht="17.100000000000001" customHeight="1" x14ac:dyDescent="0.4">
      <c r="C21" s="44"/>
    </row>
    <row r="22" spans="2:4" ht="17.100000000000001" customHeight="1" x14ac:dyDescent="0.4">
      <c r="C22" s="44"/>
    </row>
    <row r="23" spans="2:4" ht="17.100000000000001" customHeight="1" x14ac:dyDescent="0.4">
      <c r="C23" s="44" t="s">
        <v>64</v>
      </c>
    </row>
    <row r="24" spans="2:4" ht="17.100000000000001" customHeight="1" x14ac:dyDescent="0.25">
      <c r="C24" s="43"/>
    </row>
    <row r="25" spans="2:4" ht="17.100000000000001" customHeight="1" x14ac:dyDescent="0.25">
      <c r="C25" s="43" t="s">
        <v>51</v>
      </c>
    </row>
    <row r="26" spans="2:4" ht="17.100000000000001" customHeight="1" x14ac:dyDescent="0.25">
      <c r="C26"/>
    </row>
    <row r="27" spans="2:4" ht="17.100000000000001" customHeight="1" x14ac:dyDescent="0.25">
      <c r="C27"/>
    </row>
    <row r="28" spans="2:4" ht="17.100000000000001" customHeight="1" x14ac:dyDescent="0.25">
      <c r="C28"/>
    </row>
    <row r="29" spans="2:4" ht="17.100000000000001" customHeight="1" x14ac:dyDescent="0.25">
      <c r="C29"/>
    </row>
    <row r="30" spans="2:4" ht="17.100000000000001" customHeight="1" x14ac:dyDescent="0.25">
      <c r="C30"/>
    </row>
    <row r="31" spans="2:4" ht="21.6" customHeight="1" x14ac:dyDescent="0.25">
      <c r="C31"/>
    </row>
    <row r="32" spans="2:4" ht="17.100000000000001" customHeight="1" x14ac:dyDescent="0.25">
      <c r="C32" s="61">
        <f>Faktura3468[[#Totals],[BELOPP]]</f>
        <v>2347.1473809523809</v>
      </c>
    </row>
    <row r="33" ht="17.100000000000001" customHeight="1" x14ac:dyDescent="0.25"/>
  </sheetData>
  <sheetProtection sheet="1" objects="1" scenarios="1"/>
  <mergeCells count="3">
    <mergeCell ref="C1:D1"/>
    <mergeCell ref="B17:D17"/>
    <mergeCell ref="B18:D18"/>
  </mergeCells>
  <dataValidations count="19">
    <dataValidation allowBlank="1" showInputMessage="1" showErrorMessage="1" prompt="Den här cellen innehåller kalkylbladets rubrik. Ange fakturainformation i cell C3 till D5" sqref="C1:D1" xr:uid="{E8FF2E64-B7DA-4FCF-96F8-70673E4ACC9D}"/>
    <dataValidation allowBlank="1" showInputMessage="1" showErrorMessage="1" prompt="Skapa en faktura som beräknar summan i det här kalkylbladet. Ange företags- och kundinformation, och beskrivningar och belopp i tabellen Faktura. Totalsumman beräknas automatiskt" sqref="A1" xr:uid="{4459A505-5E54-4F71-8245-241896A3B25A}"/>
    <dataValidation allowBlank="1" showInputMessage="1" showErrorMessage="1" prompt="Lägg till faktureringsföretagets namn i den här cellen och dess slogan i cellen nedan" sqref="B1" xr:uid="{67D129AD-FE29-4D10-8E91-62D09529B0F7}"/>
    <dataValidation allowBlank="1" showInputMessage="1" showErrorMessage="1" prompt="Ange fakturadatum i den här cellen" sqref="D3" xr:uid="{287A1734-D654-41BB-87C5-E6CC851A9D16}"/>
    <dataValidation allowBlank="1" showInputMessage="1" showErrorMessage="1" prompt="Ange fakturadatum i cellen till höger" sqref="C3" xr:uid="{B37B5006-6A50-4727-9005-28A241E57586}"/>
    <dataValidation allowBlank="1" showInputMessage="1" showErrorMessage="1" prompt="Ange fakturanummer i den här cellen" sqref="D4" xr:uid="{F101ECF0-8241-444F-9989-338402C149EC}"/>
    <dataValidation allowBlank="1" showInputMessage="1" showErrorMessage="1" prompt="Ange fakturanummer i cellen till höger" sqref="C4" xr:uid="{16AFCAEE-37C6-4064-8B6D-8A0AE05DB6C2}"/>
    <dataValidation allowBlank="1" showInputMessage="1" showErrorMessage="1" prompt="Ange fakturans produktbeskrivning i cellen till höger" sqref="C5" xr:uid="{5C5A08CB-BA68-4218-B562-45A24D7F9D85}"/>
    <dataValidation allowBlank="1" showInputMessage="1" showErrorMessage="1" prompt="Ange produktbeskrivning för faktura i denna cell" sqref="D5" xr:uid="{6C6C0EA5-0B2D-41FC-B829-D07F97B943E4}"/>
    <dataValidation allowBlank="1" showInputMessage="1" showErrorMessage="1" prompt="Ange företagets slogan i den här cellen och företagsadress i cellen nedan" sqref="B2" xr:uid="{66B97B90-C8D1-4126-8E3F-1109CCE97EA3}"/>
    <dataValidation allowBlank="1" showInputMessage="1" showErrorMessage="1" prompt="Ange företagets gatuadress i den här cellen" sqref="B3" xr:uid="{9241C005-67EB-4B37-B6EE-119816A81E9D}"/>
    <dataValidation allowBlank="1" showInputMessage="1" showErrorMessage="1" prompt="Ange postnummer och ort i den här cellen" sqref="B4" xr:uid="{04BA86FE-B473-4565-B62B-CC4FF3878EC9}"/>
    <dataValidation allowBlank="1" showInputMessage="1" showErrorMessage="1" prompt="Ange telefon- och faxnummer inom parentes i den här cellen" sqref="B5" xr:uid="{4F72B78F-64B2-49A6-81A7-79BFB11BAE9B}"/>
    <dataValidation allowBlank="1" showInputMessage="1" showErrorMessage="1" prompt="Ange kundens telefonnummer i den här cellen" sqref="B6" xr:uid="{CDEADBCB-FA18-48E9-9E9C-AF5EAE1547BA}"/>
    <dataValidation allowBlank="1" showInputMessage="1" showErrorMessage="1" prompt="Ange fakturabeskrivning i den här kolumnen under den här rubriken" sqref="B7" xr:uid="{9399E36F-751B-4511-AB61-23129E0D8607}"/>
    <dataValidation allowBlank="1" showInputMessage="1" showErrorMessage="1" prompt="Ange anpassat fält i den här rubriken och motsvarande data i den här kolumnen under denna rubrik" sqref="C7" xr:uid="{25AF6C0E-C855-4D26-87A6-8217389F8A92}"/>
    <dataValidation allowBlank="1" showInputMessage="1" showErrorMessage="1" prompt="Ange belopp i den här kolumnen under rubriken för varje beskrivning i kolumn B. Den sista cellen i tabellen innehåller totalsumman som ska betalas" sqref="D7" xr:uid="{3516EACC-AC9F-4224-B00B-F4ADFAECC01D}"/>
    <dataValidation allowBlank="1" showInputMessage="1" showErrorMessage="1" prompt="Ange faktureringsföretagets kontaktnamn, telefonnummer och e-post i den här cellen" sqref="B17:D17" xr:uid="{E5E9F408-C1DF-43BF-A235-57A7EF64AD1F}"/>
    <dataValidation allowBlank="1" showInputMessage="1" showErrorMessage="1" prompt="Företagets namn läggs automatiskt till i den här cellen" sqref="B16" xr:uid="{21EC42D1-4C6D-4B65-8236-0239E3B3F499}"/>
  </dataValidations>
  <printOptions horizontalCentered="1"/>
  <pageMargins left="0" right="0" top="0.55118110236220474" bottom="0.31496062992125984" header="0" footer="0"/>
  <pageSetup paperSize="9" fitToHeight="0" orientation="portrait" r:id="rId1"/>
  <ignoredErrors>
    <ignoredError sqref="C8:D10" calculatedColumn="1"/>
  </ignoredErrors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7D7D-DC74-430B-AEA0-5615AECFD406}">
  <sheetPr>
    <tabColor theme="0" tint="-0.249977111117893"/>
    <pageSetUpPr fitToPage="1"/>
  </sheetPr>
  <dimension ref="B1:D33"/>
  <sheetViews>
    <sheetView showGridLines="0" view="pageLayout" zoomScaleNormal="100" workbookViewId="0">
      <selection activeCell="D8" sqref="D8"/>
    </sheetView>
  </sheetViews>
  <sheetFormatPr defaultColWidth="9.140625" defaultRowHeight="30" customHeight="1" x14ac:dyDescent="0.25"/>
  <cols>
    <col min="1" max="1" width="3" style="46" customWidth="1"/>
    <col min="2" max="2" width="55.42578125" style="46" customWidth="1"/>
    <col min="3" max="3" width="21.140625" style="46" bestFit="1" customWidth="1"/>
    <col min="4" max="4" width="22.7109375" style="46" customWidth="1"/>
    <col min="5" max="5" width="3" style="46" customWidth="1"/>
    <col min="6" max="16384" width="9.140625" style="46"/>
  </cols>
  <sheetData>
    <row r="1" spans="2:4" ht="34.5" customHeight="1" x14ac:dyDescent="0.45">
      <c r="B1" s="45" t="s">
        <v>51</v>
      </c>
      <c r="C1" s="70" t="s">
        <v>52</v>
      </c>
      <c r="D1" s="70"/>
    </row>
    <row r="2" spans="2:4" ht="30" customHeight="1" x14ac:dyDescent="0.25">
      <c r="B2" s="47"/>
    </row>
    <row r="3" spans="2:4" ht="30" customHeight="1" x14ac:dyDescent="0.25">
      <c r="B3" s="46" t="str">
        <f>"Gräsvägen " &amp; Gräsv.16!$A$1</f>
        <v>Gräsvägen 16</v>
      </c>
      <c r="C3" s="48" t="s">
        <v>53</v>
      </c>
      <c r="D3" s="49">
        <f ca="1">TODAY()</f>
        <v>45806</v>
      </c>
    </row>
    <row r="4" spans="2:4" ht="15" customHeight="1" x14ac:dyDescent="0.25">
      <c r="B4" s="46" t="s">
        <v>54</v>
      </c>
      <c r="C4" s="48"/>
      <c r="D4" s="50"/>
    </row>
    <row r="5" spans="2:4" ht="30" customHeight="1" x14ac:dyDescent="0.25">
      <c r="B5" s="51"/>
      <c r="C5" s="52"/>
      <c r="D5" s="53"/>
    </row>
    <row r="6" spans="2:4" ht="30" customHeight="1" x14ac:dyDescent="0.25">
      <c r="B6" s="51"/>
    </row>
    <row r="7" spans="2:4" ht="30" customHeight="1" x14ac:dyDescent="0.25">
      <c r="B7" s="54" t="s">
        <v>55</v>
      </c>
      <c r="C7" s="55" t="s">
        <v>56</v>
      </c>
      <c r="D7" s="54" t="s">
        <v>57</v>
      </c>
    </row>
    <row r="8" spans="2:4" ht="27.2" customHeight="1" x14ac:dyDescent="0.25">
      <c r="B8" s="56" t="s">
        <v>58</v>
      </c>
      <c r="C8" t="str">
        <f>Gräsv.16!$D$3 &amp; "m³ X " &amp;Gräsv.16!$F$3</f>
        <v>37m³ X 24</v>
      </c>
      <c r="D8" s="16">
        <f>Gräsv.16!$G$3</f>
        <v>852</v>
      </c>
    </row>
    <row r="9" spans="2:4" ht="27.2" customHeight="1" x14ac:dyDescent="0.25">
      <c r="B9" s="56" t="s">
        <v>59</v>
      </c>
      <c r="C9" s="56"/>
      <c r="D9" s="16">
        <f>Gräsv.16!$H$3</f>
        <v>879.14738095238101</v>
      </c>
    </row>
    <row r="10" spans="2:4" ht="27.2" customHeight="1" x14ac:dyDescent="0.25">
      <c r="B10" s="56" t="s">
        <v>60</v>
      </c>
      <c r="C10" s="56" t="s">
        <v>61</v>
      </c>
      <c r="D10" s="9">
        <f>Gräsv.16!$I$3</f>
        <v>1000</v>
      </c>
    </row>
    <row r="11" spans="2:4" ht="27.2" customHeight="1" x14ac:dyDescent="0.25">
      <c r="B11" s="56"/>
      <c r="C11" s="56"/>
      <c r="D11" s="59"/>
    </row>
    <row r="12" spans="2:4" ht="27.2" customHeight="1" x14ac:dyDescent="0.25">
      <c r="B12" s="56"/>
      <c r="C12" s="56"/>
      <c r="D12" s="59"/>
    </row>
    <row r="13" spans="2:4" ht="27.2" customHeight="1" x14ac:dyDescent="0.25">
      <c r="B13" s="56"/>
      <c r="C13" s="56"/>
      <c r="D13" s="59"/>
    </row>
    <row r="14" spans="2:4" ht="27.2" customHeight="1" x14ac:dyDescent="0.25">
      <c r="B14" s="56"/>
      <c r="C14" s="56"/>
      <c r="D14" s="59"/>
    </row>
    <row r="15" spans="2:4" ht="30" customHeight="1" x14ac:dyDescent="0.25">
      <c r="B15" s="57"/>
      <c r="C15" s="58" t="s">
        <v>62</v>
      </c>
      <c r="D15" s="60">
        <f>SUBTOTAL(109,Faktura34689[BELOPP])</f>
        <v>2731.1473809523809</v>
      </c>
    </row>
    <row r="17" spans="2:4" ht="30" customHeight="1" x14ac:dyDescent="0.25">
      <c r="B17" s="71" t="s">
        <v>63</v>
      </c>
      <c r="C17" s="71"/>
      <c r="D17" s="71"/>
    </row>
    <row r="18" spans="2:4" ht="30" customHeight="1" x14ac:dyDescent="0.25">
      <c r="B18" s="72"/>
      <c r="C18" s="72"/>
      <c r="D18" s="72"/>
    </row>
    <row r="19" spans="2:4" ht="17.100000000000001" customHeight="1" x14ac:dyDescent="0.25"/>
    <row r="20" spans="2:4" ht="17.100000000000001" customHeight="1" x14ac:dyDescent="0.25"/>
    <row r="21" spans="2:4" ht="17.100000000000001" customHeight="1" x14ac:dyDescent="0.4">
      <c r="C21" s="44"/>
    </row>
    <row r="22" spans="2:4" ht="17.100000000000001" customHeight="1" x14ac:dyDescent="0.4">
      <c r="C22" s="44"/>
    </row>
    <row r="23" spans="2:4" ht="17.100000000000001" customHeight="1" x14ac:dyDescent="0.4">
      <c r="C23" s="44" t="s">
        <v>64</v>
      </c>
    </row>
    <row r="24" spans="2:4" ht="17.100000000000001" customHeight="1" x14ac:dyDescent="0.25">
      <c r="C24" s="43"/>
    </row>
    <row r="25" spans="2:4" ht="17.100000000000001" customHeight="1" x14ac:dyDescent="0.25">
      <c r="C25" s="43" t="s">
        <v>51</v>
      </c>
    </row>
    <row r="26" spans="2:4" ht="17.100000000000001" customHeight="1" x14ac:dyDescent="0.25">
      <c r="C26"/>
    </row>
    <row r="27" spans="2:4" ht="17.100000000000001" customHeight="1" x14ac:dyDescent="0.25">
      <c r="C27"/>
    </row>
    <row r="28" spans="2:4" ht="17.100000000000001" customHeight="1" x14ac:dyDescent="0.25">
      <c r="C28"/>
    </row>
    <row r="29" spans="2:4" ht="17.100000000000001" customHeight="1" x14ac:dyDescent="0.25">
      <c r="C29"/>
    </row>
    <row r="30" spans="2:4" ht="17.100000000000001" customHeight="1" x14ac:dyDescent="0.25">
      <c r="C30"/>
    </row>
    <row r="31" spans="2:4" ht="21.6" customHeight="1" x14ac:dyDescent="0.25">
      <c r="C31"/>
    </row>
    <row r="32" spans="2:4" ht="17.100000000000001" customHeight="1" x14ac:dyDescent="0.25">
      <c r="C32" s="61">
        <f>Faktura34689[[#Totals],[BELOPP]]</f>
        <v>2731.1473809523809</v>
      </c>
    </row>
    <row r="33" ht="17.100000000000001" customHeight="1" x14ac:dyDescent="0.25"/>
  </sheetData>
  <sheetProtection sheet="1" objects="1" scenarios="1"/>
  <mergeCells count="3">
    <mergeCell ref="C1:D1"/>
    <mergeCell ref="B17:D17"/>
    <mergeCell ref="B18:D18"/>
  </mergeCells>
  <dataValidations count="19">
    <dataValidation allowBlank="1" showInputMessage="1" showErrorMessage="1" prompt="Företagets namn läggs automatiskt till i den här cellen" sqref="B16" xr:uid="{26A48647-8592-4E56-B7C4-DF975701049D}"/>
    <dataValidation allowBlank="1" showInputMessage="1" showErrorMessage="1" prompt="Ange faktureringsföretagets kontaktnamn, telefonnummer och e-post i den här cellen" sqref="B17:D17" xr:uid="{05DED7D5-ADC0-401B-97BD-533257A83EF5}"/>
    <dataValidation allowBlank="1" showInputMessage="1" showErrorMessage="1" prompt="Ange belopp i den här kolumnen under rubriken för varje beskrivning i kolumn B. Den sista cellen i tabellen innehåller totalsumman som ska betalas" sqref="D7" xr:uid="{E4499A19-F4F8-42E6-9330-F1560BD8B486}"/>
    <dataValidation allowBlank="1" showInputMessage="1" showErrorMessage="1" prompt="Ange anpassat fält i den här rubriken och motsvarande data i den här kolumnen under denna rubrik" sqref="C7" xr:uid="{83DB6045-1B60-469A-8658-7783D830B61C}"/>
    <dataValidation allowBlank="1" showInputMessage="1" showErrorMessage="1" prompt="Ange fakturabeskrivning i den här kolumnen under den här rubriken" sqref="B7" xr:uid="{E7116E9C-8616-4A99-9A64-E961D341BD63}"/>
    <dataValidation allowBlank="1" showInputMessage="1" showErrorMessage="1" prompt="Ange kundens telefonnummer i den här cellen" sqref="B6" xr:uid="{91672C62-5DCC-4733-9F1D-D6A6509BB951}"/>
    <dataValidation allowBlank="1" showInputMessage="1" showErrorMessage="1" prompt="Ange telefon- och faxnummer inom parentes i den här cellen" sqref="B5" xr:uid="{666A47A0-6DF9-4256-AA80-08D289983408}"/>
    <dataValidation allowBlank="1" showInputMessage="1" showErrorMessage="1" prompt="Ange postnummer och ort i den här cellen" sqref="B4" xr:uid="{5F4D24AA-85FE-4FBF-89A7-667A63B4CB8D}"/>
    <dataValidation allowBlank="1" showInputMessage="1" showErrorMessage="1" prompt="Ange företagets gatuadress i den här cellen" sqref="B3" xr:uid="{7A42521C-3CE9-4712-B061-8FE35AFA4F08}"/>
    <dataValidation allowBlank="1" showInputMessage="1" showErrorMessage="1" prompt="Ange företagets slogan i den här cellen och företagsadress i cellen nedan" sqref="B2" xr:uid="{7846156C-CDD9-4960-8247-EEDDBED64550}"/>
    <dataValidation allowBlank="1" showInputMessage="1" showErrorMessage="1" prompt="Ange produktbeskrivning för faktura i denna cell" sqref="D5" xr:uid="{86668B87-63E7-4CD8-A5F8-EDA13931A82E}"/>
    <dataValidation allowBlank="1" showInputMessage="1" showErrorMessage="1" prompt="Ange fakturans produktbeskrivning i cellen till höger" sqref="C5" xr:uid="{57707EDF-90A1-49DF-B560-2081CECAA471}"/>
    <dataValidation allowBlank="1" showInputMessage="1" showErrorMessage="1" prompt="Ange fakturanummer i cellen till höger" sqref="C4" xr:uid="{A136ECDB-4B6A-4445-9587-837554B8CB94}"/>
    <dataValidation allowBlank="1" showInputMessage="1" showErrorMessage="1" prompt="Ange fakturanummer i den här cellen" sqref="D4" xr:uid="{209A47FC-CF35-4D25-848A-F4D877BAF144}"/>
    <dataValidation allowBlank="1" showInputMessage="1" showErrorMessage="1" prompt="Ange fakturadatum i cellen till höger" sqref="C3" xr:uid="{02288722-0FBE-4887-9F14-F1D799890124}"/>
    <dataValidation allowBlank="1" showInputMessage="1" showErrorMessage="1" prompt="Ange fakturadatum i den här cellen" sqref="D3" xr:uid="{BA72CF7E-70CF-4FC1-9029-8563A57581C3}"/>
    <dataValidation allowBlank="1" showInputMessage="1" showErrorMessage="1" prompt="Lägg till faktureringsföretagets namn i den här cellen och dess slogan i cellen nedan" sqref="B1" xr:uid="{0EBBBE88-7737-41D8-90C6-C37617A40C8E}"/>
    <dataValidation allowBlank="1" showInputMessage="1" showErrorMessage="1" prompt="Skapa en faktura som beräknar summan i det här kalkylbladet. Ange företags- och kundinformation, och beskrivningar och belopp i tabellen Faktura. Totalsumman beräknas automatiskt" sqref="A1" xr:uid="{0D8D505A-E4DA-4015-8C6C-E645BAC4ABEC}"/>
    <dataValidation allowBlank="1" showInputMessage="1" showErrorMessage="1" prompt="Den här cellen innehåller kalkylbladets rubrik. Ange fakturainformation i cell C3 till D5" sqref="C1:D1" xr:uid="{AC5DBA08-511F-4A6E-B78D-BFE47FC17A46}"/>
  </dataValidations>
  <printOptions horizontalCentered="1"/>
  <pageMargins left="0" right="0" top="0.55118110236220474" bottom="0.31496062992125984" header="0" footer="0"/>
  <pageSetup paperSize="9" fitToHeight="0" orientation="portrait" r:id="rId1"/>
  <ignoredErrors>
    <ignoredError sqref="C8:D10" calculatedColumn="1"/>
  </ignoredErrors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1486-58E0-4077-96D5-68F111467A8D}">
  <sheetPr>
    <tabColor theme="0" tint="-0.249977111117893"/>
    <pageSetUpPr fitToPage="1"/>
  </sheetPr>
  <dimension ref="B1:D33"/>
  <sheetViews>
    <sheetView showGridLines="0" view="pageLayout" zoomScaleNormal="100" workbookViewId="0">
      <selection activeCell="D8" sqref="D8"/>
    </sheetView>
  </sheetViews>
  <sheetFormatPr defaultColWidth="9.140625" defaultRowHeight="30" customHeight="1" x14ac:dyDescent="0.25"/>
  <cols>
    <col min="1" max="1" width="3" style="46" customWidth="1"/>
    <col min="2" max="2" width="55.42578125" style="46" customWidth="1"/>
    <col min="3" max="3" width="21.140625" style="46" bestFit="1" customWidth="1"/>
    <col min="4" max="4" width="22.7109375" style="46" customWidth="1"/>
    <col min="5" max="5" width="3" style="46" customWidth="1"/>
    <col min="6" max="16384" width="9.140625" style="46"/>
  </cols>
  <sheetData>
    <row r="1" spans="2:4" ht="34.5" customHeight="1" x14ac:dyDescent="0.45">
      <c r="B1" s="45" t="s">
        <v>51</v>
      </c>
      <c r="C1" s="70" t="s">
        <v>52</v>
      </c>
      <c r="D1" s="70"/>
    </row>
    <row r="2" spans="2:4" ht="30" customHeight="1" x14ac:dyDescent="0.25">
      <c r="B2" s="47"/>
    </row>
    <row r="3" spans="2:4" ht="30" customHeight="1" x14ac:dyDescent="0.25">
      <c r="B3" s="46" t="str">
        <f>"Gräsvägen " &amp; Gräsv.18!$A$1</f>
        <v>Gräsvägen 18</v>
      </c>
      <c r="C3" s="48" t="s">
        <v>53</v>
      </c>
      <c r="D3" s="49">
        <f ca="1">TODAY()</f>
        <v>45806</v>
      </c>
    </row>
    <row r="4" spans="2:4" ht="15" customHeight="1" x14ac:dyDescent="0.25">
      <c r="B4" s="46" t="s">
        <v>54</v>
      </c>
      <c r="C4" s="48"/>
      <c r="D4" s="50"/>
    </row>
    <row r="5" spans="2:4" ht="30" customHeight="1" x14ac:dyDescent="0.25">
      <c r="B5" s="51"/>
      <c r="C5" s="52"/>
      <c r="D5" s="53"/>
    </row>
    <row r="6" spans="2:4" ht="30" customHeight="1" x14ac:dyDescent="0.25">
      <c r="B6" s="51"/>
    </row>
    <row r="7" spans="2:4" ht="30" customHeight="1" x14ac:dyDescent="0.25">
      <c r="B7" s="54" t="s">
        <v>55</v>
      </c>
      <c r="C7" s="55" t="s">
        <v>56</v>
      </c>
      <c r="D7" s="54" t="s">
        <v>57</v>
      </c>
    </row>
    <row r="8" spans="2:4" ht="27.2" customHeight="1" x14ac:dyDescent="0.25">
      <c r="B8" s="56" t="s">
        <v>58</v>
      </c>
      <c r="C8" t="str">
        <f>Gräsv.18!$D$3 &amp; "m³ X " &amp;Gräsv.18!$F$3</f>
        <v>10m³ X 24</v>
      </c>
      <c r="D8" s="16">
        <f>Gräsv.18!$G$3</f>
        <v>204</v>
      </c>
    </row>
    <row r="9" spans="2:4" ht="27.2" customHeight="1" x14ac:dyDescent="0.25">
      <c r="B9" s="56" t="s">
        <v>59</v>
      </c>
      <c r="C9" s="56"/>
      <c r="D9" s="16">
        <f>Gräsv.18!$H$3</f>
        <v>879.14738095238101</v>
      </c>
    </row>
    <row r="10" spans="2:4" ht="27.2" customHeight="1" x14ac:dyDescent="0.25">
      <c r="B10" s="56" t="s">
        <v>60</v>
      </c>
      <c r="C10" s="56" t="s">
        <v>61</v>
      </c>
      <c r="D10" s="9">
        <f>Gräsv.18!$I$3</f>
        <v>1000</v>
      </c>
    </row>
    <row r="11" spans="2:4" ht="27.2" customHeight="1" x14ac:dyDescent="0.25">
      <c r="B11" s="56"/>
      <c r="C11" s="56"/>
      <c r="D11" s="59"/>
    </row>
    <row r="12" spans="2:4" ht="27.2" customHeight="1" x14ac:dyDescent="0.25">
      <c r="B12" s="56"/>
      <c r="C12" s="56"/>
      <c r="D12" s="59"/>
    </row>
    <row r="13" spans="2:4" ht="27.2" customHeight="1" x14ac:dyDescent="0.25">
      <c r="B13" s="56"/>
      <c r="C13" s="56"/>
      <c r="D13" s="59"/>
    </row>
    <row r="14" spans="2:4" ht="27.2" customHeight="1" x14ac:dyDescent="0.25">
      <c r="B14" s="56"/>
      <c r="C14" s="56"/>
      <c r="D14" s="59"/>
    </row>
    <row r="15" spans="2:4" ht="30" customHeight="1" x14ac:dyDescent="0.25">
      <c r="B15" s="57"/>
      <c r="C15" s="58" t="s">
        <v>62</v>
      </c>
      <c r="D15" s="60">
        <f>SUBTOTAL(109,Faktura3468923[BELOPP])</f>
        <v>2083.1473809523809</v>
      </c>
    </row>
    <row r="17" spans="2:4" ht="30" customHeight="1" x14ac:dyDescent="0.25">
      <c r="B17" s="71" t="s">
        <v>63</v>
      </c>
      <c r="C17" s="71"/>
      <c r="D17" s="71"/>
    </row>
    <row r="18" spans="2:4" ht="30" customHeight="1" x14ac:dyDescent="0.25">
      <c r="B18" s="72"/>
      <c r="C18" s="72"/>
      <c r="D18" s="72"/>
    </row>
    <row r="19" spans="2:4" ht="17.100000000000001" customHeight="1" x14ac:dyDescent="0.25"/>
    <row r="20" spans="2:4" ht="17.100000000000001" customHeight="1" x14ac:dyDescent="0.25"/>
    <row r="21" spans="2:4" ht="17.100000000000001" customHeight="1" x14ac:dyDescent="0.4">
      <c r="C21" s="44"/>
    </row>
    <row r="22" spans="2:4" ht="17.100000000000001" customHeight="1" x14ac:dyDescent="0.4">
      <c r="C22" s="44"/>
    </row>
    <row r="23" spans="2:4" ht="17.100000000000001" customHeight="1" x14ac:dyDescent="0.4">
      <c r="C23" s="44" t="s">
        <v>64</v>
      </c>
    </row>
    <row r="24" spans="2:4" ht="17.100000000000001" customHeight="1" x14ac:dyDescent="0.25">
      <c r="C24" s="43"/>
    </row>
    <row r="25" spans="2:4" ht="17.100000000000001" customHeight="1" x14ac:dyDescent="0.25">
      <c r="C25" s="43" t="s">
        <v>51</v>
      </c>
    </row>
    <row r="26" spans="2:4" ht="17.100000000000001" customHeight="1" x14ac:dyDescent="0.25">
      <c r="C26"/>
    </row>
    <row r="27" spans="2:4" ht="17.100000000000001" customHeight="1" x14ac:dyDescent="0.25">
      <c r="C27"/>
    </row>
    <row r="28" spans="2:4" ht="17.100000000000001" customHeight="1" x14ac:dyDescent="0.25">
      <c r="C28"/>
    </row>
    <row r="29" spans="2:4" ht="17.100000000000001" customHeight="1" x14ac:dyDescent="0.25">
      <c r="C29"/>
    </row>
    <row r="30" spans="2:4" ht="17.100000000000001" customHeight="1" x14ac:dyDescent="0.25">
      <c r="C30"/>
    </row>
    <row r="31" spans="2:4" ht="21.6" customHeight="1" x14ac:dyDescent="0.25">
      <c r="C31"/>
    </row>
    <row r="32" spans="2:4" ht="17.100000000000001" customHeight="1" x14ac:dyDescent="0.25">
      <c r="C32" s="61">
        <f>Faktura3468923[[#Totals],[BELOPP]]</f>
        <v>2083.1473809523809</v>
      </c>
    </row>
    <row r="33" ht="17.100000000000001" customHeight="1" x14ac:dyDescent="0.25"/>
  </sheetData>
  <sheetProtection sheet="1" objects="1" scenarios="1"/>
  <mergeCells count="3">
    <mergeCell ref="C1:D1"/>
    <mergeCell ref="B17:D17"/>
    <mergeCell ref="B18:D18"/>
  </mergeCells>
  <dataValidations count="19">
    <dataValidation allowBlank="1" showInputMessage="1" showErrorMessage="1" prompt="Den här cellen innehåller kalkylbladets rubrik. Ange fakturainformation i cell C3 till D5" sqref="C1:D1" xr:uid="{2FAD0D5E-8549-4A20-8BC3-C8583A3A0A64}"/>
    <dataValidation allowBlank="1" showInputMessage="1" showErrorMessage="1" prompt="Skapa en faktura som beräknar summan i det här kalkylbladet. Ange företags- och kundinformation, och beskrivningar och belopp i tabellen Faktura. Totalsumman beräknas automatiskt" sqref="A1" xr:uid="{427BB531-9D74-462B-A068-D71AB90EAB28}"/>
    <dataValidation allowBlank="1" showInputMessage="1" showErrorMessage="1" prompt="Lägg till faktureringsföretagets namn i den här cellen och dess slogan i cellen nedan" sqref="B1" xr:uid="{8B633E75-D247-4A12-922A-D371B3886070}"/>
    <dataValidation allowBlank="1" showInputMessage="1" showErrorMessage="1" prompt="Ange fakturadatum i den här cellen" sqref="D3" xr:uid="{9C51974E-BAA9-458B-90CD-93553DF4FAD8}"/>
    <dataValidation allowBlank="1" showInputMessage="1" showErrorMessage="1" prompt="Ange fakturadatum i cellen till höger" sqref="C3" xr:uid="{0DC7E7E9-6FCB-43FA-BB82-E7E456B66809}"/>
    <dataValidation allowBlank="1" showInputMessage="1" showErrorMessage="1" prompt="Ange fakturanummer i den här cellen" sqref="D4" xr:uid="{2E9EC39E-209F-436B-9905-CCF97F1FB6EB}"/>
    <dataValidation allowBlank="1" showInputMessage="1" showErrorMessage="1" prompt="Ange fakturanummer i cellen till höger" sqref="C4" xr:uid="{F670301E-1F31-42C2-ABB0-73EC9405E472}"/>
    <dataValidation allowBlank="1" showInputMessage="1" showErrorMessage="1" prompt="Ange fakturans produktbeskrivning i cellen till höger" sqref="C5" xr:uid="{0D85049C-255E-46C3-814E-FEFEACA1D04F}"/>
    <dataValidation allowBlank="1" showInputMessage="1" showErrorMessage="1" prompt="Ange produktbeskrivning för faktura i denna cell" sqref="D5" xr:uid="{2B58C9AC-2559-4DD7-8941-A7622EBA6943}"/>
    <dataValidation allowBlank="1" showInputMessage="1" showErrorMessage="1" prompt="Ange företagets slogan i den här cellen och företagsadress i cellen nedan" sqref="B2" xr:uid="{CF692873-DEC9-4E2E-B3F1-E482CACA8006}"/>
    <dataValidation allowBlank="1" showInputMessage="1" showErrorMessage="1" prompt="Ange företagets gatuadress i den här cellen" sqref="B3" xr:uid="{FDD0D3BB-C24D-4A9E-8BE5-948B1F8A5E62}"/>
    <dataValidation allowBlank="1" showInputMessage="1" showErrorMessage="1" prompt="Ange postnummer och ort i den här cellen" sqref="B4" xr:uid="{EC49DB78-ACD8-4D26-96BB-84AFA5A0E27E}"/>
    <dataValidation allowBlank="1" showInputMessage="1" showErrorMessage="1" prompt="Ange telefon- och faxnummer inom parentes i den här cellen" sqref="B5" xr:uid="{268FBA5D-30E7-45D2-9A38-798152899D44}"/>
    <dataValidation allowBlank="1" showInputMessage="1" showErrorMessage="1" prompt="Ange kundens telefonnummer i den här cellen" sqref="B6" xr:uid="{1BBCDA22-97FA-4240-8904-8C514CF66DAE}"/>
    <dataValidation allowBlank="1" showInputMessage="1" showErrorMessage="1" prompt="Ange fakturabeskrivning i den här kolumnen under den här rubriken" sqref="B7" xr:uid="{2753B7B0-E17A-4180-980E-0FA6DEE37162}"/>
    <dataValidation allowBlank="1" showInputMessage="1" showErrorMessage="1" prompt="Ange anpassat fält i den här rubriken och motsvarande data i den här kolumnen under denna rubrik" sqref="C7" xr:uid="{DB723325-5D50-4635-A82A-20468E61330B}"/>
    <dataValidation allowBlank="1" showInputMessage="1" showErrorMessage="1" prompt="Ange belopp i den här kolumnen under rubriken för varje beskrivning i kolumn B. Den sista cellen i tabellen innehåller totalsumman som ska betalas" sqref="D7" xr:uid="{1A04AE51-D141-4F4C-9360-579E1E4D9E6F}"/>
    <dataValidation allowBlank="1" showInputMessage="1" showErrorMessage="1" prompt="Ange faktureringsföretagets kontaktnamn, telefonnummer och e-post i den här cellen" sqref="B17:D17" xr:uid="{7990D7A5-207B-4043-BD21-AF075CB380DC}"/>
    <dataValidation allowBlank="1" showInputMessage="1" showErrorMessage="1" prompt="Företagets namn läggs automatiskt till i den här cellen" sqref="B16" xr:uid="{EA0112EA-4215-4C49-8224-276568B44A9E}"/>
  </dataValidations>
  <printOptions horizontalCentered="1"/>
  <pageMargins left="0" right="0" top="0.55118110236220474" bottom="0.31496062992125984" header="0" footer="0"/>
  <pageSetup paperSize="9" fitToHeight="0" orientation="portrait" r:id="rId1"/>
  <ignoredErrors>
    <ignoredError sqref="C8:D10" calculatedColumn="1"/>
  </ignoredErrors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1912A-28D0-4010-AE8D-D45497121BB3}">
  <sheetPr>
    <tabColor theme="0" tint="-0.249977111117893"/>
    <pageSetUpPr fitToPage="1"/>
  </sheetPr>
  <dimension ref="B1:D33"/>
  <sheetViews>
    <sheetView showGridLines="0" view="pageLayout" zoomScaleNormal="100" workbookViewId="0">
      <selection activeCell="D8" sqref="D8"/>
    </sheetView>
  </sheetViews>
  <sheetFormatPr defaultColWidth="9.140625" defaultRowHeight="30" customHeight="1" x14ac:dyDescent="0.25"/>
  <cols>
    <col min="1" max="1" width="3" style="46" customWidth="1"/>
    <col min="2" max="2" width="55.42578125" style="46" customWidth="1"/>
    <col min="3" max="3" width="21.140625" style="46" bestFit="1" customWidth="1"/>
    <col min="4" max="4" width="22.7109375" style="46" customWidth="1"/>
    <col min="5" max="5" width="3" style="46" customWidth="1"/>
    <col min="6" max="16384" width="9.140625" style="46"/>
  </cols>
  <sheetData>
    <row r="1" spans="2:4" ht="34.5" customHeight="1" x14ac:dyDescent="0.45">
      <c r="B1" s="45" t="s">
        <v>51</v>
      </c>
      <c r="C1" s="70" t="s">
        <v>52</v>
      </c>
      <c r="D1" s="70"/>
    </row>
    <row r="2" spans="2:4" ht="30" customHeight="1" x14ac:dyDescent="0.25">
      <c r="B2" s="47"/>
    </row>
    <row r="3" spans="2:4" ht="30" customHeight="1" x14ac:dyDescent="0.25">
      <c r="B3" s="46" t="str">
        <f>"Gräsvägen " &amp; Gräsv.20!$A$1</f>
        <v>Gräsvägen 20</v>
      </c>
      <c r="C3" s="48" t="s">
        <v>53</v>
      </c>
      <c r="D3" s="49">
        <f ca="1">TODAY()</f>
        <v>45806</v>
      </c>
    </row>
    <row r="4" spans="2:4" ht="15" customHeight="1" x14ac:dyDescent="0.25">
      <c r="B4" s="46" t="s">
        <v>54</v>
      </c>
      <c r="C4" s="48"/>
      <c r="D4" s="50"/>
    </row>
    <row r="5" spans="2:4" ht="30" customHeight="1" x14ac:dyDescent="0.25">
      <c r="B5" s="51"/>
      <c r="C5" s="52"/>
      <c r="D5" s="53"/>
    </row>
    <row r="6" spans="2:4" ht="30" customHeight="1" x14ac:dyDescent="0.25">
      <c r="B6" s="51"/>
    </row>
    <row r="7" spans="2:4" ht="30" customHeight="1" x14ac:dyDescent="0.25">
      <c r="B7" s="54" t="s">
        <v>55</v>
      </c>
      <c r="C7" s="55" t="s">
        <v>56</v>
      </c>
      <c r="D7" s="54" t="s">
        <v>57</v>
      </c>
    </row>
    <row r="8" spans="2:4" ht="27.2" customHeight="1" x14ac:dyDescent="0.25">
      <c r="B8" s="56" t="s">
        <v>58</v>
      </c>
      <c r="C8" t="str">
        <f>Gräsv.20!$D$3 &amp; "m³ X " &amp;Gräsv.20!$F$3</f>
        <v>22m³ X 24</v>
      </c>
      <c r="D8" s="16">
        <f>Gräsv.20!$G$3</f>
        <v>492</v>
      </c>
    </row>
    <row r="9" spans="2:4" ht="27.2" customHeight="1" x14ac:dyDescent="0.25">
      <c r="B9" s="56" t="s">
        <v>59</v>
      </c>
      <c r="C9" s="56"/>
      <c r="D9" s="16">
        <f>Gräsv.20!$H$3</f>
        <v>879.14738095238101</v>
      </c>
    </row>
    <row r="10" spans="2:4" ht="27.2" customHeight="1" x14ac:dyDescent="0.25">
      <c r="B10" s="56" t="s">
        <v>60</v>
      </c>
      <c r="C10" s="56" t="s">
        <v>61</v>
      </c>
      <c r="D10" s="9">
        <f>Gräsv.20!$I$3</f>
        <v>1000</v>
      </c>
    </row>
    <row r="11" spans="2:4" ht="27.2" customHeight="1" x14ac:dyDescent="0.25">
      <c r="B11" s="56"/>
      <c r="C11" s="56"/>
      <c r="D11" s="59"/>
    </row>
    <row r="12" spans="2:4" ht="27.2" customHeight="1" x14ac:dyDescent="0.25">
      <c r="B12" s="56"/>
      <c r="C12" s="56"/>
      <c r="D12" s="59"/>
    </row>
    <row r="13" spans="2:4" ht="27.2" customHeight="1" x14ac:dyDescent="0.25">
      <c r="B13" s="56"/>
      <c r="C13" s="56"/>
      <c r="D13" s="59"/>
    </row>
    <row r="14" spans="2:4" ht="27.2" customHeight="1" x14ac:dyDescent="0.25">
      <c r="B14" s="56"/>
      <c r="C14" s="56"/>
      <c r="D14" s="59"/>
    </row>
    <row r="15" spans="2:4" ht="30" customHeight="1" x14ac:dyDescent="0.25">
      <c r="B15" s="57"/>
      <c r="C15" s="58" t="s">
        <v>62</v>
      </c>
      <c r="D15" s="60">
        <f>SUBTOTAL(109,Faktura346892324[BELOPP])</f>
        <v>2371.1473809523809</v>
      </c>
    </row>
    <row r="17" spans="2:4" ht="30" customHeight="1" x14ac:dyDescent="0.25">
      <c r="B17" s="71" t="s">
        <v>63</v>
      </c>
      <c r="C17" s="71"/>
      <c r="D17" s="71"/>
    </row>
    <row r="18" spans="2:4" ht="30" customHeight="1" x14ac:dyDescent="0.25">
      <c r="B18" s="72"/>
      <c r="C18" s="72"/>
      <c r="D18" s="72"/>
    </row>
    <row r="19" spans="2:4" ht="17.100000000000001" customHeight="1" x14ac:dyDescent="0.25"/>
    <row r="20" spans="2:4" ht="17.100000000000001" customHeight="1" x14ac:dyDescent="0.25"/>
    <row r="21" spans="2:4" ht="17.100000000000001" customHeight="1" x14ac:dyDescent="0.4">
      <c r="C21" s="44"/>
    </row>
    <row r="22" spans="2:4" ht="17.100000000000001" customHeight="1" x14ac:dyDescent="0.4">
      <c r="C22" s="44"/>
    </row>
    <row r="23" spans="2:4" ht="17.100000000000001" customHeight="1" x14ac:dyDescent="0.4">
      <c r="C23" s="44" t="s">
        <v>64</v>
      </c>
    </row>
    <row r="24" spans="2:4" ht="17.100000000000001" customHeight="1" x14ac:dyDescent="0.25">
      <c r="C24" s="43"/>
    </row>
    <row r="25" spans="2:4" ht="17.100000000000001" customHeight="1" x14ac:dyDescent="0.25">
      <c r="C25" s="43" t="s">
        <v>51</v>
      </c>
    </row>
    <row r="26" spans="2:4" ht="17.100000000000001" customHeight="1" x14ac:dyDescent="0.25">
      <c r="C26"/>
    </row>
    <row r="27" spans="2:4" ht="17.100000000000001" customHeight="1" x14ac:dyDescent="0.25">
      <c r="C27"/>
    </row>
    <row r="28" spans="2:4" ht="17.100000000000001" customHeight="1" x14ac:dyDescent="0.25">
      <c r="C28"/>
    </row>
    <row r="29" spans="2:4" ht="17.100000000000001" customHeight="1" x14ac:dyDescent="0.25">
      <c r="C29"/>
    </row>
    <row r="30" spans="2:4" ht="17.100000000000001" customHeight="1" x14ac:dyDescent="0.25">
      <c r="C30"/>
    </row>
    <row r="31" spans="2:4" ht="21.6" customHeight="1" x14ac:dyDescent="0.25">
      <c r="C31"/>
    </row>
    <row r="32" spans="2:4" ht="17.100000000000001" customHeight="1" x14ac:dyDescent="0.25">
      <c r="C32" s="61">
        <f>Faktura346892324[[#Totals],[BELOPP]]</f>
        <v>2371.1473809523809</v>
      </c>
    </row>
    <row r="33" ht="17.100000000000001" customHeight="1" x14ac:dyDescent="0.25"/>
  </sheetData>
  <sheetProtection sheet="1" objects="1" scenarios="1"/>
  <mergeCells count="3">
    <mergeCell ref="C1:D1"/>
    <mergeCell ref="B17:D17"/>
    <mergeCell ref="B18:D18"/>
  </mergeCells>
  <dataValidations count="19">
    <dataValidation allowBlank="1" showInputMessage="1" showErrorMessage="1" prompt="Företagets namn läggs automatiskt till i den här cellen" sqref="B16" xr:uid="{51314375-BB93-42EC-B00C-D1FF694A2937}"/>
    <dataValidation allowBlank="1" showInputMessage="1" showErrorMessage="1" prompt="Ange faktureringsföretagets kontaktnamn, telefonnummer och e-post i den här cellen" sqref="B17:D17" xr:uid="{36726A5D-BC61-4024-9277-73266729DD1D}"/>
    <dataValidation allowBlank="1" showInputMessage="1" showErrorMessage="1" prompt="Ange belopp i den här kolumnen under rubriken för varje beskrivning i kolumn B. Den sista cellen i tabellen innehåller totalsumman som ska betalas" sqref="D7" xr:uid="{DFA10AAE-1CF7-44A2-971A-FDE056BC1DDC}"/>
    <dataValidation allowBlank="1" showInputMessage="1" showErrorMessage="1" prompt="Ange anpassat fält i den här rubriken och motsvarande data i den här kolumnen under denna rubrik" sqref="C7" xr:uid="{6C4285B7-7FA9-40D7-8231-F961847602F6}"/>
    <dataValidation allowBlank="1" showInputMessage="1" showErrorMessage="1" prompt="Ange fakturabeskrivning i den här kolumnen under den här rubriken" sqref="B7" xr:uid="{639F0BDE-5D3C-4035-A36C-2A82C73C4EF0}"/>
    <dataValidation allowBlank="1" showInputMessage="1" showErrorMessage="1" prompt="Ange kundens telefonnummer i den här cellen" sqref="B6" xr:uid="{77349095-BCB8-4988-A95B-7D5DFBC1EB6D}"/>
    <dataValidation allowBlank="1" showInputMessage="1" showErrorMessage="1" prompt="Ange telefon- och faxnummer inom parentes i den här cellen" sqref="B5" xr:uid="{7C744271-4B76-4925-8725-B4DB84C10E5E}"/>
    <dataValidation allowBlank="1" showInputMessage="1" showErrorMessage="1" prompt="Ange postnummer och ort i den här cellen" sqref="B4" xr:uid="{2C39BC66-AA30-4F29-89A9-C0A47F149857}"/>
    <dataValidation allowBlank="1" showInputMessage="1" showErrorMessage="1" prompt="Ange företagets gatuadress i den här cellen" sqref="B3" xr:uid="{744BEBC9-5AE6-48B2-B4AD-358B46ACD14D}"/>
    <dataValidation allowBlank="1" showInputMessage="1" showErrorMessage="1" prompt="Ange företagets slogan i den här cellen och företagsadress i cellen nedan" sqref="B2" xr:uid="{0309B3B4-988D-4F67-9DB8-5B749F24E67B}"/>
    <dataValidation allowBlank="1" showInputMessage="1" showErrorMessage="1" prompt="Ange produktbeskrivning för faktura i denna cell" sqref="D5" xr:uid="{B9FE6B0B-CF66-4D5C-BFE1-357BF549583E}"/>
    <dataValidation allowBlank="1" showInputMessage="1" showErrorMessage="1" prompt="Ange fakturans produktbeskrivning i cellen till höger" sqref="C5" xr:uid="{99800408-2B19-4B19-A67A-F61325389A55}"/>
    <dataValidation allowBlank="1" showInputMessage="1" showErrorMessage="1" prompt="Ange fakturanummer i cellen till höger" sqref="C4" xr:uid="{94E25954-C2FC-4442-BD80-4FD00A5A1532}"/>
    <dataValidation allowBlank="1" showInputMessage="1" showErrorMessage="1" prompt="Ange fakturanummer i den här cellen" sqref="D4" xr:uid="{8E80935B-F0CA-4187-8BDB-B02A30160A98}"/>
    <dataValidation allowBlank="1" showInputMessage="1" showErrorMessage="1" prompt="Ange fakturadatum i cellen till höger" sqref="C3" xr:uid="{B83898C1-2767-4E2E-9F7F-8E7B37E08071}"/>
    <dataValidation allowBlank="1" showInputMessage="1" showErrorMessage="1" prompt="Ange fakturadatum i den här cellen" sqref="D3" xr:uid="{1708B2B6-BF6F-4FF0-A173-B4CE5CCCA13E}"/>
    <dataValidation allowBlank="1" showInputMessage="1" showErrorMessage="1" prompt="Lägg till faktureringsföretagets namn i den här cellen och dess slogan i cellen nedan" sqref="B1" xr:uid="{51D6D2D0-9B81-4B04-8318-09CA935E6752}"/>
    <dataValidation allowBlank="1" showInputMessage="1" showErrorMessage="1" prompt="Skapa en faktura som beräknar summan i det här kalkylbladet. Ange företags- och kundinformation, och beskrivningar och belopp i tabellen Faktura. Totalsumman beräknas automatiskt" sqref="A1" xr:uid="{2236DDFF-361F-4206-AB5F-5FBB90C6AAA3}"/>
    <dataValidation allowBlank="1" showInputMessage="1" showErrorMessage="1" prompt="Den här cellen innehåller kalkylbladets rubrik. Ange fakturainformation i cell C3 till D5" sqref="C1:D1" xr:uid="{224FCF81-39BE-468D-985B-7FF807699C22}"/>
  </dataValidations>
  <printOptions horizontalCentered="1"/>
  <pageMargins left="0" right="0" top="0.55118110236220474" bottom="0.31496062992125984" header="0" footer="0"/>
  <pageSetup paperSize="9" fitToHeight="0" orientation="portrait" r:id="rId1"/>
  <ignoredErrors>
    <ignoredError sqref="C8:D10" calculatedColumn="1"/>
  </ignoredErrors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24DA-448E-4209-B1D7-D15FA08524C7}">
  <sheetPr>
    <tabColor theme="0" tint="-0.249977111117893"/>
    <pageSetUpPr fitToPage="1"/>
  </sheetPr>
  <dimension ref="B1:D33"/>
  <sheetViews>
    <sheetView showGridLines="0" view="pageLayout" zoomScaleNormal="100" workbookViewId="0">
      <selection activeCell="D8" sqref="D8"/>
    </sheetView>
  </sheetViews>
  <sheetFormatPr defaultColWidth="9.140625" defaultRowHeight="30" customHeight="1" x14ac:dyDescent="0.25"/>
  <cols>
    <col min="1" max="1" width="3" style="46" customWidth="1"/>
    <col min="2" max="2" width="55.42578125" style="46" customWidth="1"/>
    <col min="3" max="3" width="21.140625" style="46" bestFit="1" customWidth="1"/>
    <col min="4" max="4" width="22.7109375" style="46" customWidth="1"/>
    <col min="5" max="5" width="3" style="46" customWidth="1"/>
    <col min="6" max="16384" width="9.140625" style="46"/>
  </cols>
  <sheetData>
    <row r="1" spans="2:4" ht="34.5" customHeight="1" x14ac:dyDescent="0.45">
      <c r="B1" s="45" t="s">
        <v>51</v>
      </c>
      <c r="C1" s="70" t="s">
        <v>52</v>
      </c>
      <c r="D1" s="70"/>
    </row>
    <row r="2" spans="2:4" ht="30" customHeight="1" x14ac:dyDescent="0.25">
      <c r="B2" s="47"/>
    </row>
    <row r="3" spans="2:4" ht="30" customHeight="1" x14ac:dyDescent="0.25">
      <c r="B3" s="46" t="str">
        <f>"Gräsvägen " &amp; Gräsv.22!$A$1</f>
        <v>Gräsvägen 22</v>
      </c>
      <c r="C3" s="48" t="s">
        <v>53</v>
      </c>
      <c r="D3" s="49">
        <f ca="1">TODAY()</f>
        <v>45806</v>
      </c>
    </row>
    <row r="4" spans="2:4" ht="15" customHeight="1" x14ac:dyDescent="0.25">
      <c r="B4" s="46" t="s">
        <v>54</v>
      </c>
      <c r="C4" s="48"/>
      <c r="D4" s="50"/>
    </row>
    <row r="5" spans="2:4" ht="30" customHeight="1" x14ac:dyDescent="0.25">
      <c r="B5" s="51"/>
      <c r="C5" s="52"/>
      <c r="D5" s="53"/>
    </row>
    <row r="6" spans="2:4" ht="30" customHeight="1" x14ac:dyDescent="0.25">
      <c r="B6" s="51"/>
    </row>
    <row r="7" spans="2:4" ht="30" customHeight="1" x14ac:dyDescent="0.25">
      <c r="B7" s="54" t="s">
        <v>55</v>
      </c>
      <c r="C7" s="55" t="s">
        <v>56</v>
      </c>
      <c r="D7" s="54" t="s">
        <v>57</v>
      </c>
    </row>
    <row r="8" spans="2:4" ht="27.2" customHeight="1" x14ac:dyDescent="0.25">
      <c r="B8" s="56" t="s">
        <v>58</v>
      </c>
      <c r="C8" t="str">
        <f>Gräsv.22!$D$3 &amp; "m³ X " &amp;Gräsv.22!$F$3</f>
        <v>32m³ X 24</v>
      </c>
      <c r="D8" s="16">
        <f>Gräsv.22!$G$3</f>
        <v>732</v>
      </c>
    </row>
    <row r="9" spans="2:4" ht="27.2" customHeight="1" x14ac:dyDescent="0.25">
      <c r="B9" s="56" t="s">
        <v>59</v>
      </c>
      <c r="C9" s="56"/>
      <c r="D9" s="16">
        <f>Gräsv.22!$H$3</f>
        <v>879.14738095238101</v>
      </c>
    </row>
    <row r="10" spans="2:4" ht="27.2" customHeight="1" x14ac:dyDescent="0.25">
      <c r="B10" s="56" t="s">
        <v>60</v>
      </c>
      <c r="C10" s="56" t="s">
        <v>61</v>
      </c>
      <c r="D10" s="9">
        <f>Gräsv.22!$I$3</f>
        <v>1000</v>
      </c>
    </row>
    <row r="11" spans="2:4" ht="27.2" customHeight="1" x14ac:dyDescent="0.25">
      <c r="B11" s="56"/>
      <c r="C11" s="56"/>
      <c r="D11" s="59"/>
    </row>
    <row r="12" spans="2:4" ht="27.2" customHeight="1" x14ac:dyDescent="0.25">
      <c r="B12" s="56"/>
      <c r="C12" s="56"/>
      <c r="D12" s="59"/>
    </row>
    <row r="13" spans="2:4" ht="27.2" customHeight="1" x14ac:dyDescent="0.25">
      <c r="B13" s="56"/>
      <c r="C13" s="56"/>
      <c r="D13" s="59"/>
    </row>
    <row r="14" spans="2:4" ht="27.2" customHeight="1" x14ac:dyDescent="0.25">
      <c r="B14" s="56"/>
      <c r="C14" s="56"/>
      <c r="D14" s="59"/>
    </row>
    <row r="15" spans="2:4" ht="30" customHeight="1" x14ac:dyDescent="0.25">
      <c r="B15" s="57"/>
      <c r="C15" s="58" t="s">
        <v>62</v>
      </c>
      <c r="D15" s="60">
        <f>SUBTOTAL(109,Faktura34689232425[BELOPP])</f>
        <v>2611.1473809523809</v>
      </c>
    </row>
    <row r="17" spans="2:4" ht="30" customHeight="1" x14ac:dyDescent="0.25">
      <c r="B17" s="71" t="s">
        <v>63</v>
      </c>
      <c r="C17" s="71"/>
      <c r="D17" s="71"/>
    </row>
    <row r="18" spans="2:4" ht="30" customHeight="1" x14ac:dyDescent="0.25">
      <c r="B18" s="72"/>
      <c r="C18" s="72"/>
      <c r="D18" s="72"/>
    </row>
    <row r="19" spans="2:4" ht="17.100000000000001" customHeight="1" x14ac:dyDescent="0.25"/>
    <row r="20" spans="2:4" ht="17.100000000000001" customHeight="1" x14ac:dyDescent="0.25"/>
    <row r="21" spans="2:4" ht="17.100000000000001" customHeight="1" x14ac:dyDescent="0.4">
      <c r="C21" s="44"/>
    </row>
    <row r="22" spans="2:4" ht="17.100000000000001" customHeight="1" x14ac:dyDescent="0.4">
      <c r="C22" s="44"/>
    </row>
    <row r="23" spans="2:4" ht="17.100000000000001" customHeight="1" x14ac:dyDescent="0.4">
      <c r="C23" s="44" t="s">
        <v>64</v>
      </c>
    </row>
    <row r="24" spans="2:4" ht="17.100000000000001" customHeight="1" x14ac:dyDescent="0.25">
      <c r="C24" s="43"/>
    </row>
    <row r="25" spans="2:4" ht="17.100000000000001" customHeight="1" x14ac:dyDescent="0.25">
      <c r="C25" s="43" t="s">
        <v>51</v>
      </c>
    </row>
    <row r="26" spans="2:4" ht="17.100000000000001" customHeight="1" x14ac:dyDescent="0.25">
      <c r="C26"/>
    </row>
    <row r="27" spans="2:4" ht="17.100000000000001" customHeight="1" x14ac:dyDescent="0.25">
      <c r="C27"/>
    </row>
    <row r="28" spans="2:4" ht="17.100000000000001" customHeight="1" x14ac:dyDescent="0.25">
      <c r="C28"/>
    </row>
    <row r="29" spans="2:4" ht="17.100000000000001" customHeight="1" x14ac:dyDescent="0.25">
      <c r="C29"/>
    </row>
    <row r="30" spans="2:4" ht="17.100000000000001" customHeight="1" x14ac:dyDescent="0.25">
      <c r="C30"/>
    </row>
    <row r="31" spans="2:4" ht="21.6" customHeight="1" x14ac:dyDescent="0.25">
      <c r="C31"/>
    </row>
    <row r="32" spans="2:4" ht="17.100000000000001" customHeight="1" x14ac:dyDescent="0.25">
      <c r="C32" s="61">
        <f>Faktura34689232425[[#Totals],[BELOPP]]</f>
        <v>2611.1473809523809</v>
      </c>
    </row>
    <row r="33" ht="17.100000000000001" customHeight="1" x14ac:dyDescent="0.25"/>
  </sheetData>
  <sheetProtection sheet="1" objects="1" scenarios="1"/>
  <mergeCells count="3">
    <mergeCell ref="C1:D1"/>
    <mergeCell ref="B17:D17"/>
    <mergeCell ref="B18:D18"/>
  </mergeCells>
  <dataValidations count="19">
    <dataValidation allowBlank="1" showInputMessage="1" showErrorMessage="1" prompt="Den här cellen innehåller kalkylbladets rubrik. Ange fakturainformation i cell C3 till D5" sqref="C1:D1" xr:uid="{14CEA4EF-FCB6-4F0D-9547-A13F11462609}"/>
    <dataValidation allowBlank="1" showInputMessage="1" showErrorMessage="1" prompt="Skapa en faktura som beräknar summan i det här kalkylbladet. Ange företags- och kundinformation, och beskrivningar och belopp i tabellen Faktura. Totalsumman beräknas automatiskt" sqref="A1" xr:uid="{6B3432DB-CD44-47DF-B0D5-E554FB6EAD3C}"/>
    <dataValidation allowBlank="1" showInputMessage="1" showErrorMessage="1" prompt="Lägg till faktureringsföretagets namn i den här cellen och dess slogan i cellen nedan" sqref="B1" xr:uid="{1088F311-E632-4CD1-BFCB-64C80ADCCC82}"/>
    <dataValidation allowBlank="1" showInputMessage="1" showErrorMessage="1" prompt="Ange fakturadatum i den här cellen" sqref="D3" xr:uid="{7C661DA5-88B3-4E33-9BEE-0CB3516FFDF6}"/>
    <dataValidation allowBlank="1" showInputMessage="1" showErrorMessage="1" prompt="Ange fakturadatum i cellen till höger" sqref="C3" xr:uid="{81C2003F-217C-40BD-AAE0-D41407A6F1E9}"/>
    <dataValidation allowBlank="1" showInputMessage="1" showErrorMessage="1" prompt="Ange fakturanummer i den här cellen" sqref="D4" xr:uid="{CC9F607F-75D9-4E2F-BCC9-AE952FB25347}"/>
    <dataValidation allowBlank="1" showInputMessage="1" showErrorMessage="1" prompt="Ange fakturanummer i cellen till höger" sqref="C4" xr:uid="{A12D47C0-1ED1-4E8F-AE7E-D203089C03CA}"/>
    <dataValidation allowBlank="1" showInputMessage="1" showErrorMessage="1" prompt="Ange fakturans produktbeskrivning i cellen till höger" sqref="C5" xr:uid="{77EE3EDA-DD99-4F14-AAE9-6C87B95919B0}"/>
    <dataValidation allowBlank="1" showInputMessage="1" showErrorMessage="1" prompt="Ange produktbeskrivning för faktura i denna cell" sqref="D5" xr:uid="{2DCF65A4-7926-4D63-9582-F2DF5F59946A}"/>
    <dataValidation allowBlank="1" showInputMessage="1" showErrorMessage="1" prompt="Ange företagets slogan i den här cellen och företagsadress i cellen nedan" sqref="B2" xr:uid="{74C08E0D-FF59-4FDD-A648-733F4A9F9B86}"/>
    <dataValidation allowBlank="1" showInputMessage="1" showErrorMessage="1" prompt="Ange företagets gatuadress i den här cellen" sqref="B3" xr:uid="{C43C400C-66E0-446F-B84F-8695BD07A051}"/>
    <dataValidation allowBlank="1" showInputMessage="1" showErrorMessage="1" prompt="Ange postnummer och ort i den här cellen" sqref="B4" xr:uid="{E1A00CBE-34E3-4106-BAC0-4978581E6E69}"/>
    <dataValidation allowBlank="1" showInputMessage="1" showErrorMessage="1" prompt="Ange telefon- och faxnummer inom parentes i den här cellen" sqref="B5" xr:uid="{6A89249D-6EE7-43BD-A4F5-F02CF0B63F56}"/>
    <dataValidation allowBlank="1" showInputMessage="1" showErrorMessage="1" prompt="Ange kundens telefonnummer i den här cellen" sqref="B6" xr:uid="{E45D89E7-58E4-41DD-9CCE-4A9FE86BFE35}"/>
    <dataValidation allowBlank="1" showInputMessage="1" showErrorMessage="1" prompt="Ange fakturabeskrivning i den här kolumnen under den här rubriken" sqref="B7" xr:uid="{A5830532-4919-4F29-84F1-5C4D2F6D907C}"/>
    <dataValidation allowBlank="1" showInputMessage="1" showErrorMessage="1" prompt="Ange anpassat fält i den här rubriken och motsvarande data i den här kolumnen under denna rubrik" sqref="C7" xr:uid="{CE0C428F-CAFA-4653-992F-E9CA94780989}"/>
    <dataValidation allowBlank="1" showInputMessage="1" showErrorMessage="1" prompt="Ange belopp i den här kolumnen under rubriken för varje beskrivning i kolumn B. Den sista cellen i tabellen innehåller totalsumman som ska betalas" sqref="D7" xr:uid="{97750504-8CE0-4AE8-972D-C0FF18B546B1}"/>
    <dataValidation allowBlank="1" showInputMessage="1" showErrorMessage="1" prompt="Ange faktureringsföretagets kontaktnamn, telefonnummer och e-post i den här cellen" sqref="B17:D17" xr:uid="{52A6F045-784A-4420-AF22-F4C94476A0FB}"/>
    <dataValidation allowBlank="1" showInputMessage="1" showErrorMessage="1" prompt="Företagets namn läggs automatiskt till i den här cellen" sqref="B16" xr:uid="{2C59C54F-4B35-48D9-A26B-A677D11C38BB}"/>
  </dataValidations>
  <printOptions horizontalCentered="1"/>
  <pageMargins left="0" right="0" top="0.55118110236220474" bottom="0.31496062992125984" header="0" footer="0"/>
  <pageSetup paperSize="9" fitToHeight="0" orientation="portrait" r:id="rId1"/>
  <ignoredErrors>
    <ignoredError sqref="C8:D10" calculatedColumn="1"/>
  </ignoredErrors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B3733-1E22-4AFB-9915-A5B5C65C23A0}">
  <sheetPr>
    <tabColor theme="0" tint="-0.249977111117893"/>
    <pageSetUpPr fitToPage="1"/>
  </sheetPr>
  <dimension ref="B1:D33"/>
  <sheetViews>
    <sheetView showGridLines="0" view="pageLayout" zoomScaleNormal="100" workbookViewId="0">
      <selection activeCell="D8" sqref="D8"/>
    </sheetView>
  </sheetViews>
  <sheetFormatPr defaultColWidth="9.140625" defaultRowHeight="30" customHeight="1" x14ac:dyDescent="0.25"/>
  <cols>
    <col min="1" max="1" width="3" style="46" customWidth="1"/>
    <col min="2" max="2" width="55.42578125" style="46" customWidth="1"/>
    <col min="3" max="3" width="21.140625" style="46" bestFit="1" customWidth="1"/>
    <col min="4" max="4" width="22.7109375" style="46" customWidth="1"/>
    <col min="5" max="5" width="3" style="46" customWidth="1"/>
    <col min="6" max="16384" width="9.140625" style="46"/>
  </cols>
  <sheetData>
    <row r="1" spans="2:4" ht="34.5" customHeight="1" x14ac:dyDescent="0.45">
      <c r="B1" s="45" t="s">
        <v>51</v>
      </c>
      <c r="C1" s="70" t="s">
        <v>52</v>
      </c>
      <c r="D1" s="70"/>
    </row>
    <row r="2" spans="2:4" ht="30" customHeight="1" x14ac:dyDescent="0.25">
      <c r="B2" s="47"/>
    </row>
    <row r="3" spans="2:4" ht="30" customHeight="1" x14ac:dyDescent="0.25">
      <c r="B3" s="46" t="str">
        <f>"Gräsvägen " &amp; Gräsv.24!$A$1</f>
        <v>Gräsvägen 24</v>
      </c>
      <c r="C3" s="48" t="s">
        <v>53</v>
      </c>
      <c r="D3" s="49">
        <f ca="1">TODAY()</f>
        <v>45806</v>
      </c>
    </row>
    <row r="4" spans="2:4" ht="15" customHeight="1" x14ac:dyDescent="0.25">
      <c r="B4" s="46" t="s">
        <v>54</v>
      </c>
      <c r="C4" s="48"/>
      <c r="D4" s="50"/>
    </row>
    <row r="5" spans="2:4" ht="30" customHeight="1" x14ac:dyDescent="0.25">
      <c r="B5" s="51"/>
      <c r="C5" s="52"/>
      <c r="D5" s="53"/>
    </row>
    <row r="6" spans="2:4" ht="30" customHeight="1" x14ac:dyDescent="0.25">
      <c r="B6" s="51"/>
    </row>
    <row r="7" spans="2:4" ht="30" customHeight="1" x14ac:dyDescent="0.25">
      <c r="B7" s="54" t="s">
        <v>55</v>
      </c>
      <c r="C7" s="55" t="s">
        <v>56</v>
      </c>
      <c r="D7" s="54" t="s">
        <v>57</v>
      </c>
    </row>
    <row r="8" spans="2:4" ht="27.2" customHeight="1" x14ac:dyDescent="0.25">
      <c r="B8" s="56" t="s">
        <v>58</v>
      </c>
      <c r="C8" t="str">
        <f>Gräsv.24!$D$3 &amp; "m³ X " &amp;Gräsv.24!$F$3</f>
        <v>32m³ X 24</v>
      </c>
      <c r="D8" s="16">
        <f>Gräsv.24!$G$3</f>
        <v>732</v>
      </c>
    </row>
    <row r="9" spans="2:4" ht="27.2" customHeight="1" x14ac:dyDescent="0.25">
      <c r="B9" s="56" t="s">
        <v>59</v>
      </c>
      <c r="C9" s="56"/>
      <c r="D9" s="16">
        <f>Gräsv.24!$H$3</f>
        <v>879.14738095238101</v>
      </c>
    </row>
    <row r="10" spans="2:4" ht="27.2" customHeight="1" x14ac:dyDescent="0.25">
      <c r="B10" s="56" t="s">
        <v>60</v>
      </c>
      <c r="C10" s="56" t="s">
        <v>61</v>
      </c>
      <c r="D10" s="9">
        <f>Gräsv.24!$I$3</f>
        <v>1000</v>
      </c>
    </row>
    <row r="11" spans="2:4" ht="27.2" customHeight="1" x14ac:dyDescent="0.25">
      <c r="B11" s="56"/>
      <c r="C11" s="56"/>
      <c r="D11" s="59"/>
    </row>
    <row r="12" spans="2:4" ht="27.2" customHeight="1" x14ac:dyDescent="0.25">
      <c r="B12" s="56"/>
      <c r="C12" s="56"/>
      <c r="D12" s="59"/>
    </row>
    <row r="13" spans="2:4" ht="27.2" customHeight="1" x14ac:dyDescent="0.25">
      <c r="B13" s="56"/>
      <c r="C13" s="56"/>
      <c r="D13" s="59"/>
    </row>
    <row r="14" spans="2:4" ht="27.2" customHeight="1" x14ac:dyDescent="0.25">
      <c r="B14" s="56"/>
      <c r="C14" s="56"/>
      <c r="D14" s="59"/>
    </row>
    <row r="15" spans="2:4" ht="30" customHeight="1" x14ac:dyDescent="0.25">
      <c r="B15" s="57"/>
      <c r="C15" s="58" t="s">
        <v>62</v>
      </c>
      <c r="D15" s="60">
        <f>SUBTOTAL(109,Faktura3468923242526[BELOPP])</f>
        <v>2611.1473809523809</v>
      </c>
    </row>
    <row r="17" spans="2:4" ht="30" customHeight="1" x14ac:dyDescent="0.25">
      <c r="B17" s="71" t="s">
        <v>63</v>
      </c>
      <c r="C17" s="71"/>
      <c r="D17" s="71"/>
    </row>
    <row r="18" spans="2:4" ht="30" customHeight="1" x14ac:dyDescent="0.25">
      <c r="B18" s="72"/>
      <c r="C18" s="72"/>
      <c r="D18" s="72"/>
    </row>
    <row r="19" spans="2:4" ht="17.100000000000001" customHeight="1" x14ac:dyDescent="0.25"/>
    <row r="20" spans="2:4" ht="17.100000000000001" customHeight="1" x14ac:dyDescent="0.25"/>
    <row r="21" spans="2:4" ht="17.100000000000001" customHeight="1" x14ac:dyDescent="0.4">
      <c r="C21" s="44"/>
    </row>
    <row r="22" spans="2:4" ht="17.100000000000001" customHeight="1" x14ac:dyDescent="0.4">
      <c r="C22" s="44"/>
    </row>
    <row r="23" spans="2:4" ht="17.100000000000001" customHeight="1" x14ac:dyDescent="0.4">
      <c r="C23" s="44" t="s">
        <v>64</v>
      </c>
    </row>
    <row r="24" spans="2:4" ht="17.100000000000001" customHeight="1" x14ac:dyDescent="0.25">
      <c r="C24" s="43"/>
    </row>
    <row r="25" spans="2:4" ht="17.100000000000001" customHeight="1" x14ac:dyDescent="0.25">
      <c r="C25" s="43" t="s">
        <v>51</v>
      </c>
    </row>
    <row r="26" spans="2:4" ht="17.100000000000001" customHeight="1" x14ac:dyDescent="0.25">
      <c r="C26"/>
    </row>
    <row r="27" spans="2:4" ht="17.100000000000001" customHeight="1" x14ac:dyDescent="0.25">
      <c r="C27"/>
    </row>
    <row r="28" spans="2:4" ht="17.100000000000001" customHeight="1" x14ac:dyDescent="0.25">
      <c r="C28"/>
    </row>
    <row r="29" spans="2:4" ht="17.100000000000001" customHeight="1" x14ac:dyDescent="0.25">
      <c r="C29"/>
    </row>
    <row r="30" spans="2:4" ht="17.100000000000001" customHeight="1" x14ac:dyDescent="0.25">
      <c r="C30"/>
    </row>
    <row r="31" spans="2:4" ht="21.6" customHeight="1" x14ac:dyDescent="0.25">
      <c r="C31"/>
    </row>
    <row r="32" spans="2:4" ht="17.100000000000001" customHeight="1" x14ac:dyDescent="0.25">
      <c r="C32" s="61">
        <f>Faktura3468923242526[[#Totals],[BELOPP]]</f>
        <v>2611.1473809523809</v>
      </c>
    </row>
    <row r="33" ht="17.100000000000001" customHeight="1" x14ac:dyDescent="0.25"/>
  </sheetData>
  <sheetProtection sheet="1" objects="1" scenarios="1"/>
  <mergeCells count="3">
    <mergeCell ref="C1:D1"/>
    <mergeCell ref="B17:D17"/>
    <mergeCell ref="B18:D18"/>
  </mergeCells>
  <dataValidations count="19">
    <dataValidation allowBlank="1" showInputMessage="1" showErrorMessage="1" prompt="Företagets namn läggs automatiskt till i den här cellen" sqref="B16" xr:uid="{B3D2DD7B-1292-45B4-B3F5-1C2605E16977}"/>
    <dataValidation allowBlank="1" showInputMessage="1" showErrorMessage="1" prompt="Ange faktureringsföretagets kontaktnamn, telefonnummer och e-post i den här cellen" sqref="B17:D17" xr:uid="{ECC8791A-1F3A-4DF7-B2BD-2FA6159717A6}"/>
    <dataValidation allowBlank="1" showInputMessage="1" showErrorMessage="1" prompt="Ange belopp i den här kolumnen under rubriken för varje beskrivning i kolumn B. Den sista cellen i tabellen innehåller totalsumman som ska betalas" sqref="D7" xr:uid="{E2895E77-7439-4650-912A-47CE6A3A13D5}"/>
    <dataValidation allowBlank="1" showInputMessage="1" showErrorMessage="1" prompt="Ange anpassat fält i den här rubriken och motsvarande data i den här kolumnen under denna rubrik" sqref="C7" xr:uid="{69B49CF9-0478-4B14-B56F-35806A8E1C72}"/>
    <dataValidation allowBlank="1" showInputMessage="1" showErrorMessage="1" prompt="Ange fakturabeskrivning i den här kolumnen under den här rubriken" sqref="B7" xr:uid="{05B91A23-7A26-45A2-B119-DB953D39EBE6}"/>
    <dataValidation allowBlank="1" showInputMessage="1" showErrorMessage="1" prompt="Ange kundens telefonnummer i den här cellen" sqref="B6" xr:uid="{76A677DB-124A-4719-8C17-B5E10E3537BD}"/>
    <dataValidation allowBlank="1" showInputMessage="1" showErrorMessage="1" prompt="Ange telefon- och faxnummer inom parentes i den här cellen" sqref="B5" xr:uid="{956AE531-1B22-48B2-BE19-33CEFC40F4EB}"/>
    <dataValidation allowBlank="1" showInputMessage="1" showErrorMessage="1" prompt="Ange postnummer och ort i den här cellen" sqref="B4" xr:uid="{D0002B6E-8532-4604-AABB-1104AE012873}"/>
    <dataValidation allowBlank="1" showInputMessage="1" showErrorMessage="1" prompt="Ange företagets gatuadress i den här cellen" sqref="B3" xr:uid="{FE9E5101-A74F-4904-842B-664B38185367}"/>
    <dataValidation allowBlank="1" showInputMessage="1" showErrorMessage="1" prompt="Ange företagets slogan i den här cellen och företagsadress i cellen nedan" sqref="B2" xr:uid="{8768666C-C4E1-4DB9-B0EE-35338443E4B0}"/>
    <dataValidation allowBlank="1" showInputMessage="1" showErrorMessage="1" prompt="Ange produktbeskrivning för faktura i denna cell" sqref="D5" xr:uid="{ACC92F86-7585-44D4-8EF0-690BEE53CFB3}"/>
    <dataValidation allowBlank="1" showInputMessage="1" showErrorMessage="1" prompt="Ange fakturans produktbeskrivning i cellen till höger" sqref="C5" xr:uid="{FCAEA3F0-B370-414E-803D-03C15ADF8AB8}"/>
    <dataValidation allowBlank="1" showInputMessage="1" showErrorMessage="1" prompt="Ange fakturanummer i cellen till höger" sqref="C4" xr:uid="{B3880F05-5A50-4623-A223-1C86A03AEABB}"/>
    <dataValidation allowBlank="1" showInputMessage="1" showErrorMessage="1" prompt="Ange fakturanummer i den här cellen" sqref="D4" xr:uid="{FFC3317A-E4A7-4F82-A649-192105239DFC}"/>
    <dataValidation allowBlank="1" showInputMessage="1" showErrorMessage="1" prompt="Ange fakturadatum i cellen till höger" sqref="C3" xr:uid="{719002B4-F4BD-4683-BE55-5D554C507DDB}"/>
    <dataValidation allowBlank="1" showInputMessage="1" showErrorMessage="1" prompt="Ange fakturadatum i den här cellen" sqref="D3" xr:uid="{95633109-3A0C-40EE-9622-9ED971204657}"/>
    <dataValidation allowBlank="1" showInputMessage="1" showErrorMessage="1" prompt="Lägg till faktureringsföretagets namn i den här cellen och dess slogan i cellen nedan" sqref="B1" xr:uid="{4C612F39-D3B9-4CC9-A0B0-F6B850B28B78}"/>
    <dataValidation allowBlank="1" showInputMessage="1" showErrorMessage="1" prompt="Skapa en faktura som beräknar summan i det här kalkylbladet. Ange företags- och kundinformation, och beskrivningar och belopp i tabellen Faktura. Totalsumman beräknas automatiskt" sqref="A1" xr:uid="{EF512C2F-D3BC-40AC-8009-41A74BBC282B}"/>
    <dataValidation allowBlank="1" showInputMessage="1" showErrorMessage="1" prompt="Den här cellen innehåller kalkylbladets rubrik. Ange fakturainformation i cell C3 till D5" sqref="C1:D1" xr:uid="{5CD17F7D-4E81-4A97-A8E7-D4886828C93E}"/>
  </dataValidations>
  <printOptions horizontalCentered="1"/>
  <pageMargins left="0" right="0" top="0.55118110236220474" bottom="0.31496062992125984" header="0" footer="0"/>
  <pageSetup paperSize="9" fitToHeight="0" orientation="portrait" r:id="rId1"/>
  <ignoredErrors>
    <ignoredError sqref="C8:D10" calculatedColumn="1"/>
  </ignoredErrors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DEFE1-D451-4396-AB4D-9B388DDB7378}">
  <sheetPr>
    <tabColor theme="0" tint="-0.249977111117893"/>
    <pageSetUpPr fitToPage="1"/>
  </sheetPr>
  <dimension ref="B1:D33"/>
  <sheetViews>
    <sheetView showGridLines="0" view="pageLayout" zoomScaleNormal="100" workbookViewId="0">
      <selection activeCell="D8" sqref="D8"/>
    </sheetView>
  </sheetViews>
  <sheetFormatPr defaultColWidth="9.140625" defaultRowHeight="30" customHeight="1" x14ac:dyDescent="0.25"/>
  <cols>
    <col min="1" max="1" width="3" style="46" customWidth="1"/>
    <col min="2" max="2" width="55.42578125" style="46" customWidth="1"/>
    <col min="3" max="3" width="21.140625" style="46" bestFit="1" customWidth="1"/>
    <col min="4" max="4" width="22.7109375" style="46" customWidth="1"/>
    <col min="5" max="5" width="3" style="46" customWidth="1"/>
    <col min="6" max="16384" width="9.140625" style="46"/>
  </cols>
  <sheetData>
    <row r="1" spans="2:4" ht="34.5" customHeight="1" x14ac:dyDescent="0.45">
      <c r="B1" s="45" t="s">
        <v>51</v>
      </c>
      <c r="C1" s="70" t="s">
        <v>52</v>
      </c>
      <c r="D1" s="70"/>
    </row>
    <row r="2" spans="2:4" ht="30" customHeight="1" x14ac:dyDescent="0.25">
      <c r="B2" s="47"/>
    </row>
    <row r="3" spans="2:4" ht="30" customHeight="1" x14ac:dyDescent="0.25">
      <c r="B3" s="46" t="str">
        <f>"Gräsvägen " &amp; Gräsv.26!$A$1</f>
        <v>Gräsvägen 26</v>
      </c>
      <c r="C3" s="48" t="s">
        <v>53</v>
      </c>
      <c r="D3" s="49">
        <f ca="1">TODAY()</f>
        <v>45806</v>
      </c>
    </row>
    <row r="4" spans="2:4" ht="15" customHeight="1" x14ac:dyDescent="0.25">
      <c r="B4" s="46" t="s">
        <v>54</v>
      </c>
      <c r="C4" s="48"/>
      <c r="D4" s="50"/>
    </row>
    <row r="5" spans="2:4" ht="30" customHeight="1" x14ac:dyDescent="0.25">
      <c r="B5" s="51"/>
      <c r="C5" s="52"/>
      <c r="D5" s="53"/>
    </row>
    <row r="6" spans="2:4" ht="30" customHeight="1" x14ac:dyDescent="0.25">
      <c r="B6" s="51"/>
    </row>
    <row r="7" spans="2:4" ht="30" customHeight="1" x14ac:dyDescent="0.25">
      <c r="B7" s="54" t="s">
        <v>55</v>
      </c>
      <c r="C7" s="55" t="s">
        <v>56</v>
      </c>
      <c r="D7" s="54" t="s">
        <v>57</v>
      </c>
    </row>
    <row r="8" spans="2:4" ht="27.2" customHeight="1" x14ac:dyDescent="0.25">
      <c r="B8" s="56" t="s">
        <v>58</v>
      </c>
      <c r="C8" t="str">
        <f>Gräsv.26!$D$3 &amp; "m³ X " &amp;Gräsv.26!$F$3</f>
        <v>28m³ X 24</v>
      </c>
      <c r="D8" s="16">
        <f>Gräsv.26!$G$3</f>
        <v>636</v>
      </c>
    </row>
    <row r="9" spans="2:4" ht="27.2" customHeight="1" x14ac:dyDescent="0.25">
      <c r="B9" s="56" t="s">
        <v>59</v>
      </c>
      <c r="C9" s="56"/>
      <c r="D9" s="16">
        <f>Gräsv.26!$H$3</f>
        <v>879.14738095238101</v>
      </c>
    </row>
    <row r="10" spans="2:4" ht="27.2" customHeight="1" x14ac:dyDescent="0.25">
      <c r="B10" s="56" t="s">
        <v>60</v>
      </c>
      <c r="C10" s="56" t="s">
        <v>61</v>
      </c>
      <c r="D10" s="9">
        <f>Gräsv.26!$I$3</f>
        <v>1000</v>
      </c>
    </row>
    <row r="11" spans="2:4" ht="27.2" customHeight="1" x14ac:dyDescent="0.25">
      <c r="B11" s="56"/>
      <c r="C11" s="56"/>
      <c r="D11" s="59"/>
    </row>
    <row r="12" spans="2:4" ht="27.2" customHeight="1" x14ac:dyDescent="0.25">
      <c r="B12" s="56"/>
      <c r="C12" s="56"/>
      <c r="D12" s="59"/>
    </row>
    <row r="13" spans="2:4" ht="27.2" customHeight="1" x14ac:dyDescent="0.25">
      <c r="B13" s="56"/>
      <c r="C13" s="56"/>
      <c r="D13" s="59"/>
    </row>
    <row r="14" spans="2:4" ht="27.2" customHeight="1" x14ac:dyDescent="0.25">
      <c r="B14" s="56"/>
      <c r="C14" s="56"/>
      <c r="D14" s="59"/>
    </row>
    <row r="15" spans="2:4" ht="30" customHeight="1" x14ac:dyDescent="0.25">
      <c r="B15" s="57"/>
      <c r="C15" s="58" t="s">
        <v>62</v>
      </c>
      <c r="D15" s="60">
        <f>SUBTOTAL(109,Faktura346892324252627[BELOPP])</f>
        <v>2515.1473809523809</v>
      </c>
    </row>
    <row r="17" spans="2:4" ht="30" customHeight="1" x14ac:dyDescent="0.25">
      <c r="B17" s="71" t="s">
        <v>63</v>
      </c>
      <c r="C17" s="71"/>
      <c r="D17" s="71"/>
    </row>
    <row r="18" spans="2:4" ht="30" customHeight="1" x14ac:dyDescent="0.25">
      <c r="B18" s="72"/>
      <c r="C18" s="72"/>
      <c r="D18" s="72"/>
    </row>
    <row r="19" spans="2:4" ht="17.100000000000001" customHeight="1" x14ac:dyDescent="0.25"/>
    <row r="20" spans="2:4" ht="17.100000000000001" customHeight="1" x14ac:dyDescent="0.25"/>
    <row r="21" spans="2:4" ht="17.100000000000001" customHeight="1" x14ac:dyDescent="0.4">
      <c r="C21" s="44"/>
    </row>
    <row r="22" spans="2:4" ht="17.100000000000001" customHeight="1" x14ac:dyDescent="0.4">
      <c r="C22" s="44"/>
    </row>
    <row r="23" spans="2:4" ht="17.100000000000001" customHeight="1" x14ac:dyDescent="0.4">
      <c r="C23" s="44" t="s">
        <v>64</v>
      </c>
    </row>
    <row r="24" spans="2:4" ht="17.100000000000001" customHeight="1" x14ac:dyDescent="0.25">
      <c r="C24" s="43"/>
    </row>
    <row r="25" spans="2:4" ht="17.100000000000001" customHeight="1" x14ac:dyDescent="0.25">
      <c r="C25" s="43" t="s">
        <v>51</v>
      </c>
    </row>
    <row r="26" spans="2:4" ht="17.100000000000001" customHeight="1" x14ac:dyDescent="0.25">
      <c r="C26"/>
    </row>
    <row r="27" spans="2:4" ht="17.100000000000001" customHeight="1" x14ac:dyDescent="0.25">
      <c r="C27"/>
    </row>
    <row r="28" spans="2:4" ht="17.100000000000001" customHeight="1" x14ac:dyDescent="0.25">
      <c r="C28"/>
    </row>
    <row r="29" spans="2:4" ht="17.100000000000001" customHeight="1" x14ac:dyDescent="0.25">
      <c r="C29"/>
    </row>
    <row r="30" spans="2:4" ht="17.100000000000001" customHeight="1" x14ac:dyDescent="0.25">
      <c r="C30"/>
    </row>
    <row r="31" spans="2:4" ht="21.6" customHeight="1" x14ac:dyDescent="0.25">
      <c r="C31"/>
    </row>
    <row r="32" spans="2:4" ht="17.100000000000001" customHeight="1" x14ac:dyDescent="0.25">
      <c r="C32" s="61">
        <f>Faktura346892324252627[[#Totals],[BELOPP]]</f>
        <v>2515.1473809523809</v>
      </c>
    </row>
    <row r="33" ht="17.100000000000001" customHeight="1" x14ac:dyDescent="0.25"/>
  </sheetData>
  <sheetProtection sheet="1" objects="1" scenarios="1"/>
  <mergeCells count="3">
    <mergeCell ref="C1:D1"/>
    <mergeCell ref="B17:D17"/>
    <mergeCell ref="B18:D18"/>
  </mergeCells>
  <dataValidations count="19">
    <dataValidation allowBlank="1" showInputMessage="1" showErrorMessage="1" prompt="Den här cellen innehåller kalkylbladets rubrik. Ange fakturainformation i cell C3 till D5" sqref="C1:D1" xr:uid="{7F0458CA-BA0F-4330-B9A3-AF8925666E1C}"/>
    <dataValidation allowBlank="1" showInputMessage="1" showErrorMessage="1" prompt="Skapa en faktura som beräknar summan i det här kalkylbladet. Ange företags- och kundinformation, och beskrivningar och belopp i tabellen Faktura. Totalsumman beräknas automatiskt" sqref="A1" xr:uid="{A0FDBC78-27E6-4436-8FB5-C0113ACF4421}"/>
    <dataValidation allowBlank="1" showInputMessage="1" showErrorMessage="1" prompt="Lägg till faktureringsföretagets namn i den här cellen och dess slogan i cellen nedan" sqref="B1" xr:uid="{7F60C430-CE1A-4276-B900-54C0B794BB51}"/>
    <dataValidation allowBlank="1" showInputMessage="1" showErrorMessage="1" prompt="Ange fakturadatum i den här cellen" sqref="D3" xr:uid="{35A240F8-AE81-4740-A17B-F5E3A6212350}"/>
    <dataValidation allowBlank="1" showInputMessage="1" showErrorMessage="1" prompt="Ange fakturadatum i cellen till höger" sqref="C3" xr:uid="{0E8E36C4-E509-43E2-BC46-37A0A89CE88C}"/>
    <dataValidation allowBlank="1" showInputMessage="1" showErrorMessage="1" prompt="Ange fakturanummer i den här cellen" sqref="D4" xr:uid="{EEC31244-5E91-48D8-A94E-EA92B9169836}"/>
    <dataValidation allowBlank="1" showInputMessage="1" showErrorMessage="1" prompt="Ange fakturanummer i cellen till höger" sqref="C4" xr:uid="{DB5BB0DC-8758-48B5-AE48-3072AA974E91}"/>
    <dataValidation allowBlank="1" showInputMessage="1" showErrorMessage="1" prompt="Ange fakturans produktbeskrivning i cellen till höger" sqref="C5" xr:uid="{FD970D0A-9684-4277-9EF1-82E42B6B34FA}"/>
    <dataValidation allowBlank="1" showInputMessage="1" showErrorMessage="1" prompt="Ange produktbeskrivning för faktura i denna cell" sqref="D5" xr:uid="{53D0519F-6E5A-4354-9DD5-25FF1B452924}"/>
    <dataValidation allowBlank="1" showInputMessage="1" showErrorMessage="1" prompt="Ange företagets slogan i den här cellen och företagsadress i cellen nedan" sqref="B2" xr:uid="{0F4DC2E4-035A-4627-B91D-4B3C3ACC894D}"/>
    <dataValidation allowBlank="1" showInputMessage="1" showErrorMessage="1" prompt="Ange företagets gatuadress i den här cellen" sqref="B3" xr:uid="{0555D770-876D-4B59-930F-D3E05320C452}"/>
    <dataValidation allowBlank="1" showInputMessage="1" showErrorMessage="1" prompt="Ange postnummer och ort i den här cellen" sqref="B4" xr:uid="{DE390BF8-FCEC-4E05-A4FB-6EB2FFEF8746}"/>
    <dataValidation allowBlank="1" showInputMessage="1" showErrorMessage="1" prompt="Ange telefon- och faxnummer inom parentes i den här cellen" sqref="B5" xr:uid="{36D7069C-8F6E-4424-A707-7A57D84ECDEF}"/>
    <dataValidation allowBlank="1" showInputMessage="1" showErrorMessage="1" prompt="Ange kundens telefonnummer i den här cellen" sqref="B6" xr:uid="{BC4606E8-0BD3-4FAE-B096-177690E1B5D4}"/>
    <dataValidation allowBlank="1" showInputMessage="1" showErrorMessage="1" prompt="Ange fakturabeskrivning i den här kolumnen under den här rubriken" sqref="B7" xr:uid="{294E4345-22F6-4F9F-BAD7-D82F2DD7B1C7}"/>
    <dataValidation allowBlank="1" showInputMessage="1" showErrorMessage="1" prompt="Ange anpassat fält i den här rubriken och motsvarande data i den här kolumnen under denna rubrik" sqref="C7" xr:uid="{43BF18D2-A6B8-426F-821D-FDCF12230A5F}"/>
    <dataValidation allowBlank="1" showInputMessage="1" showErrorMessage="1" prompt="Ange belopp i den här kolumnen under rubriken för varje beskrivning i kolumn B. Den sista cellen i tabellen innehåller totalsumman som ska betalas" sqref="D7" xr:uid="{C8778CDD-5B5F-4CAA-A2DF-D696B7B5D1D5}"/>
    <dataValidation allowBlank="1" showInputMessage="1" showErrorMessage="1" prompt="Ange faktureringsföretagets kontaktnamn, telefonnummer och e-post i den här cellen" sqref="B17:D17" xr:uid="{16463EC1-363B-4D52-852E-2E88B5DDAC5F}"/>
    <dataValidation allowBlank="1" showInputMessage="1" showErrorMessage="1" prompt="Företagets namn läggs automatiskt till i den här cellen" sqref="B16" xr:uid="{78003C1D-42EF-4131-95F4-AEAB76D90AE9}"/>
  </dataValidations>
  <printOptions horizontalCentered="1"/>
  <pageMargins left="0" right="0" top="0.55118110236220474" bottom="0.31496062992125984" header="0" footer="0"/>
  <pageSetup paperSize="9" fitToHeight="0" orientation="portrait" r:id="rId1"/>
  <ignoredErrors>
    <ignoredError sqref="C8:D10" calculatedColumn="1"/>
  </ignoredErrors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3FFE5-896C-4D93-867A-FD3ED0C8ABB9}">
  <sheetPr>
    <tabColor theme="0" tint="-0.249977111117893"/>
    <pageSetUpPr fitToPage="1"/>
  </sheetPr>
  <dimension ref="B1:D33"/>
  <sheetViews>
    <sheetView showGridLines="0" view="pageLayout" zoomScaleNormal="100" workbookViewId="0">
      <selection activeCell="D8" sqref="D8"/>
    </sheetView>
  </sheetViews>
  <sheetFormatPr defaultColWidth="9.140625" defaultRowHeight="30" customHeight="1" x14ac:dyDescent="0.25"/>
  <cols>
    <col min="1" max="1" width="3" style="46" customWidth="1"/>
    <col min="2" max="2" width="55.42578125" style="46" customWidth="1"/>
    <col min="3" max="3" width="21.140625" style="46" bestFit="1" customWidth="1"/>
    <col min="4" max="4" width="22.7109375" style="46" customWidth="1"/>
    <col min="5" max="5" width="3" style="46" customWidth="1"/>
    <col min="6" max="16384" width="9.140625" style="46"/>
  </cols>
  <sheetData>
    <row r="1" spans="2:4" ht="34.5" customHeight="1" x14ac:dyDescent="0.45">
      <c r="B1" s="45" t="s">
        <v>51</v>
      </c>
      <c r="C1" s="70" t="s">
        <v>52</v>
      </c>
      <c r="D1" s="70"/>
    </row>
    <row r="2" spans="2:4" ht="30" customHeight="1" x14ac:dyDescent="0.25">
      <c r="B2" s="47"/>
    </row>
    <row r="3" spans="2:4" ht="30" customHeight="1" x14ac:dyDescent="0.25">
      <c r="B3" s="46" t="str">
        <f>"Gräsvägen " &amp; Gräsv.28!$A$1</f>
        <v>Gräsvägen 28</v>
      </c>
      <c r="C3" s="48" t="s">
        <v>53</v>
      </c>
      <c r="D3" s="49">
        <f ca="1">TODAY()</f>
        <v>45806</v>
      </c>
    </row>
    <row r="4" spans="2:4" ht="15" customHeight="1" x14ac:dyDescent="0.25">
      <c r="B4" s="46" t="s">
        <v>54</v>
      </c>
      <c r="C4" s="48"/>
      <c r="D4" s="50"/>
    </row>
    <row r="5" spans="2:4" ht="30" customHeight="1" x14ac:dyDescent="0.25">
      <c r="B5" s="51"/>
      <c r="C5" s="52"/>
      <c r="D5" s="53"/>
    </row>
    <row r="6" spans="2:4" ht="30" customHeight="1" x14ac:dyDescent="0.25">
      <c r="B6" s="51"/>
    </row>
    <row r="7" spans="2:4" ht="30" customHeight="1" x14ac:dyDescent="0.25">
      <c r="B7" s="54" t="s">
        <v>55</v>
      </c>
      <c r="C7" s="55" t="s">
        <v>56</v>
      </c>
      <c r="D7" s="54" t="s">
        <v>57</v>
      </c>
    </row>
    <row r="8" spans="2:4" ht="27.2" customHeight="1" x14ac:dyDescent="0.25">
      <c r="B8" s="56" t="s">
        <v>58</v>
      </c>
      <c r="C8" t="str">
        <f>Gräsv.28!$D$3 &amp; "m³ X " &amp;Gräsv.28!$F$3</f>
        <v>18m³ X 24</v>
      </c>
      <c r="D8" s="16">
        <f>Gräsv.28!$G$3</f>
        <v>396</v>
      </c>
    </row>
    <row r="9" spans="2:4" ht="27.2" customHeight="1" x14ac:dyDescent="0.25">
      <c r="B9" s="56" t="s">
        <v>59</v>
      </c>
      <c r="C9" s="56"/>
      <c r="D9" s="16">
        <f>Gräsv.28!$H$3</f>
        <v>879.14738095238101</v>
      </c>
    </row>
    <row r="10" spans="2:4" ht="27.2" customHeight="1" x14ac:dyDescent="0.25">
      <c r="B10" s="56" t="s">
        <v>60</v>
      </c>
      <c r="C10" s="56" t="s">
        <v>61</v>
      </c>
      <c r="D10" s="9">
        <f>Gräsv.28!$I$3</f>
        <v>1000</v>
      </c>
    </row>
    <row r="11" spans="2:4" ht="27.2" customHeight="1" x14ac:dyDescent="0.25">
      <c r="B11" s="56"/>
      <c r="C11" s="56"/>
      <c r="D11" s="59"/>
    </row>
    <row r="12" spans="2:4" ht="27.2" customHeight="1" x14ac:dyDescent="0.25">
      <c r="B12" s="56"/>
      <c r="C12" s="56"/>
      <c r="D12" s="59"/>
    </row>
    <row r="13" spans="2:4" ht="27.2" customHeight="1" x14ac:dyDescent="0.25">
      <c r="B13" s="56"/>
      <c r="C13" s="56"/>
      <c r="D13" s="59"/>
    </row>
    <row r="14" spans="2:4" ht="27.2" customHeight="1" x14ac:dyDescent="0.25">
      <c r="B14" s="56"/>
      <c r="C14" s="56"/>
      <c r="D14" s="59"/>
    </row>
    <row r="15" spans="2:4" ht="30" customHeight="1" x14ac:dyDescent="0.25">
      <c r="B15" s="57"/>
      <c r="C15" s="58" t="s">
        <v>62</v>
      </c>
      <c r="D15" s="60">
        <f>SUBTOTAL(109,Faktura34689232425262728[BELOPP])</f>
        <v>2275.1473809523809</v>
      </c>
    </row>
    <row r="17" spans="2:4" ht="30" customHeight="1" x14ac:dyDescent="0.25">
      <c r="B17" s="71" t="s">
        <v>63</v>
      </c>
      <c r="C17" s="71"/>
      <c r="D17" s="71"/>
    </row>
    <row r="18" spans="2:4" ht="30" customHeight="1" x14ac:dyDescent="0.25">
      <c r="B18" s="72"/>
      <c r="C18" s="72"/>
      <c r="D18" s="72"/>
    </row>
    <row r="19" spans="2:4" ht="17.100000000000001" customHeight="1" x14ac:dyDescent="0.25"/>
    <row r="20" spans="2:4" ht="17.100000000000001" customHeight="1" x14ac:dyDescent="0.25"/>
    <row r="21" spans="2:4" ht="17.100000000000001" customHeight="1" x14ac:dyDescent="0.4">
      <c r="C21" s="44"/>
    </row>
    <row r="22" spans="2:4" ht="17.100000000000001" customHeight="1" x14ac:dyDescent="0.4">
      <c r="C22" s="44"/>
    </row>
    <row r="23" spans="2:4" ht="17.100000000000001" customHeight="1" x14ac:dyDescent="0.4">
      <c r="C23" s="44" t="s">
        <v>64</v>
      </c>
    </row>
    <row r="24" spans="2:4" ht="17.100000000000001" customHeight="1" x14ac:dyDescent="0.25">
      <c r="C24" s="43"/>
    </row>
    <row r="25" spans="2:4" ht="17.100000000000001" customHeight="1" x14ac:dyDescent="0.25">
      <c r="C25" s="43" t="s">
        <v>51</v>
      </c>
    </row>
    <row r="26" spans="2:4" ht="17.100000000000001" customHeight="1" x14ac:dyDescent="0.25">
      <c r="C26"/>
    </row>
    <row r="27" spans="2:4" ht="17.100000000000001" customHeight="1" x14ac:dyDescent="0.25">
      <c r="C27"/>
    </row>
    <row r="28" spans="2:4" ht="17.100000000000001" customHeight="1" x14ac:dyDescent="0.25">
      <c r="C28"/>
    </row>
    <row r="29" spans="2:4" ht="17.100000000000001" customHeight="1" x14ac:dyDescent="0.25">
      <c r="C29"/>
    </row>
    <row r="30" spans="2:4" ht="17.100000000000001" customHeight="1" x14ac:dyDescent="0.25">
      <c r="C30"/>
    </row>
    <row r="31" spans="2:4" ht="21.6" customHeight="1" x14ac:dyDescent="0.25">
      <c r="C31"/>
    </row>
    <row r="32" spans="2:4" ht="17.100000000000001" customHeight="1" x14ac:dyDescent="0.25">
      <c r="C32" s="61">
        <f>Faktura34689232425262728[[#Totals],[BELOPP]]</f>
        <v>2275.1473809523809</v>
      </c>
    </row>
    <row r="33" ht="17.100000000000001" customHeight="1" x14ac:dyDescent="0.25"/>
  </sheetData>
  <sheetProtection sheet="1" objects="1" scenarios="1"/>
  <mergeCells count="3">
    <mergeCell ref="C1:D1"/>
    <mergeCell ref="B17:D17"/>
    <mergeCell ref="B18:D18"/>
  </mergeCells>
  <dataValidations count="19">
    <dataValidation allowBlank="1" showInputMessage="1" showErrorMessage="1" prompt="Företagets namn läggs automatiskt till i den här cellen" sqref="B16" xr:uid="{5A209B2C-9346-443C-B31F-71E7D3DC6B34}"/>
    <dataValidation allowBlank="1" showInputMessage="1" showErrorMessage="1" prompt="Ange faktureringsföretagets kontaktnamn, telefonnummer och e-post i den här cellen" sqref="B17:D17" xr:uid="{4A426DDE-F3A3-46B7-BBB4-68895D3E4A6C}"/>
    <dataValidation allowBlank="1" showInputMessage="1" showErrorMessage="1" prompt="Ange belopp i den här kolumnen under rubriken för varje beskrivning i kolumn B. Den sista cellen i tabellen innehåller totalsumman som ska betalas" sqref="D7" xr:uid="{E6E29842-33BB-4AF6-BE5D-0E1EF5B49DC4}"/>
    <dataValidation allowBlank="1" showInputMessage="1" showErrorMessage="1" prompt="Ange anpassat fält i den här rubriken och motsvarande data i den här kolumnen under denna rubrik" sqref="C7" xr:uid="{F781823C-BA83-40D2-951A-1BD1A180C4F6}"/>
    <dataValidation allowBlank="1" showInputMessage="1" showErrorMessage="1" prompt="Ange fakturabeskrivning i den här kolumnen under den här rubriken" sqref="B7" xr:uid="{51ABB577-E71D-4098-B3BB-405FDC93D6E3}"/>
    <dataValidation allowBlank="1" showInputMessage="1" showErrorMessage="1" prompt="Ange kundens telefonnummer i den här cellen" sqref="B6" xr:uid="{9E1A2A4F-9DD8-472A-A92F-FDF8741BB2A0}"/>
    <dataValidation allowBlank="1" showInputMessage="1" showErrorMessage="1" prompt="Ange telefon- och faxnummer inom parentes i den här cellen" sqref="B5" xr:uid="{66FF254A-BD8D-483F-91E6-53E8CA4B4A42}"/>
    <dataValidation allowBlank="1" showInputMessage="1" showErrorMessage="1" prompt="Ange postnummer och ort i den här cellen" sqref="B4" xr:uid="{1F93A3AA-FACD-44D6-B4F4-7716FDC092D9}"/>
    <dataValidation allowBlank="1" showInputMessage="1" showErrorMessage="1" prompt="Ange företagets gatuadress i den här cellen" sqref="B3" xr:uid="{0CF5DAAD-3A69-4D14-8F58-F501B407F5E6}"/>
    <dataValidation allowBlank="1" showInputMessage="1" showErrorMessage="1" prompt="Ange företagets slogan i den här cellen och företagsadress i cellen nedan" sqref="B2" xr:uid="{F788C11B-7882-427C-AB3B-2C91606DF6B3}"/>
    <dataValidation allowBlank="1" showInputMessage="1" showErrorMessage="1" prompt="Ange produktbeskrivning för faktura i denna cell" sqref="D5" xr:uid="{7DA62712-7296-4A09-B032-CA6207A33B5C}"/>
    <dataValidation allowBlank="1" showInputMessage="1" showErrorMessage="1" prompt="Ange fakturans produktbeskrivning i cellen till höger" sqref="C5" xr:uid="{48B671C0-D05D-41B7-820E-4E7F36821D3E}"/>
    <dataValidation allowBlank="1" showInputMessage="1" showErrorMessage="1" prompt="Ange fakturanummer i cellen till höger" sqref="C4" xr:uid="{EE9FA9B5-64AF-4112-A2C5-131205D774CB}"/>
    <dataValidation allowBlank="1" showInputMessage="1" showErrorMessage="1" prompt="Ange fakturanummer i den här cellen" sqref="D4" xr:uid="{2D5024D8-14FD-4452-AF7C-3EE342A6C97A}"/>
    <dataValidation allowBlank="1" showInputMessage="1" showErrorMessage="1" prompt="Ange fakturadatum i cellen till höger" sqref="C3" xr:uid="{28C0C529-DC7A-42E7-880C-F56C0E931467}"/>
    <dataValidation allowBlank="1" showInputMessage="1" showErrorMessage="1" prompt="Ange fakturadatum i den här cellen" sqref="D3" xr:uid="{7D6EA96F-AD45-41C1-A406-3ED9CFEC54BB}"/>
    <dataValidation allowBlank="1" showInputMessage="1" showErrorMessage="1" prompt="Lägg till faktureringsföretagets namn i den här cellen och dess slogan i cellen nedan" sqref="B1" xr:uid="{57E57DEE-C174-4E4A-B97C-612C411311E6}"/>
    <dataValidation allowBlank="1" showInputMessage="1" showErrorMessage="1" prompt="Skapa en faktura som beräknar summan i det här kalkylbladet. Ange företags- och kundinformation, och beskrivningar och belopp i tabellen Faktura. Totalsumman beräknas automatiskt" sqref="A1" xr:uid="{F2AEFB6A-75D6-46E4-8BED-5A9831B2E9D5}"/>
    <dataValidation allowBlank="1" showInputMessage="1" showErrorMessage="1" prompt="Den här cellen innehåller kalkylbladets rubrik. Ange fakturainformation i cell C3 till D5" sqref="C1:D1" xr:uid="{610E55A7-F3DD-41ED-8FD4-9C8740BE2462}"/>
  </dataValidations>
  <printOptions horizontalCentered="1"/>
  <pageMargins left="0" right="0" top="0.55118110236220474" bottom="0.31496062992125984" header="0" footer="0"/>
  <pageSetup paperSize="9" fitToHeight="0" orientation="portrait" r:id="rId1"/>
  <ignoredErrors>
    <ignoredError sqref="C8:D10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L60"/>
  <sheetViews>
    <sheetView workbookViewId="0">
      <selection activeCell="L3" sqref="L3"/>
    </sheetView>
  </sheetViews>
  <sheetFormatPr defaultRowHeight="15" x14ac:dyDescent="0.25"/>
  <cols>
    <col min="1" max="1" width="20.28515625" customWidth="1"/>
    <col min="2" max="2" width="13" bestFit="1" customWidth="1"/>
    <col min="3" max="3" width="13.85546875" bestFit="1" customWidth="1"/>
    <col min="4" max="5" width="15.140625" customWidth="1"/>
    <col min="6" max="6" width="11.140625" customWidth="1"/>
    <col min="7" max="7" width="21" bestFit="1" customWidth="1"/>
    <col min="8" max="8" width="10.28515625" bestFit="1" customWidth="1"/>
    <col min="11" max="11" width="9.140625" customWidth="1"/>
  </cols>
  <sheetData>
    <row r="1" spans="1:12" x14ac:dyDescent="0.25">
      <c r="A1">
        <v>6</v>
      </c>
      <c r="J1" s="6" t="s">
        <v>31</v>
      </c>
    </row>
    <row r="2" spans="1:12" x14ac:dyDescent="0.25">
      <c r="J2" s="5" t="s">
        <v>32</v>
      </c>
    </row>
    <row r="3" spans="1:12" x14ac:dyDescent="0.25">
      <c r="B3">
        <f>VLOOKUP('Huvud mätare'!$A1,$A5:$K87,2)</f>
        <v>2502</v>
      </c>
      <c r="C3">
        <f>VLOOKUP('Huvud mätare'!$A1,$A5:$K87,3)</f>
        <v>2476</v>
      </c>
      <c r="D3">
        <f>VLOOKUP('Huvud mätare'!$A1,$A5:$K87,4)</f>
        <v>26</v>
      </c>
      <c r="E3">
        <f>VLOOKUP('Huvud mätare'!$A1,$A5:$K87,5)</f>
        <v>-1.5</v>
      </c>
      <c r="F3">
        <f>VLOOKUP('Huvud mätare'!$A1,$A5:$K87,6)</f>
        <v>24</v>
      </c>
      <c r="G3">
        <f>VLOOKUP('Huvud mätare'!$A1,$A5:$K87,7)</f>
        <v>588</v>
      </c>
      <c r="H3">
        <f>VLOOKUP('Huvud mätare'!$A1,$A5:$K87,8)</f>
        <v>879.14738095238101</v>
      </c>
      <c r="I3">
        <f>VLOOKUP('Huvud mätare'!$A1,$A5:$K87,9)</f>
        <v>1000</v>
      </c>
      <c r="J3">
        <f>VLOOKUP('Huvud mätare'!$A1,$A5:$K87,10)</f>
        <v>0</v>
      </c>
      <c r="K3">
        <f>VLOOKUP('Huvud mätare'!$A1,$A5:$K87,11)</f>
        <v>387.1473809523809</v>
      </c>
      <c r="L3">
        <f>VLOOKUP('Huvud mätare'!$A1,$A5:$L87,12)</f>
        <v>-2080</v>
      </c>
    </row>
    <row r="4" spans="1:12" ht="15" customHeight="1" x14ac:dyDescent="0.25">
      <c r="A4" t="s">
        <v>12</v>
      </c>
      <c r="B4" s="1" t="s">
        <v>33</v>
      </c>
      <c r="C4" s="1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25</v>
      </c>
      <c r="I4" t="s">
        <v>30</v>
      </c>
      <c r="J4" t="s">
        <v>39</v>
      </c>
      <c r="K4" t="s">
        <v>40</v>
      </c>
      <c r="L4" t="s">
        <v>41</v>
      </c>
    </row>
    <row r="5" spans="1:12" x14ac:dyDescent="0.25">
      <c r="A5" s="4">
        <f>Tabell6[[#This Row],[Avläsnings datum]]</f>
        <v>40543</v>
      </c>
      <c r="B5">
        <v>1149</v>
      </c>
      <c r="C5">
        <v>1117</v>
      </c>
      <c r="D5">
        <f t="shared" ref="D5:D7" si="0">IF(B5-C5&lt;0,0,B5-C5)</f>
        <v>32</v>
      </c>
      <c r="E5" s="3">
        <f>Tabell6[[#This Row],[Att fördela]]</f>
        <v>0.15714285714286039</v>
      </c>
      <c r="F5">
        <f>Tabell6[[#This Row],[Pris/m3 ink.moms]]</f>
        <v>16.88</v>
      </c>
      <c r="G5" s="2">
        <f>(Tabell4[[#This Row],[Förbrukning]]+Tabell4[[#This Row],[Utjämning]])*Tabell4[[#This Row],[Kr/m3]]</f>
        <v>542.81257142857146</v>
      </c>
      <c r="H5" s="2">
        <f>Tabell6[[#This Row],[Summa fast avg/hushåll]]</f>
        <v>378.07142857142856</v>
      </c>
      <c r="I5" s="2">
        <f>Tabell6[[#This Row],[Medlems avg]]/14</f>
        <v>0</v>
      </c>
      <c r="J5" s="2"/>
      <c r="K5" s="2">
        <f>IF(Tabell4[[#This Row],[Nuvarande]], SUM(Tabell4[[#This Row],[Summa förbrukning]:[Lån]])+Tabell4[[#This Row],[Korr]],0)</f>
        <v>920.88400000000001</v>
      </c>
      <c r="L5" s="2"/>
    </row>
    <row r="6" spans="1:12" x14ac:dyDescent="0.25">
      <c r="A6" s="4">
        <f>Tabell6[[#This Row],[Avläsnings datum]]</f>
        <v>40664</v>
      </c>
      <c r="B6">
        <v>1175</v>
      </c>
      <c r="C6">
        <f t="shared" ref="C6:C21" si="1">B5</f>
        <v>1149</v>
      </c>
      <c r="D6">
        <f t="shared" si="0"/>
        <v>26</v>
      </c>
      <c r="E6" s="3">
        <f>Tabell6[[#This Row],[Att fördela]]</f>
        <v>2.8571428571418828E-2</v>
      </c>
      <c r="F6">
        <f>Tabell6[[#This Row],[Pris/m3 ink.moms]]</f>
        <v>16.88</v>
      </c>
      <c r="G6" s="2">
        <f>(Tabell4[[#This Row],[Förbrukning]]+Tabell4[[#This Row],[Utjämning]])*Tabell4[[#This Row],[Kr/m3]]</f>
        <v>439.36228571428552</v>
      </c>
      <c r="H6" s="2">
        <f>Tabell6[[#This Row],[Summa fast avg/hushåll]]</f>
        <v>378.07142857142856</v>
      </c>
      <c r="I6" s="2">
        <f>Tabell6[[#This Row],[Medlems avg]]/14</f>
        <v>0</v>
      </c>
      <c r="J6" s="2"/>
      <c r="K6" s="2">
        <f>IF(Tabell4[[#This Row],[Nuvarande]], SUM(Tabell4[[#This Row],[Summa förbrukning]:[Lån]])+Tabell4[[#This Row],[Korr]],0)</f>
        <v>817.43371428571413</v>
      </c>
      <c r="L6" s="2"/>
    </row>
    <row r="7" spans="1:12" x14ac:dyDescent="0.25">
      <c r="A7" s="4">
        <f>Tabell6[[#This Row],[Avläsnings datum]]</f>
        <v>40786</v>
      </c>
      <c r="B7">
        <v>1203</v>
      </c>
      <c r="C7">
        <f t="shared" si="1"/>
        <v>1175</v>
      </c>
      <c r="D7">
        <f t="shared" si="0"/>
        <v>28</v>
      </c>
      <c r="E7" s="3">
        <f>Tabell6[[#This Row],[Att fördela]]</f>
        <v>-2.8571428571426947E-2</v>
      </c>
      <c r="F7">
        <f>Tabell6[[#This Row],[Pris/m3 ink.moms]]</f>
        <v>16.88</v>
      </c>
      <c r="G7" s="2">
        <f>(Tabell4[[#This Row],[Förbrukning]]+Tabell4[[#This Row],[Utjämning]])*Tabell4[[#This Row],[Kr/m3]]</f>
        <v>472.15771428571423</v>
      </c>
      <c r="H7" s="2">
        <f>Tabell6[[#This Row],[Summa fast avg/hushåll]]</f>
        <v>378.07142857142856</v>
      </c>
      <c r="I7" s="2">
        <f>Tabell6[[#This Row],[Medlems avg]]/14</f>
        <v>0</v>
      </c>
      <c r="J7" s="2"/>
      <c r="K7" s="2">
        <f>IF(Tabell4[[#This Row],[Nuvarande]], SUM(Tabell4[[#This Row],[Summa förbrukning]:[Lån]])+Tabell4[[#This Row],[Korr]],0)</f>
        <v>850.22914285714273</v>
      </c>
      <c r="L7" s="2"/>
    </row>
    <row r="8" spans="1:12" x14ac:dyDescent="0.25">
      <c r="A8" s="4">
        <f>Tabell6[[#This Row],[Avläsnings datum]]</f>
        <v>40908</v>
      </c>
      <c r="B8">
        <v>1235</v>
      </c>
      <c r="C8">
        <f t="shared" si="1"/>
        <v>1203</v>
      </c>
      <c r="D8">
        <f>IF(B8-C8&lt;0,0,B8-C8)</f>
        <v>32</v>
      </c>
      <c r="E8" s="3">
        <f>Tabell6[[#This Row],[Att fördela]]</f>
        <v>-0.22857142857142371</v>
      </c>
      <c r="F8">
        <f>Tabell6[[#This Row],[Pris/m3 ink.moms]]</f>
        <v>16.825000000000003</v>
      </c>
      <c r="G8" s="2">
        <f>(Tabell4[[#This Row],[Förbrukning]]+Tabell4[[#This Row],[Utjämning]])*Tabell4[[#This Row],[Kr/m3]]</f>
        <v>534.55428571428592</v>
      </c>
      <c r="H8" s="2">
        <f>Tabell6[[#This Row],[Summa fast avg/hushåll]]</f>
        <v>378.07142857142856</v>
      </c>
      <c r="I8" s="2">
        <f>Tabell6[[#This Row],[Medlems avg]]/14</f>
        <v>1000</v>
      </c>
      <c r="J8" s="2"/>
      <c r="K8" s="2">
        <f>IF(Tabell4[[#This Row],[Nuvarande]], SUM(Tabell4[[#This Row],[Summa förbrukning]:[Lån]])+Tabell4[[#This Row],[Korr]],0)</f>
        <v>1912.6257142857144</v>
      </c>
      <c r="L8" s="2"/>
    </row>
    <row r="9" spans="1:12" x14ac:dyDescent="0.25">
      <c r="A9" s="4">
        <f>Tabell6[[#This Row],[Avläsnings datum]]</f>
        <v>41029</v>
      </c>
      <c r="B9">
        <v>1260</v>
      </c>
      <c r="C9">
        <f t="shared" si="1"/>
        <v>1235</v>
      </c>
      <c r="D9">
        <f t="shared" ref="D9:D21" si="2">IF(B9-C9&lt;0,0,B9-C9)</f>
        <v>25</v>
      </c>
      <c r="E9" s="3">
        <f>Tabell6[[#This Row],[Att fördela]]</f>
        <v>-1</v>
      </c>
      <c r="F9">
        <f>Tabell6[[#This Row],[Pris/m3 ink.moms]]</f>
        <v>16.825000000000003</v>
      </c>
      <c r="G9" s="2">
        <f>(Tabell4[[#This Row],[Förbrukning]]+Tabell4[[#This Row],[Utjämning]])*Tabell4[[#This Row],[Kr/m3]]</f>
        <v>403.80000000000007</v>
      </c>
      <c r="H9" s="2">
        <f>Tabell6[[#This Row],[Summa fast avg/hushåll]]</f>
        <v>378.07142857142856</v>
      </c>
      <c r="I9" s="2">
        <f>Tabell6[[#This Row],[Medlems avg]]/14</f>
        <v>1000</v>
      </c>
      <c r="J9" s="2"/>
      <c r="K9" s="2">
        <f>IF(Tabell4[[#This Row],[Nuvarande]], SUM(Tabell4[[#This Row],[Summa förbrukning]:[Lån]])+Tabell4[[#This Row],[Korr]],0)</f>
        <v>1781.8714285714286</v>
      </c>
      <c r="L9" s="2"/>
    </row>
    <row r="10" spans="1:12" x14ac:dyDescent="0.25">
      <c r="A10" s="4">
        <f>Tabell6[[#This Row],[Avläsnings datum]]</f>
        <v>41152</v>
      </c>
      <c r="B10">
        <v>1290</v>
      </c>
      <c r="C10">
        <f t="shared" si="1"/>
        <v>1260</v>
      </c>
      <c r="D10">
        <f t="shared" si="2"/>
        <v>30</v>
      </c>
      <c r="E10" s="3">
        <f>Tabell6[[#This Row],[Att fördela]]</f>
        <v>-0.14285714285714285</v>
      </c>
      <c r="F10">
        <f>Tabell6[[#This Row],[Pris/m3 ink.moms]]</f>
        <v>16.825000000000003</v>
      </c>
      <c r="G10" s="2">
        <f>(Tabell4[[#This Row],[Förbrukning]]+Tabell4[[#This Row],[Utjämning]])*Tabell4[[#This Row],[Kr/m3]]</f>
        <v>502.34642857142865</v>
      </c>
      <c r="H10" s="2">
        <f>Tabell6[[#This Row],[Summa fast avg/hushåll]]</f>
        <v>378.07142857142856</v>
      </c>
      <c r="I10" s="2">
        <f>Tabell6[[#This Row],[Medlems avg]]/14</f>
        <v>1000</v>
      </c>
      <c r="J10" s="2"/>
      <c r="K10" s="2">
        <f>IF(Tabell4[[#This Row],[Nuvarande]], SUM(Tabell4[[#This Row],[Summa förbrukning]:[Lån]])+Tabell4[[#This Row],[Korr]],0)</f>
        <v>1880.4178571428572</v>
      </c>
      <c r="L10" s="2"/>
    </row>
    <row r="11" spans="1:12" x14ac:dyDescent="0.25">
      <c r="A11" s="4">
        <f>Tabell6[[#This Row],[Avläsnings datum]]</f>
        <v>41274</v>
      </c>
      <c r="B11">
        <v>1310</v>
      </c>
      <c r="C11">
        <f t="shared" si="1"/>
        <v>1290</v>
      </c>
      <c r="D11">
        <f t="shared" si="2"/>
        <v>20</v>
      </c>
      <c r="E11" s="3">
        <f>Tabell6[[#This Row],[Att fördela]]</f>
        <v>-0.9285714285714286</v>
      </c>
      <c r="F11">
        <f>Tabell6[[#This Row],[Pris/m3 ink.moms]]</f>
        <v>14.8125</v>
      </c>
      <c r="G11" s="2">
        <f>(Tabell4[[#This Row],[Förbrukning]]+Tabell4[[#This Row],[Utjämning]])*Tabell4[[#This Row],[Kr/m3]]</f>
        <v>282.49553571428572</v>
      </c>
      <c r="H11" s="2">
        <f>Tabell6[[#This Row],[Summa fast avg/hushåll]]</f>
        <v>542.26190476190482</v>
      </c>
      <c r="I11" s="2">
        <f>Tabell6[[#This Row],[Medlems avg]]/14</f>
        <v>1000</v>
      </c>
      <c r="J11" s="2"/>
      <c r="K11" s="2">
        <f>IF(Tabell4[[#This Row],[Nuvarande]], SUM(Tabell4[[#This Row],[Summa förbrukning]:[Lån]])+Tabell4[[#This Row],[Korr]],0)</f>
        <v>1824.7574404761906</v>
      </c>
      <c r="L11" s="2"/>
    </row>
    <row r="12" spans="1:12" x14ac:dyDescent="0.25">
      <c r="A12" s="4">
        <f>Tabell6[[#This Row],[Avläsnings datum]]</f>
        <v>41394</v>
      </c>
      <c r="B12">
        <v>1349</v>
      </c>
      <c r="C12">
        <f t="shared" si="1"/>
        <v>1310</v>
      </c>
      <c r="D12">
        <f t="shared" si="2"/>
        <v>39</v>
      </c>
      <c r="E12" s="3">
        <f>Tabell6[[#This Row],[Att fördela]]</f>
        <v>-1.5714285714285714</v>
      </c>
      <c r="F12">
        <f>Tabell6[[#This Row],[Pris/m3 ink.moms]]</f>
        <v>14.8125</v>
      </c>
      <c r="G12" s="2">
        <f>(Tabell4[[#This Row],[Förbrukning]]+Tabell4[[#This Row],[Utjämning]])*Tabell4[[#This Row],[Kr/m3]]</f>
        <v>554.41071428571433</v>
      </c>
      <c r="H12" s="2">
        <f>Tabell6[[#This Row],[Summa fast avg/hushåll]]</f>
        <v>542.26190476190482</v>
      </c>
      <c r="I12" s="2">
        <f>Tabell6[[#This Row],[Medlems avg]]/14</f>
        <v>1000</v>
      </c>
      <c r="J12" s="2"/>
      <c r="K12" s="2">
        <f>IF(Tabell4[[#This Row],[Nuvarande]], SUM(Tabell4[[#This Row],[Summa förbrukning]:[Lån]])+Tabell4[[#This Row],[Korr]],0)</f>
        <v>2096.6726190476193</v>
      </c>
      <c r="L12" s="2"/>
    </row>
    <row r="13" spans="1:12" x14ac:dyDescent="0.25">
      <c r="A13" s="4">
        <f>Tabell6[[#This Row],[Avläsnings datum]]</f>
        <v>41517</v>
      </c>
      <c r="B13">
        <v>1390</v>
      </c>
      <c r="C13">
        <f t="shared" si="1"/>
        <v>1349</v>
      </c>
      <c r="D13">
        <f t="shared" si="2"/>
        <v>41</v>
      </c>
      <c r="E13" s="3">
        <f>Tabell6[[#This Row],[Att fördela]]</f>
        <v>-0.8571428571428571</v>
      </c>
      <c r="F13">
        <f>Tabell6[[#This Row],[Pris/m3 ink.moms]]</f>
        <v>14.8125</v>
      </c>
      <c r="G13" s="2">
        <f>(Tabell4[[#This Row],[Förbrukning]]+Tabell4[[#This Row],[Utjämning]])*Tabell4[[#This Row],[Kr/m3]]</f>
        <v>594.61607142857144</v>
      </c>
      <c r="H13" s="2">
        <f>Tabell6[[#This Row],[Summa fast avg/hushåll]]</f>
        <v>542.26190476190482</v>
      </c>
      <c r="I13" s="2">
        <f>Tabell6[[#This Row],[Medlems avg]]/14</f>
        <v>1000</v>
      </c>
      <c r="J13" s="2"/>
      <c r="K13" s="2">
        <f>IF(Tabell4[[#This Row],[Nuvarande]], SUM(Tabell4[[#This Row],[Summa förbrukning]:[Lån]])+Tabell4[[#This Row],[Korr]],0)</f>
        <v>2136.8779761904761</v>
      </c>
      <c r="L13" s="2"/>
    </row>
    <row r="14" spans="1:12" x14ac:dyDescent="0.25">
      <c r="A14" s="4">
        <f>Tabell6[[#This Row],[Avläsnings datum]]</f>
        <v>41639</v>
      </c>
      <c r="B14">
        <v>1420</v>
      </c>
      <c r="C14">
        <f t="shared" si="1"/>
        <v>1390</v>
      </c>
      <c r="D14">
        <f t="shared" si="2"/>
        <v>30</v>
      </c>
      <c r="E14" s="3">
        <f>Tabell6[[#This Row],[Att fördela]]</f>
        <v>-2.5</v>
      </c>
      <c r="F14">
        <f>Tabell6[[#This Row],[Pris/m3 ink.moms]]</f>
        <v>14.8125</v>
      </c>
      <c r="G14" s="2">
        <f>(Tabell4[[#This Row],[Förbrukning]]+Tabell4[[#This Row],[Utjämning]])*Tabell4[[#This Row],[Kr/m3]]</f>
        <v>407.34375</v>
      </c>
      <c r="H14" s="2">
        <f>Tabell6[[#This Row],[Summa fast avg/hushåll]]</f>
        <v>547.85714285714289</v>
      </c>
      <c r="I14" s="2">
        <f>Tabell6[[#This Row],[Medlems avg]]/14</f>
        <v>1000</v>
      </c>
      <c r="J14" s="2"/>
      <c r="K14" s="2">
        <f>IF(Tabell4[[#This Row],[Nuvarande]], SUM(Tabell4[[#This Row],[Summa förbrukning]:[Lån]])+Tabell4[[#This Row],[Korr]],0)</f>
        <v>1955.2008928571429</v>
      </c>
      <c r="L14" s="2"/>
    </row>
    <row r="15" spans="1:12" x14ac:dyDescent="0.25">
      <c r="A15" s="4">
        <f>Tabell6[[#This Row],[Avläsnings datum]]</f>
        <v>41759</v>
      </c>
      <c r="B15">
        <v>1454</v>
      </c>
      <c r="C15">
        <f t="shared" si="1"/>
        <v>1420</v>
      </c>
      <c r="D15">
        <f t="shared" si="2"/>
        <v>34</v>
      </c>
      <c r="E15" s="3">
        <f>Tabell6[[#This Row],[Att fördela]]</f>
        <v>-1.5714285714285714</v>
      </c>
      <c r="F15">
        <f>Tabell6[[#This Row],[Pris/m3 ink.moms]]</f>
        <v>14.9625</v>
      </c>
      <c r="G15" s="2">
        <f>(Tabell4[[#This Row],[Förbrukning]]+Tabell4[[#This Row],[Utjämning]])*Tabell4[[#This Row],[Kr/m3]]</f>
        <v>485.21250000000003</v>
      </c>
      <c r="H15" s="2">
        <f>Tabell6[[#This Row],[Summa fast avg/hushåll]]</f>
        <v>547.85714285714289</v>
      </c>
      <c r="I15" s="2">
        <f>Tabell6[[#This Row],[Medlems avg]]/14</f>
        <v>1000</v>
      </c>
      <c r="J15" s="2"/>
      <c r="K15" s="2">
        <f>IF(Tabell4[[#This Row],[Nuvarande]], SUM(Tabell4[[#This Row],[Summa förbrukning]:[Lån]])+Tabell4[[#This Row],[Korr]],0)</f>
        <v>2073.2749999999996</v>
      </c>
      <c r="L15" s="2">
        <f t="shared" ref="L15" si="3">K13-K12</f>
        <v>40.205357142856883</v>
      </c>
    </row>
    <row r="16" spans="1:12" x14ac:dyDescent="0.25">
      <c r="A16" s="4">
        <f>Tabell6[[#This Row],[Avläsnings datum]]</f>
        <v>41882</v>
      </c>
      <c r="B16">
        <v>1485</v>
      </c>
      <c r="C16">
        <f t="shared" si="1"/>
        <v>1454</v>
      </c>
      <c r="D16">
        <f t="shared" si="2"/>
        <v>31</v>
      </c>
      <c r="E16" s="3">
        <f>Tabell6[[#This Row],[Att fördela]]</f>
        <v>-1.7857142857142858</v>
      </c>
      <c r="F16">
        <f>Tabell6[[#This Row],[Pris/m3 ink.moms]]</f>
        <v>14.9625</v>
      </c>
      <c r="G16" s="2">
        <f>(Tabell4[[#This Row],[Förbrukning]]+Tabell4[[#This Row],[Utjämning]])*Tabell4[[#This Row],[Kr/m3]]</f>
        <v>437.11875000000003</v>
      </c>
      <c r="H16" s="2">
        <f>Tabell6[[#This Row],[Summa fast avg/hushåll]]</f>
        <v>547.85714285714289</v>
      </c>
      <c r="I16" s="2">
        <f>Tabell6[[#This Row],[Medlems avg]]/14</f>
        <v>1000</v>
      </c>
      <c r="J16" s="2"/>
      <c r="K16" s="2">
        <f>IF(Tabell4[[#This Row],[Nuvarande]], SUM(Tabell4[[#This Row],[Summa förbrukning]:[Lån]])+Tabell4[[#This Row],[Korr]],0)</f>
        <v>1984.975892857143</v>
      </c>
      <c r="L16" s="2"/>
    </row>
    <row r="17" spans="1:12" x14ac:dyDescent="0.25">
      <c r="A17" s="4">
        <f>Tabell6[[#This Row],[Avläsnings datum]]</f>
        <v>42004</v>
      </c>
      <c r="B17">
        <v>1518</v>
      </c>
      <c r="C17">
        <f t="shared" si="1"/>
        <v>1485</v>
      </c>
      <c r="D17">
        <f t="shared" si="2"/>
        <v>33</v>
      </c>
      <c r="E17" s="3">
        <f>Tabell6[[#This Row],[Att fördela]]</f>
        <v>-2.0714285714285716</v>
      </c>
      <c r="F17">
        <f>Tabell6[[#This Row],[Pris/m3 ink.moms]]</f>
        <v>14.9625</v>
      </c>
      <c r="G17" s="2">
        <f>(Tabell4[[#This Row],[Förbrukning]]+Tabell4[[#This Row],[Utjämning]])*Tabell4[[#This Row],[Kr/m3]]</f>
        <v>462.76875000000001</v>
      </c>
      <c r="H17" s="2">
        <f>Tabell6[[#This Row],[Summa fast avg/hushåll]]</f>
        <v>547.85714285714289</v>
      </c>
      <c r="I17" s="2">
        <f>Tabell6[[#This Row],[Medlems avg]]/14</f>
        <v>1000</v>
      </c>
      <c r="J17" s="2"/>
      <c r="K17" s="2">
        <f>IF(Tabell4[[#This Row],[Nuvarande]], SUM(Tabell4[[#This Row],[Summa förbrukning]:[Lån]])+Tabell4[[#This Row],[Korr]],0)</f>
        <v>2010.6258928571428</v>
      </c>
      <c r="L17" s="2"/>
    </row>
    <row r="18" spans="1:12" x14ac:dyDescent="0.25">
      <c r="A18" s="4">
        <f>Tabell6[[#This Row],[Avläsnings datum]]</f>
        <v>42124</v>
      </c>
      <c r="B18">
        <v>1548</v>
      </c>
      <c r="C18">
        <f t="shared" si="1"/>
        <v>1518</v>
      </c>
      <c r="D18">
        <f t="shared" si="2"/>
        <v>30</v>
      </c>
      <c r="E18" s="3">
        <f>Tabell6[[#This Row],[Att fördela]]</f>
        <v>-2.5</v>
      </c>
      <c r="F18">
        <f>Tabell6[[#This Row],[Pris/m3 ink.moms]]</f>
        <v>14.9625</v>
      </c>
      <c r="G18" s="2">
        <f>(Tabell4[[#This Row],[Förbrukning]]+Tabell4[[#This Row],[Utjämning]])*Tabell4[[#This Row],[Kr/m3]]</f>
        <v>411.46875</v>
      </c>
      <c r="H18" s="2">
        <f>Tabell6[[#This Row],[Summa fast avg/hushåll]]</f>
        <v>547.85714285714289</v>
      </c>
      <c r="I18" s="2">
        <f>Tabell6[[#This Row],[Medlems avg]]/14</f>
        <v>600</v>
      </c>
      <c r="J18" s="2"/>
      <c r="K18" s="2">
        <f>IF(Tabell4[[#This Row],[Nuvarande]], SUM(Tabell4[[#This Row],[Summa förbrukning]:[Lån]])+Tabell4[[#This Row],[Korr]],0)</f>
        <v>1559.3258928571429</v>
      </c>
      <c r="L18" s="2"/>
    </row>
    <row r="19" spans="1:12" x14ac:dyDescent="0.25">
      <c r="A19" s="4">
        <f>Tabell6[[#This Row],[Avläsnings datum]]</f>
        <v>42247</v>
      </c>
      <c r="B19">
        <v>1589</v>
      </c>
      <c r="C19">
        <f t="shared" si="1"/>
        <v>1548</v>
      </c>
      <c r="D19">
        <f t="shared" si="2"/>
        <v>41</v>
      </c>
      <c r="E19" s="3">
        <f>Tabell6[[#This Row],[Att fördela]]</f>
        <v>-2.2857142857142856</v>
      </c>
      <c r="F19">
        <f>Tabell6[[#This Row],[Pris/m3 ink.moms]]</f>
        <v>14.9625</v>
      </c>
      <c r="G19" s="2">
        <f>(Tabell4[[#This Row],[Förbrukning]]+Tabell4[[#This Row],[Utjämning]])*Tabell4[[#This Row],[Kr/m3]]</f>
        <v>579.26250000000005</v>
      </c>
      <c r="H19" s="2">
        <f>Tabell6[[#This Row],[Summa fast avg/hushåll]]</f>
        <v>547.85714285714289</v>
      </c>
      <c r="I19" s="2">
        <f>Tabell6[[#This Row],[Medlems avg]]/14</f>
        <v>600</v>
      </c>
      <c r="J19" s="2"/>
      <c r="K19" s="2">
        <f>IF(Tabell4[[#This Row],[Nuvarande]], SUM(Tabell4[[#This Row],[Summa förbrukning]:[Lån]])+Tabell4[[#This Row],[Korr]],0)</f>
        <v>1727.1196428571429</v>
      </c>
      <c r="L19" s="2"/>
    </row>
    <row r="20" spans="1:12" x14ac:dyDescent="0.25">
      <c r="A20" s="4">
        <f>Tabell6[[#This Row],[Avläsnings datum]]</f>
        <v>42369</v>
      </c>
      <c r="B20">
        <v>1624</v>
      </c>
      <c r="C20">
        <f t="shared" si="1"/>
        <v>1589</v>
      </c>
      <c r="D20">
        <f t="shared" si="2"/>
        <v>35</v>
      </c>
      <c r="E20" s="3">
        <f>Tabell6[[#This Row],[Att fördela]]</f>
        <v>-2.8571428571428572</v>
      </c>
      <c r="F20">
        <f>Tabell6[[#This Row],[Pris/m3 ink.moms]]</f>
        <v>14.9625</v>
      </c>
      <c r="G20" s="2">
        <f>(Tabell4[[#This Row],[Förbrukning]]+Tabell4[[#This Row],[Utjämning]])*Tabell4[[#This Row],[Kr/m3]]</f>
        <v>480.93750000000006</v>
      </c>
      <c r="H20" s="2">
        <f>Tabell6[[#This Row],[Summa fast avg/hushåll]]</f>
        <v>547.85714285714289</v>
      </c>
      <c r="I20" s="2">
        <f>Tabell6[[#This Row],[Medlems avg]]/14</f>
        <v>600</v>
      </c>
      <c r="J20" s="2"/>
      <c r="K20" s="2">
        <f>IF(Tabell4[[#This Row],[Nuvarande]], SUM(Tabell4[[#This Row],[Summa förbrukning]:[Lån]])+Tabell4[[#This Row],[Korr]],0)</f>
        <v>1628.7946428571429</v>
      </c>
      <c r="L20" s="2"/>
    </row>
    <row r="21" spans="1:12" ht="15.75" customHeight="1" x14ac:dyDescent="0.25">
      <c r="A21" s="4">
        <f>Tabell6[[#This Row],[Avläsnings datum]]</f>
        <v>42490</v>
      </c>
      <c r="B21">
        <v>1660</v>
      </c>
      <c r="C21">
        <f t="shared" si="1"/>
        <v>1624</v>
      </c>
      <c r="D21">
        <f t="shared" si="2"/>
        <v>36</v>
      </c>
      <c r="E21" s="3">
        <f>Tabell6[[#This Row],[Att fördela]]</f>
        <v>-3.5</v>
      </c>
      <c r="F21">
        <f>Tabell6[[#This Row],[Pris/m3 ink.moms]]</f>
        <v>14.9625</v>
      </c>
      <c r="G21" s="2">
        <f>(Tabell4[[#This Row],[Förbrukning]]+Tabell4[[#This Row],[Utjämning]])*Tabell4[[#This Row],[Kr/m3]]</f>
        <v>486.28125</v>
      </c>
      <c r="H21" s="2">
        <f>Tabell6[[#This Row],[Summa fast avg/hushåll]]</f>
        <v>547.85714285714289</v>
      </c>
      <c r="I21" s="2">
        <f>Tabell6[[#This Row],[Medlems avg]]/14</f>
        <v>600</v>
      </c>
      <c r="J21" s="2"/>
      <c r="K21" s="2">
        <f>IF(Tabell4[[#This Row],[Nuvarande]], SUM(Tabell4[[#This Row],[Summa förbrukning]:[Lån]])+Tabell4[[#This Row],[Korr]],0)</f>
        <v>1801.9321428571429</v>
      </c>
      <c r="L21" s="2">
        <f>K19-K18</f>
        <v>167.79375000000005</v>
      </c>
    </row>
    <row r="22" spans="1:12" x14ac:dyDescent="0.25">
      <c r="A22" s="4">
        <f>Tabell6[[#This Row],[Avläsnings datum]]</f>
        <v>42613</v>
      </c>
      <c r="B22">
        <v>1692</v>
      </c>
      <c r="C22">
        <f t="shared" ref="C22:C36" si="4">B21</f>
        <v>1660</v>
      </c>
      <c r="D22">
        <f t="shared" ref="D22:D36" si="5">IF(B22-C22&lt;0,0,B22-C22)</f>
        <v>32</v>
      </c>
      <c r="E22" s="3">
        <f>Tabell6[[#This Row],[Att fördela]]</f>
        <v>-1.0714285714285714</v>
      </c>
      <c r="F22">
        <f>Tabell6[[#This Row],[Pris/m3 ink.moms]]</f>
        <v>14.9625</v>
      </c>
      <c r="G22" s="2">
        <f>(Tabell4[[#This Row],[Förbrukning]]+Tabell4[[#This Row],[Utjämning]])*Tabell4[[#This Row],[Kr/m3]]</f>
        <v>462.76875000000001</v>
      </c>
      <c r="H22" s="2">
        <f>Tabell6[[#This Row],[Summa fast avg/hushåll]]</f>
        <v>547.85714285714289</v>
      </c>
      <c r="I22" s="2">
        <f>Tabell6[[#This Row],[Medlems avg]]/14</f>
        <v>600</v>
      </c>
      <c r="J22" s="2"/>
      <c r="K22" s="2">
        <f>IF(Tabell4[[#This Row],[Nuvarande]], SUM(Tabell4[[#This Row],[Summa förbrukning]:[Lån]])+Tabell4[[#This Row],[Korr]],0)</f>
        <v>1610.6258928571428</v>
      </c>
      <c r="L22" s="2"/>
    </row>
    <row r="23" spans="1:12" x14ac:dyDescent="0.25">
      <c r="A23" s="4">
        <f>Tabell6[[#This Row],[Avläsnings datum]]</f>
        <v>42735</v>
      </c>
      <c r="B23">
        <v>1725</v>
      </c>
      <c r="C23">
        <f t="shared" si="4"/>
        <v>1692</v>
      </c>
      <c r="D23">
        <f t="shared" si="5"/>
        <v>33</v>
      </c>
      <c r="E23" s="3">
        <f>Tabell6[[#This Row],[Att fördela]]</f>
        <v>-3.7142857142857144</v>
      </c>
      <c r="F23">
        <f>Tabell6[[#This Row],[Pris/m3 ink.moms]]</f>
        <v>14.9625</v>
      </c>
      <c r="G23" s="2">
        <f>(Tabell4[[#This Row],[Förbrukning]]+Tabell4[[#This Row],[Utjämning]])*Tabell4[[#This Row],[Kr/m3]]</f>
        <v>438.1875</v>
      </c>
      <c r="H23" s="2">
        <f>Tabell6[[#This Row],[Summa fast avg/hushåll]]</f>
        <v>547.85714285714289</v>
      </c>
      <c r="I23" s="2">
        <f>Tabell6[[#This Row],[Medlems avg]]/14</f>
        <v>600</v>
      </c>
      <c r="J23" s="2"/>
      <c r="K23" s="2">
        <f>IF(Tabell4[[#This Row],[Nuvarande]], SUM(Tabell4[[#This Row],[Summa förbrukning]:[Lån]])+Tabell4[[#This Row],[Korr]],0)</f>
        <v>1586.0446428571429</v>
      </c>
      <c r="L23" s="2"/>
    </row>
    <row r="24" spans="1:12" x14ac:dyDescent="0.25">
      <c r="A24" s="4">
        <f>Tabell6[[#This Row],[Avläsnings datum]]</f>
        <v>42855</v>
      </c>
      <c r="B24">
        <v>1750</v>
      </c>
      <c r="C24">
        <f t="shared" si="4"/>
        <v>1725</v>
      </c>
      <c r="D24">
        <f t="shared" si="5"/>
        <v>25</v>
      </c>
      <c r="E24" s="3">
        <f>Tabell6[[#This Row],[Att fördela]]</f>
        <v>-2</v>
      </c>
      <c r="F24">
        <f>Tabell6[[#This Row],[Pris/m3 ink.moms]]</f>
        <v>14.9625</v>
      </c>
      <c r="G24" s="2">
        <f>(Tabell4[[#This Row],[Förbrukning]]+Tabell4[[#This Row],[Utjämning]])*Tabell4[[#This Row],[Kr/m3]]</f>
        <v>344.13749999999999</v>
      </c>
      <c r="H24" s="2">
        <f>Tabell6[[#This Row],[Summa fast avg/hushåll]]</f>
        <v>547.85714285714289</v>
      </c>
      <c r="I24" s="2">
        <f>Tabell6[[#This Row],[Medlems avg]]/14</f>
        <v>700</v>
      </c>
      <c r="J24" s="2"/>
      <c r="K24" s="2">
        <f>IF(Tabell4[[#This Row],[Nuvarande]], SUM(Tabell4[[#This Row],[Summa förbrukning]:[Lån]])+Tabell4[[#This Row],[Korr]],0)</f>
        <v>1591.9946428571429</v>
      </c>
      <c r="L24" s="2"/>
    </row>
    <row r="25" spans="1:12" x14ac:dyDescent="0.25">
      <c r="A25" s="4">
        <f>Tabell6[[#This Row],[Avläsnings datum]]</f>
        <v>42978</v>
      </c>
      <c r="B25">
        <v>1791</v>
      </c>
      <c r="C25">
        <f t="shared" si="4"/>
        <v>1750</v>
      </c>
      <c r="D25">
        <f t="shared" si="5"/>
        <v>41</v>
      </c>
      <c r="E25" s="3">
        <f>Tabell6[[#This Row],[Att fördela]]</f>
        <v>-3.3571428571428572</v>
      </c>
      <c r="F25">
        <f>Tabell6[[#This Row],[Pris/m3 ink.moms]]</f>
        <v>14.9625</v>
      </c>
      <c r="G25" s="2">
        <f>(Tabell4[[#This Row],[Förbrukning]]+Tabell4[[#This Row],[Utjämning]])*Tabell4[[#This Row],[Kr/m3]]</f>
        <v>563.23125000000005</v>
      </c>
      <c r="H25" s="2">
        <f>Tabell6[[#This Row],[Summa fast avg/hushåll]]</f>
        <v>547.85714285714289</v>
      </c>
      <c r="I25" s="2">
        <f>Tabell6[[#This Row],[Medlems avg]]/14</f>
        <v>700</v>
      </c>
      <c r="J25" s="2"/>
      <c r="K25" s="2">
        <f>IF(Tabell4[[#This Row],[Nuvarande]], SUM(Tabell4[[#This Row],[Summa förbrukning]:[Lån]])+Tabell4[[#This Row],[Korr]],0)</f>
        <v>1811.0883928571429</v>
      </c>
      <c r="L25" s="2"/>
    </row>
    <row r="26" spans="1:12" x14ac:dyDescent="0.25">
      <c r="A26" s="4">
        <f>Tabell6[[#This Row],[Avläsnings datum]]</f>
        <v>43100</v>
      </c>
      <c r="B26">
        <v>1818</v>
      </c>
      <c r="C26">
        <f t="shared" si="4"/>
        <v>1791</v>
      </c>
      <c r="D26">
        <f t="shared" si="5"/>
        <v>27</v>
      </c>
      <c r="E26" s="3">
        <f>Tabell6[[#This Row],[Att fördela]]</f>
        <v>-1.8571428571428572</v>
      </c>
      <c r="F26">
        <f>Tabell6[[#This Row],[Pris/m3 ink.moms]]</f>
        <v>14.9625</v>
      </c>
      <c r="G26" s="2">
        <f>(Tabell4[[#This Row],[Förbrukning]]+Tabell4[[#This Row],[Utjämning]])*Tabell4[[#This Row],[Kr/m3]]</f>
        <v>376.2</v>
      </c>
      <c r="H26" s="2">
        <f>Tabell6[[#This Row],[Summa fast avg/hushåll]]</f>
        <v>547.85714285714289</v>
      </c>
      <c r="I26" s="2">
        <f>Tabell6[[#This Row],[Medlems avg]]/14</f>
        <v>700</v>
      </c>
      <c r="J26" s="2"/>
      <c r="K26" s="2">
        <f>IF(Tabell4[[#This Row],[Nuvarande]], SUM(Tabell4[[#This Row],[Summa förbrukning]:[Lån]])+Tabell4[[#This Row],[Korr]],0)</f>
        <v>1624.0571428571429</v>
      </c>
      <c r="L26" s="2"/>
    </row>
    <row r="27" spans="1:12" x14ac:dyDescent="0.25">
      <c r="A27" s="4">
        <f>Tabell6[[#This Row],[Avläsnings datum]]</f>
        <v>43220</v>
      </c>
      <c r="B27">
        <v>1845</v>
      </c>
      <c r="C27">
        <f t="shared" si="4"/>
        <v>1818</v>
      </c>
      <c r="D27">
        <f t="shared" si="5"/>
        <v>27</v>
      </c>
      <c r="E27" s="3">
        <f>Tabell6[[#This Row],[Att fördela]]</f>
        <v>-2.5714285714285716</v>
      </c>
      <c r="F27">
        <f>Tabell6[[#This Row],[Pris/m3 ink.moms]]</f>
        <v>14.9625</v>
      </c>
      <c r="G27" s="2">
        <f>(Tabell4[[#This Row],[Förbrukning]]+Tabell4[[#This Row],[Utjämning]])*Tabell4[[#This Row],[Kr/m3]]</f>
        <v>365.51249999999999</v>
      </c>
      <c r="H27" s="2">
        <f>Tabell6[[#This Row],[Summa fast avg/hushåll]]</f>
        <v>547.85714285714289</v>
      </c>
      <c r="I27" s="2">
        <f>Tabell6[[#This Row],[Medlems avg]]/14</f>
        <v>1000</v>
      </c>
      <c r="J27" s="2"/>
      <c r="K27" s="2">
        <f>IF(Tabell4[[#This Row],[Nuvarande]], SUM(Tabell4[[#This Row],[Summa förbrukning]:[Lån]])+Tabell4[[#This Row],[Korr]],0)</f>
        <v>102.36964285714294</v>
      </c>
      <c r="L27" s="2">
        <v>-1811</v>
      </c>
    </row>
    <row r="28" spans="1:12" x14ac:dyDescent="0.25">
      <c r="A28" s="4">
        <f>Tabell6[[#This Row],[Avläsnings datum]]</f>
        <v>43343</v>
      </c>
      <c r="B28">
        <v>1881</v>
      </c>
      <c r="C28">
        <f t="shared" si="4"/>
        <v>1845</v>
      </c>
      <c r="D28">
        <f t="shared" si="5"/>
        <v>36</v>
      </c>
      <c r="E28" s="3">
        <f>Tabell6[[#This Row],[Att fördela]]</f>
        <v>-2.2142857142857144</v>
      </c>
      <c r="F28">
        <f>Tabell6[[#This Row],[Pris/m3 ink.moms]]</f>
        <v>14.9625</v>
      </c>
      <c r="G28" s="2">
        <f>(Tabell4[[#This Row],[Förbrukning]]+Tabell4[[#This Row],[Utjämning]])*Tabell4[[#This Row],[Kr/m3]]</f>
        <v>505.51875000000001</v>
      </c>
      <c r="H28" s="2">
        <f>Tabell6[[#This Row],[Summa fast avg/hushåll]]</f>
        <v>547.85714285714289</v>
      </c>
      <c r="I28" s="2">
        <f>Tabell6[[#This Row],[Medlems avg]]/14</f>
        <v>1000</v>
      </c>
      <c r="J28" s="2"/>
      <c r="K28" s="2">
        <f>IF(Tabell4[[#This Row],[Nuvarande]], SUM(Tabell4[[#This Row],[Summa förbrukning]:[Lån]])+Tabell4[[#This Row],[Korr]],0)</f>
        <v>2053.3758928571428</v>
      </c>
      <c r="L28" s="2"/>
    </row>
    <row r="29" spans="1:12" x14ac:dyDescent="0.25">
      <c r="A29" s="4">
        <f>Tabell6[[#This Row],[Avläsnings datum]]</f>
        <v>43465</v>
      </c>
      <c r="B29">
        <v>1919</v>
      </c>
      <c r="C29">
        <f t="shared" si="4"/>
        <v>1881</v>
      </c>
      <c r="D29">
        <f t="shared" si="5"/>
        <v>38</v>
      </c>
      <c r="E29" s="3">
        <f>Tabell6[[#This Row],[Att fördela]]</f>
        <v>-1.5</v>
      </c>
      <c r="F29">
        <f>Tabell6[[#This Row],[Pris/m3 ink.moms]]</f>
        <v>15.780000000000001</v>
      </c>
      <c r="G29" s="2">
        <f>(Tabell4[[#This Row],[Förbrukning]]+Tabell4[[#This Row],[Utjämning]])*Tabell4[[#This Row],[Kr/m3]]</f>
        <v>575.97</v>
      </c>
      <c r="H29" s="2">
        <f>Tabell6[[#This Row],[Summa fast avg/hushåll]]</f>
        <v>547.85714285714289</v>
      </c>
      <c r="I29" s="2">
        <f>Tabell6[[#This Row],[Medlems avg]]/14</f>
        <v>1000</v>
      </c>
      <c r="J29" s="2"/>
      <c r="K29" s="2">
        <f>IF(Tabell4[[#This Row],[Nuvarande]], SUM(Tabell4[[#This Row],[Summa förbrukning]:[Lån]])+Tabell4[[#This Row],[Korr]],0)</f>
        <v>2123.8271428571429</v>
      </c>
      <c r="L29" s="2"/>
    </row>
    <row r="30" spans="1:12" x14ac:dyDescent="0.25">
      <c r="A30" s="4">
        <f>Tabell6[[#This Row],[Avläsnings datum]]</f>
        <v>43585</v>
      </c>
      <c r="B30">
        <v>1947</v>
      </c>
      <c r="C30">
        <f t="shared" si="4"/>
        <v>1919</v>
      </c>
      <c r="D30">
        <f t="shared" si="5"/>
        <v>28</v>
      </c>
      <c r="E30" s="3">
        <f>Tabell6[[#This Row],[Att fördela]]</f>
        <v>-7.2857142857142856</v>
      </c>
      <c r="F30">
        <f>Tabell6[[#This Row],[Pris/m3 ink.moms]]</f>
        <v>15.780000000000001</v>
      </c>
      <c r="G30" s="2">
        <f>(Tabell4[[#This Row],[Förbrukning]]+Tabell4[[#This Row],[Utjämning]])*Tabell4[[#This Row],[Kr/m3]]</f>
        <v>326.87142857142862</v>
      </c>
      <c r="H30" s="2">
        <f>Tabell6[[#This Row],[Summa fast avg/hushåll]]</f>
        <v>578.16714285714284</v>
      </c>
      <c r="I30" s="2">
        <f>Tabell6[[#This Row],[Medlems avg]]/14</f>
        <v>1000</v>
      </c>
      <c r="J30" s="2"/>
      <c r="K30" s="2">
        <f>IF(Tabell4[[#This Row],[Nuvarande]], SUM(Tabell4[[#This Row],[Summa förbrukning]:[Lån]])+Tabell4[[#This Row],[Korr]],0)</f>
        <v>1905.0385714285715</v>
      </c>
      <c r="L30" s="2"/>
    </row>
    <row r="31" spans="1:12" x14ac:dyDescent="0.25">
      <c r="A31" s="4">
        <f>Tabell6[[#This Row],[Avläsnings datum]]</f>
        <v>43708</v>
      </c>
      <c r="B31">
        <v>1976</v>
      </c>
      <c r="C31">
        <f t="shared" si="4"/>
        <v>1947</v>
      </c>
      <c r="D31">
        <f t="shared" si="5"/>
        <v>29</v>
      </c>
      <c r="E31" s="3">
        <f>Tabell6[[#This Row],[Att fördela]]</f>
        <v>-3.4285714285714284</v>
      </c>
      <c r="F31">
        <f>Tabell6[[#This Row],[Pris/m3 ink.moms]]</f>
        <v>15.780000000000001</v>
      </c>
      <c r="G31" s="2">
        <f>(Tabell4[[#This Row],[Förbrukning]]+Tabell4[[#This Row],[Utjämning]])*Tabell4[[#This Row],[Kr/m3]]</f>
        <v>403.51714285714291</v>
      </c>
      <c r="H31" s="2">
        <f>Tabell6[[#This Row],[Summa fast avg/hushåll]]</f>
        <v>578.16714285714284</v>
      </c>
      <c r="I31" s="2">
        <f>Tabell6[[#This Row],[Medlems avg]]/14</f>
        <v>1000</v>
      </c>
      <c r="J31" s="2"/>
      <c r="K31" s="2">
        <f>IF(Tabell4[[#This Row],[Nuvarande]], SUM(Tabell4[[#This Row],[Summa förbrukning]:[Lån]])+Tabell4[[#This Row],[Korr]],0)</f>
        <v>1981.6842857142858</v>
      </c>
      <c r="L31" s="2"/>
    </row>
    <row r="32" spans="1:12" x14ac:dyDescent="0.25">
      <c r="A32" s="4">
        <f>Tabell6[[#This Row],[Avläsnings datum]]</f>
        <v>43830</v>
      </c>
      <c r="B32">
        <v>2008</v>
      </c>
      <c r="C32">
        <f t="shared" si="4"/>
        <v>1976</v>
      </c>
      <c r="D32">
        <f t="shared" si="5"/>
        <v>32</v>
      </c>
      <c r="E32" s="3">
        <f>Tabell6[[#This Row],[Att fördela]]</f>
        <v>-3</v>
      </c>
      <c r="F32">
        <f>Tabell6[[#This Row],[Pris/m3 ink.moms]]</f>
        <v>15.780000000000001</v>
      </c>
      <c r="G32" s="2">
        <f>(Tabell4[[#This Row],[Förbrukning]]+Tabell4[[#This Row],[Utjämning]])*Tabell4[[#This Row],[Kr/m3]]</f>
        <v>457.62</v>
      </c>
      <c r="H32" s="2">
        <f>Tabell6[[#This Row],[Summa fast avg/hushåll]]</f>
        <v>578.16714285714284</v>
      </c>
      <c r="I32" s="2">
        <f>Tabell6[[#This Row],[Medlems avg]]/14</f>
        <v>1000</v>
      </c>
      <c r="J32" s="2"/>
      <c r="K32" s="2">
        <f>IF(Tabell4[[#This Row],[Nuvarande]], SUM(Tabell4[[#This Row],[Summa förbrukning]:[Lån]])+Tabell4[[#This Row],[Korr]],0)</f>
        <v>2035.787142857143</v>
      </c>
      <c r="L32" s="2"/>
    </row>
    <row r="33" spans="1:12" x14ac:dyDescent="0.25">
      <c r="A33" s="4">
        <f>Tabell6[[#This Row],[Avläsnings datum]]</f>
        <v>43951</v>
      </c>
      <c r="B33">
        <v>2037</v>
      </c>
      <c r="C33">
        <f t="shared" si="4"/>
        <v>2008</v>
      </c>
      <c r="D33">
        <f t="shared" si="5"/>
        <v>29</v>
      </c>
      <c r="E33" s="3">
        <f>Tabell6[[#This Row],[Att fördela]]</f>
        <v>-1.9285714285714286</v>
      </c>
      <c r="F33">
        <f>Tabell6[[#This Row],[Pris/m3 ink.moms]]</f>
        <v>15.780000000000001</v>
      </c>
      <c r="G33" s="2">
        <f>(Tabell4[[#This Row],[Förbrukning]]+Tabell4[[#This Row],[Utjämning]])*Tabell4[[#This Row],[Kr/m3]]</f>
        <v>427.18714285714293</v>
      </c>
      <c r="H33" s="2">
        <f>Tabell6[[#This Row],[Summa fast avg/hushåll]]</f>
        <v>578.16714285714284</v>
      </c>
      <c r="I33" s="2">
        <f>Tabell6[[#This Row],[Medlems avg]]/14</f>
        <v>1000</v>
      </c>
      <c r="J33" s="2"/>
      <c r="K33" s="2">
        <f>IF(Tabell4[[#This Row],[Nuvarande]], SUM(Tabell4[[#This Row],[Summa förbrukning]:[Lån]])+Tabell4[[#This Row],[Korr]],0)</f>
        <v>2005.3542857142857</v>
      </c>
      <c r="L33" s="2"/>
    </row>
    <row r="34" spans="1:12" x14ac:dyDescent="0.25">
      <c r="A34" s="4">
        <f>Tabell6[[#This Row],[Avläsnings datum]]</f>
        <v>44074</v>
      </c>
      <c r="B34">
        <v>2083</v>
      </c>
      <c r="C34">
        <f t="shared" si="4"/>
        <v>2037</v>
      </c>
      <c r="D34">
        <f t="shared" si="5"/>
        <v>46</v>
      </c>
      <c r="E34" s="3">
        <f>Tabell6[[#This Row],[Att fördela]]</f>
        <v>-1.8571428571428572</v>
      </c>
      <c r="F34">
        <f>Tabell6[[#This Row],[Pris/m3 ink.moms]]</f>
        <v>15.780000000000001</v>
      </c>
      <c r="G34" s="2">
        <f>(Tabell4[[#This Row],[Förbrukning]]+Tabell4[[#This Row],[Utjämning]])*Tabell4[[#This Row],[Kr/m3]]</f>
        <v>696.57428571428579</v>
      </c>
      <c r="H34" s="2">
        <f>Tabell6[[#This Row],[Summa fast avg/hushåll]]</f>
        <v>578.16714285714284</v>
      </c>
      <c r="I34" s="2">
        <f>Tabell6[[#This Row],[Medlems avg]]/14</f>
        <v>1000</v>
      </c>
      <c r="J34" s="2"/>
      <c r="K34" s="2">
        <f>IF(Tabell4[[#This Row],[Nuvarande]], SUM(Tabell4[[#This Row],[Summa förbrukning]:[Lån]])+Tabell4[[#This Row],[Korr]],0)</f>
        <v>2274.7414285714285</v>
      </c>
      <c r="L34" s="2"/>
    </row>
    <row r="35" spans="1:12" x14ac:dyDescent="0.25">
      <c r="A35" s="4">
        <f>Tabell6[[#This Row],[Avläsnings datum]]</f>
        <v>44196</v>
      </c>
      <c r="B35">
        <v>2113</v>
      </c>
      <c r="C35">
        <f t="shared" si="4"/>
        <v>2083</v>
      </c>
      <c r="D35">
        <f t="shared" si="5"/>
        <v>30</v>
      </c>
      <c r="E35" s="3">
        <f>Tabell6[[#This Row],[Att fördela]]</f>
        <v>-2.2142857142857144</v>
      </c>
      <c r="F35">
        <f>Tabell6[[#This Row],[Pris/m3 ink.moms]]</f>
        <v>15.780000000000001</v>
      </c>
      <c r="G35" s="2">
        <f>(Tabell4[[#This Row],[Förbrukning]]+Tabell4[[#This Row],[Utjämning]])*Tabell4[[#This Row],[Kr/m3]]</f>
        <v>438.45857142857142</v>
      </c>
      <c r="H35" s="2">
        <f>Tabell6[[#This Row],[Summa fast avg/hushåll]]</f>
        <v>578.16714285714284</v>
      </c>
      <c r="I35" s="2">
        <f>Tabell6[[#This Row],[Medlems avg]]/14</f>
        <v>1000</v>
      </c>
      <c r="J35" s="2"/>
      <c r="K35" s="2">
        <f>IF(Tabell4[[#This Row],[Nuvarande]], SUM(Tabell4[[#This Row],[Summa förbrukning]:[Lån]])+Tabell4[[#This Row],[Korr]],0)</f>
        <v>2016.6257142857144</v>
      </c>
      <c r="L35" s="2"/>
    </row>
    <row r="36" spans="1:12" x14ac:dyDescent="0.25">
      <c r="A36" s="4">
        <f>Tabell6[[#This Row],[Avläsnings datum]]</f>
        <v>44316</v>
      </c>
      <c r="B36">
        <v>2142</v>
      </c>
      <c r="C36">
        <f t="shared" si="4"/>
        <v>2113</v>
      </c>
      <c r="D36">
        <f t="shared" si="5"/>
        <v>29</v>
      </c>
      <c r="E36" s="3">
        <f>Tabell6[[#This Row],[Att fördela]]</f>
        <v>-1.0714285714285714</v>
      </c>
      <c r="F36">
        <f>Tabell6[[#This Row],[Pris/m3 ink.moms]]</f>
        <v>15.780000000000001</v>
      </c>
      <c r="G36" s="2">
        <f>(Tabell4[[#This Row],[Förbrukning]]+Tabell4[[#This Row],[Utjämning]])*Tabell4[[#This Row],[Kr/m3]]</f>
        <v>440.71285714285716</v>
      </c>
      <c r="H36" s="2">
        <f>Tabell6[[#This Row],[Summa fast avg/hushåll]]</f>
        <v>578.16714285714284</v>
      </c>
      <c r="I36" s="2">
        <f>Tabell6[[#This Row],[Medlems avg]]/14</f>
        <v>1000</v>
      </c>
      <c r="J36" s="2"/>
      <c r="K36" s="2">
        <f>IF(Tabell4[[#This Row],[Nuvarande]], SUM(Tabell4[[#This Row],[Summa förbrukning]:[Lån]])+Tabell4[[#This Row],[Korr]],0)</f>
        <v>2018.88</v>
      </c>
      <c r="L36" s="2"/>
    </row>
    <row r="37" spans="1:12" x14ac:dyDescent="0.25">
      <c r="A37" s="4">
        <f>Tabell6[[#This Row],[Avläsnings datum]]</f>
        <v>44439</v>
      </c>
      <c r="B37">
        <v>2184</v>
      </c>
      <c r="C37">
        <f t="shared" ref="C37:C60" si="6">B36</f>
        <v>2142</v>
      </c>
      <c r="D37">
        <f t="shared" ref="D37:D60" si="7">IF(B37-C37&lt;0,0,B37-C37)</f>
        <v>42</v>
      </c>
      <c r="E37" s="3">
        <f>Tabell6[[#This Row],[Att fördela]]</f>
        <v>-2.4285714285714284</v>
      </c>
      <c r="F37">
        <f>Tabell6[[#This Row],[Pris/m3 ink.moms]]</f>
        <v>15.780000000000001</v>
      </c>
      <c r="G37" s="2">
        <f>(Tabell4[[#This Row],[Förbrukning]]+Tabell4[[#This Row],[Utjämning]])*Tabell4[[#This Row],[Kr/m3]]</f>
        <v>624.43714285714282</v>
      </c>
      <c r="H37" s="2">
        <f>Tabell6[[#This Row],[Summa fast avg/hushåll]]</f>
        <v>578.16714285714284</v>
      </c>
      <c r="I37" s="2">
        <f>Tabell6[[#This Row],[Medlems avg]]/14</f>
        <v>1000</v>
      </c>
      <c r="J37" s="2"/>
      <c r="K37" s="2">
        <f>IF(Tabell4[[#This Row],[Nuvarande]], SUM(Tabell4[[#This Row],[Summa förbrukning]:[Lån]])+Tabell4[[#This Row],[Korr]],0)</f>
        <v>2202.6042857142857</v>
      </c>
      <c r="L37" s="2"/>
    </row>
    <row r="38" spans="1:12" x14ac:dyDescent="0.25">
      <c r="A38" s="4">
        <f>Tabell6[[#This Row],[Avläsnings datum]]</f>
        <v>44561</v>
      </c>
      <c r="B38">
        <v>2212</v>
      </c>
      <c r="C38">
        <f t="shared" si="6"/>
        <v>2184</v>
      </c>
      <c r="D38">
        <f t="shared" si="7"/>
        <v>28</v>
      </c>
      <c r="E38" s="3">
        <f>Tabell6[[#This Row],[Att fördela]]</f>
        <v>-1.3571428571428572</v>
      </c>
      <c r="F38">
        <f>Tabell6[[#This Row],[Pris/m3 ink.moms]]</f>
        <v>15.780000000000001</v>
      </c>
      <c r="G38" s="2">
        <f>(Tabell4[[#This Row],[Förbrukning]]+Tabell4[[#This Row],[Utjämning]])*Tabell4[[#This Row],[Kr/m3]]</f>
        <v>420.42428571428576</v>
      </c>
      <c r="H38" s="2">
        <f>Tabell6[[#This Row],[Summa fast avg/hushåll]]</f>
        <v>578.16714285714284</v>
      </c>
      <c r="I38" s="2">
        <f>Tabell6[[#This Row],[Medlems avg]]/14</f>
        <v>1000</v>
      </c>
      <c r="J38" s="2"/>
      <c r="K38" s="2">
        <f>IF(Tabell4[[#This Row],[Nuvarande]], SUM(Tabell4[[#This Row],[Summa förbrukning]:[Lån]])+Tabell4[[#This Row],[Korr]],0)</f>
        <v>1998.5914285714287</v>
      </c>
      <c r="L38" s="2"/>
    </row>
    <row r="39" spans="1:12" x14ac:dyDescent="0.25">
      <c r="A39" s="4">
        <f>Tabell6[[#This Row],[Avläsnings datum]]</f>
        <v>44681</v>
      </c>
      <c r="B39">
        <v>2249</v>
      </c>
      <c r="C39">
        <f t="shared" si="6"/>
        <v>2212</v>
      </c>
      <c r="D39">
        <f t="shared" si="7"/>
        <v>37</v>
      </c>
      <c r="E39" s="3">
        <f>Tabell6[[#This Row],[Att fördela]]</f>
        <v>-2.7142857142857144</v>
      </c>
      <c r="F39">
        <f>Tabell6[[#This Row],[Pris/m3 ink.moms]]</f>
        <v>15.780000000000001</v>
      </c>
      <c r="G39" s="2">
        <f>(Tabell4[[#This Row],[Förbrukning]]+Tabell4[[#This Row],[Utjämning]])*Tabell4[[#This Row],[Kr/m3]]</f>
        <v>541.02857142857147</v>
      </c>
      <c r="H39" s="2">
        <f>Tabell6[[#This Row],[Summa fast avg/hushåll]]</f>
        <v>578.16714285714284</v>
      </c>
      <c r="I39" s="2">
        <f>Tabell6[[#This Row],[Medlems avg]]/14</f>
        <v>1000</v>
      </c>
      <c r="J39" s="2"/>
      <c r="K39" s="2">
        <f>IF(Tabell4[[#This Row],[Nuvarande]], SUM(Tabell4[[#This Row],[Summa förbrukning]:[Lån]])+Tabell4[[#This Row],[Korr]],0)</f>
        <v>2119.1957142857145</v>
      </c>
      <c r="L39" s="2"/>
    </row>
    <row r="40" spans="1:12" x14ac:dyDescent="0.25">
      <c r="A40" s="4">
        <f>Tabell6[[#This Row],[Avläsnings datum]]</f>
        <v>44804</v>
      </c>
      <c r="B40">
        <v>2272</v>
      </c>
      <c r="C40">
        <f t="shared" si="6"/>
        <v>2249</v>
      </c>
      <c r="D40">
        <f t="shared" si="7"/>
        <v>23</v>
      </c>
      <c r="E40" s="3">
        <f>Tabell6[[#This Row],[Att fördela]]</f>
        <v>-7.1428571428571425E-2</v>
      </c>
      <c r="F40">
        <f>Tabell6[[#This Row],[Pris/m3 ink.moms]]</f>
        <v>15.780000000000001</v>
      </c>
      <c r="G40" s="2">
        <f>(Tabell4[[#This Row],[Förbrukning]]+Tabell4[[#This Row],[Utjämning]])*Tabell4[[#This Row],[Kr/m3]]</f>
        <v>361.81285714285713</v>
      </c>
      <c r="H40" s="2">
        <f>Tabell6[[#This Row],[Summa fast avg/hushåll]]</f>
        <v>578.16714285714284</v>
      </c>
      <c r="I40" s="2">
        <f>Tabell6[[#This Row],[Medlems avg]]/14</f>
        <v>1000</v>
      </c>
      <c r="J40" s="2"/>
      <c r="K40" s="2">
        <f>IF(Tabell4[[#This Row],[Nuvarande]], SUM(Tabell4[[#This Row],[Summa förbrukning]:[Lån]])+Tabell4[[#This Row],[Korr]],0)</f>
        <v>1939.98</v>
      </c>
      <c r="L40" s="2"/>
    </row>
    <row r="41" spans="1:12" x14ac:dyDescent="0.25">
      <c r="A41" s="4">
        <f>Tabell6[[#This Row],[Avläsnings datum]]</f>
        <v>44926</v>
      </c>
      <c r="B41">
        <v>2300</v>
      </c>
      <c r="C41">
        <f t="shared" si="6"/>
        <v>2272</v>
      </c>
      <c r="D41">
        <f t="shared" si="7"/>
        <v>28</v>
      </c>
      <c r="E41" s="3">
        <f>Tabell6[[#This Row],[Att fördela]]</f>
        <v>0</v>
      </c>
      <c r="F41">
        <f>Tabell6[[#This Row],[Pris/m3 ink.moms]]</f>
        <v>15.780000000000001</v>
      </c>
      <c r="G41" s="2">
        <f>(Tabell4[[#This Row],[Förbrukning]]+Tabell4[[#This Row],[Utjämning]])*Tabell4[[#This Row],[Kr/m3]]</f>
        <v>441.84000000000003</v>
      </c>
      <c r="H41" s="2">
        <f>Tabell6[[#This Row],[Summa fast avg/hushåll]]</f>
        <v>578.16714285714284</v>
      </c>
      <c r="I41" s="2">
        <f>Tabell6[[#This Row],[Medlems avg]]/14</f>
        <v>1000</v>
      </c>
      <c r="J41" s="2"/>
      <c r="K41" s="2">
        <f>IF(Tabell4[[#This Row],[Nuvarande]], SUM(Tabell4[[#This Row],[Summa förbrukning]:[Lån]])+Tabell4[[#This Row],[Korr]],0)</f>
        <v>2020.0071428571428</v>
      </c>
      <c r="L41" s="2"/>
    </row>
    <row r="42" spans="1:12" x14ac:dyDescent="0.25">
      <c r="A42" s="4">
        <f>Tabell6[[#This Row],[Avläsnings datum]]</f>
        <v>45046</v>
      </c>
      <c r="B42">
        <v>2325</v>
      </c>
      <c r="C42">
        <f t="shared" si="6"/>
        <v>2300</v>
      </c>
      <c r="D42">
        <f t="shared" si="7"/>
        <v>25</v>
      </c>
      <c r="E42" s="3">
        <f>Tabell6[[#This Row],[Att fördela]]</f>
        <v>0.14285714285714285</v>
      </c>
      <c r="F42">
        <f>Tabell6[[#This Row],[Pris/m3 ink.moms]]</f>
        <v>17.829999999999998</v>
      </c>
      <c r="G42" s="2">
        <f>(Tabell4[[#This Row],[Förbrukning]]+Tabell4[[#This Row],[Utjämning]])*Tabell4[[#This Row],[Kr/m3]]</f>
        <v>448.29714285714283</v>
      </c>
      <c r="H42" s="2">
        <f>Tabell6[[#This Row],[Summa fast avg/hushåll]]</f>
        <v>652.99952380952379</v>
      </c>
      <c r="I42" s="2">
        <f>Tabell6[[#This Row],[Medlems avg]]/14</f>
        <v>1000</v>
      </c>
      <c r="J42" s="2"/>
      <c r="K42" s="2">
        <f>IF(Tabell4[[#This Row],[Nuvarande]], SUM(Tabell4[[#This Row],[Summa förbrukning]:[Lån]])+Tabell4[[#This Row],[Korr]],0)</f>
        <v>2101.2966666666666</v>
      </c>
      <c r="L42" s="2"/>
    </row>
    <row r="43" spans="1:12" x14ac:dyDescent="0.25">
      <c r="A43" s="4">
        <f>Tabell6[[#This Row],[Avläsnings datum]]</f>
        <v>45169</v>
      </c>
      <c r="B43">
        <v>2359</v>
      </c>
      <c r="C43">
        <f t="shared" si="6"/>
        <v>2325</v>
      </c>
      <c r="D43">
        <f t="shared" si="7"/>
        <v>34</v>
      </c>
      <c r="E43" s="3">
        <f>Tabell6[[#This Row],[Att fördela]]</f>
        <v>-2.2142857142857144</v>
      </c>
      <c r="F43">
        <f>Tabell6[[#This Row],[Pris/m3 ink.moms]]</f>
        <v>17.829999999999998</v>
      </c>
      <c r="G43" s="2">
        <f>(Tabell4[[#This Row],[Förbrukning]]+Tabell4[[#This Row],[Utjämning]])*Tabell4[[#This Row],[Kr/m3]]</f>
        <v>566.73928571428564</v>
      </c>
      <c r="H43" s="2">
        <f>Tabell6[[#This Row],[Summa fast avg/hushåll]]</f>
        <v>652.99952380952379</v>
      </c>
      <c r="I43" s="2">
        <f>Tabell6[[#This Row],[Medlems avg]]/14</f>
        <v>1000</v>
      </c>
      <c r="J43" s="2"/>
      <c r="K43" s="2">
        <f>IF(Tabell4[[#This Row],[Nuvarande]], SUM(Tabell4[[#This Row],[Summa förbrukning]:[Lån]])+Tabell4[[#This Row],[Korr]],0)</f>
        <v>2219.7388095238093</v>
      </c>
      <c r="L43" s="2"/>
    </row>
    <row r="44" spans="1:12" x14ac:dyDescent="0.25">
      <c r="A44" s="4">
        <f>Tabell6[[#This Row],[Avläsnings datum]]</f>
        <v>45291</v>
      </c>
      <c r="B44">
        <v>2389</v>
      </c>
      <c r="C44">
        <f t="shared" si="6"/>
        <v>2359</v>
      </c>
      <c r="D44">
        <f t="shared" si="7"/>
        <v>30</v>
      </c>
      <c r="E44" s="3">
        <f>Tabell6[[#This Row],[Att fördela]]</f>
        <v>-0.7857142857142857</v>
      </c>
      <c r="F44">
        <f>Tabell6[[#This Row],[Pris/m3 ink.moms]]</f>
        <v>17.829999999999998</v>
      </c>
      <c r="G44" s="2">
        <f>(Tabell4[[#This Row],[Förbrukning]]+Tabell4[[#This Row],[Utjämning]])*Tabell4[[#This Row],[Kr/m3]]</f>
        <v>520.89071428571424</v>
      </c>
      <c r="H44" s="2">
        <f>Tabell6[[#This Row],[Summa fast avg/hushåll]]</f>
        <v>652.99952380952379</v>
      </c>
      <c r="I44" s="2">
        <f>Tabell6[[#This Row],[Medlems avg]]/14</f>
        <v>1000</v>
      </c>
      <c r="J44" s="2"/>
      <c r="K44" s="2">
        <f>IF(Tabell4[[#This Row],[Nuvarande]], SUM(Tabell4[[#This Row],[Summa förbrukning]:[Lån]])+Tabell4[[#This Row],[Korr]],0)</f>
        <v>2173.8902380952381</v>
      </c>
      <c r="L44" s="2"/>
    </row>
    <row r="45" spans="1:12" x14ac:dyDescent="0.25">
      <c r="A45" s="4">
        <f>Tabell6[[#This Row],[Avläsnings datum]]</f>
        <v>45412</v>
      </c>
      <c r="B45">
        <v>2413</v>
      </c>
      <c r="C45">
        <f t="shared" si="6"/>
        <v>2389</v>
      </c>
      <c r="D45">
        <f t="shared" si="7"/>
        <v>24</v>
      </c>
      <c r="E45" s="3">
        <f>Tabell6[[#This Row],[Att fördela]]</f>
        <v>-7.1428571428571425E-2</v>
      </c>
      <c r="F45">
        <f>Tabell6[[#This Row],[Pris/m3 ink.moms]]</f>
        <v>17.829999999999998</v>
      </c>
      <c r="G45" s="2">
        <f>(Tabell4[[#This Row],[Förbrukning]]+Tabell4[[#This Row],[Utjämning]])*Tabell4[[#This Row],[Kr/m3]]</f>
        <v>426.64642857142849</v>
      </c>
      <c r="H45" s="2">
        <f>Tabell6[[#This Row],[Summa fast avg/hushåll]]</f>
        <v>652.99952380952379</v>
      </c>
      <c r="I45" s="2">
        <f>Tabell6[[#This Row],[Medlems avg]]/14</f>
        <v>1000</v>
      </c>
      <c r="J45" s="2"/>
      <c r="K45" s="2">
        <f>IF(Tabell4[[#This Row],[Nuvarande]], SUM(Tabell4[[#This Row],[Summa förbrukning]:[Lån]])+Tabell4[[#This Row],[Korr]],0)</f>
        <v>2079.6459523809522</v>
      </c>
      <c r="L45" s="2"/>
    </row>
    <row r="46" spans="1:12" x14ac:dyDescent="0.25">
      <c r="A46" s="4">
        <f>Tabell6[[#This Row],[Avläsnings datum]]</f>
        <v>45535</v>
      </c>
      <c r="B46">
        <v>2447</v>
      </c>
      <c r="C46">
        <f t="shared" si="6"/>
        <v>2413</v>
      </c>
      <c r="D46">
        <f t="shared" si="7"/>
        <v>34</v>
      </c>
      <c r="E46" s="3">
        <f>Tabell6[[#This Row],[Att fördela]]</f>
        <v>-1.3571428571428572</v>
      </c>
      <c r="F46">
        <f>Tabell6[[#This Row],[Pris/m3 ink.moms]]</f>
        <v>21</v>
      </c>
      <c r="G46" s="2">
        <f>(Tabell4[[#This Row],[Förbrukning]]+Tabell4[[#This Row],[Utjämning]])*Tabell4[[#This Row],[Kr/m3]]</f>
        <v>685.50000000000011</v>
      </c>
      <c r="H46" s="2">
        <f>Tabell6[[#This Row],[Summa fast avg/hushåll]]</f>
        <v>763.97428571428566</v>
      </c>
      <c r="I46" s="2">
        <f>Tabell6[[#This Row],[Medlems avg]]/14</f>
        <v>1000</v>
      </c>
      <c r="J46" s="2"/>
      <c r="K46" s="2">
        <f>IF(Tabell4[[#This Row],[Nuvarande]], SUM(Tabell4[[#This Row],[Summa förbrukning]:[Lån]])+Tabell4[[#This Row],[Korr]],0)</f>
        <v>2449.4742857142855</v>
      </c>
      <c r="L46" s="2"/>
    </row>
    <row r="47" spans="1:12" x14ac:dyDescent="0.25">
      <c r="A47" s="4">
        <f>Tabell6[[#This Row],[Avläsnings datum]]</f>
        <v>45657</v>
      </c>
      <c r="B47">
        <v>2476</v>
      </c>
      <c r="C47">
        <f t="shared" si="6"/>
        <v>2447</v>
      </c>
      <c r="D47">
        <f t="shared" si="7"/>
        <v>29</v>
      </c>
      <c r="E47" s="3">
        <f>Tabell6[[#This Row],[Att fördela]]</f>
        <v>-1.7142857142857142</v>
      </c>
      <c r="F47">
        <f>Tabell6[[#This Row],[Pris/m3 ink.moms]]</f>
        <v>21</v>
      </c>
      <c r="G47" s="2">
        <f>(Tabell4[[#This Row],[Förbrukning]]+Tabell4[[#This Row],[Utjämning]])*Tabell4[[#This Row],[Kr/m3]]</f>
        <v>573</v>
      </c>
      <c r="H47" s="2">
        <f>Tabell6[[#This Row],[Summa fast avg/hushåll]]</f>
        <v>763.97428571428566</v>
      </c>
      <c r="I47" s="2">
        <f>Tabell6[[#This Row],[Medlems avg]]/14</f>
        <v>1000</v>
      </c>
      <c r="J47" s="2"/>
      <c r="K47" s="2">
        <f>IF(Tabell4[[#This Row],[Nuvarande]], SUM(Tabell4[[#This Row],[Summa förbrukning]:[Lån]])+Tabell4[[#This Row],[Korr]],0)</f>
        <v>2336.9742857142855</v>
      </c>
      <c r="L47" s="2"/>
    </row>
    <row r="48" spans="1:12" x14ac:dyDescent="0.25">
      <c r="A48" s="4">
        <f>Tabell6[[#This Row],[Avläsnings datum]]</f>
        <v>45777</v>
      </c>
      <c r="B48">
        <v>2502</v>
      </c>
      <c r="C48">
        <f t="shared" si="6"/>
        <v>2476</v>
      </c>
      <c r="D48">
        <f t="shared" si="7"/>
        <v>26</v>
      </c>
      <c r="E48" s="3">
        <f>Tabell6[[#This Row],[Att fördela]]</f>
        <v>-1.5</v>
      </c>
      <c r="F48">
        <f>Tabell6[[#This Row],[Pris/m3 ink.moms]]</f>
        <v>24</v>
      </c>
      <c r="G48" s="2">
        <f>(Tabell4[[#This Row],[Förbrukning]]+Tabell4[[#This Row],[Utjämning]])*Tabell4[[#This Row],[Kr/m3]]</f>
        <v>588</v>
      </c>
      <c r="H48" s="2">
        <f>Tabell6[[#This Row],[Summa fast avg/hushåll]]</f>
        <v>879.14738095238101</v>
      </c>
      <c r="I48" s="2">
        <f>Tabell6[[#This Row],[Medlems avg]]/14</f>
        <v>1000</v>
      </c>
      <c r="J48" s="2"/>
      <c r="K48" s="2">
        <f>IF(Tabell4[[#This Row],[Nuvarande]], SUM(Tabell4[[#This Row],[Summa förbrukning]:[Lån]])+Tabell4[[#This Row],[Korr]],0)</f>
        <v>387.1473809523809</v>
      </c>
      <c r="L48" s="2">
        <v>-2080</v>
      </c>
    </row>
    <row r="49" spans="1:12" x14ac:dyDescent="0.25">
      <c r="A49" s="4">
        <f>Tabell6[[#This Row],[Avläsnings datum]]</f>
        <v>45900</v>
      </c>
      <c r="C49">
        <f t="shared" si="6"/>
        <v>2502</v>
      </c>
      <c r="D49">
        <f t="shared" si="7"/>
        <v>0</v>
      </c>
      <c r="E49" s="3">
        <f>Tabell6[[#This Row],[Att fördela]]</f>
        <v>0</v>
      </c>
      <c r="F49">
        <f>Tabell6[[#This Row],[Pris/m3 ink.moms]]</f>
        <v>24</v>
      </c>
      <c r="G49" s="2">
        <f>(Tabell4[[#This Row],[Förbrukning]]+Tabell4[[#This Row],[Utjämning]])*Tabell4[[#This Row],[Kr/m3]]</f>
        <v>0</v>
      </c>
      <c r="H49" s="2">
        <f>Tabell6[[#This Row],[Summa fast avg/hushåll]]</f>
        <v>879.14738095238101</v>
      </c>
      <c r="I49" s="2">
        <f>Tabell6[[#This Row],[Medlems avg]]/14</f>
        <v>1000</v>
      </c>
      <c r="J49" s="2"/>
      <c r="K49" s="2">
        <f>IF(Tabell4[[#This Row],[Nuvarande]], SUM(Tabell4[[#This Row],[Summa förbrukning]:[Lån]])+Tabell4[[#This Row],[Korr]],0)</f>
        <v>0</v>
      </c>
      <c r="L49" s="2"/>
    </row>
    <row r="50" spans="1:12" x14ac:dyDescent="0.25">
      <c r="A50" s="4">
        <f>Tabell6[[#This Row],[Avläsnings datum]]</f>
        <v>46022</v>
      </c>
      <c r="C50">
        <f t="shared" si="6"/>
        <v>0</v>
      </c>
      <c r="D50">
        <f t="shared" si="7"/>
        <v>0</v>
      </c>
      <c r="E50" s="3">
        <f>Tabell6[[#This Row],[Att fördela]]</f>
        <v>0</v>
      </c>
      <c r="F50">
        <f>Tabell6[[#This Row],[Pris/m3 ink.moms]]</f>
        <v>24</v>
      </c>
      <c r="G50" s="2">
        <f>(Tabell4[[#This Row],[Förbrukning]]+Tabell4[[#This Row],[Utjämning]])*Tabell4[[#This Row],[Kr/m3]]</f>
        <v>0</v>
      </c>
      <c r="H50" s="2">
        <f>Tabell6[[#This Row],[Summa fast avg/hushåll]]</f>
        <v>879.14738095238101</v>
      </c>
      <c r="I50" s="2">
        <f>Tabell6[[#This Row],[Medlems avg]]/14</f>
        <v>1000</v>
      </c>
      <c r="J50" s="2"/>
      <c r="K50" s="2">
        <f>IF(Tabell4[[#This Row],[Nuvarande]], SUM(Tabell4[[#This Row],[Summa förbrukning]:[Lån]])+Tabell4[[#This Row],[Korr]],0)</f>
        <v>0</v>
      </c>
      <c r="L50" s="2"/>
    </row>
    <row r="51" spans="1:12" x14ac:dyDescent="0.25">
      <c r="A51" s="4">
        <f>Tabell6[[#This Row],[Avläsnings datum]]</f>
        <v>46142</v>
      </c>
      <c r="C51">
        <f t="shared" si="6"/>
        <v>0</v>
      </c>
      <c r="D51">
        <f t="shared" si="7"/>
        <v>0</v>
      </c>
      <c r="E51" s="3">
        <f>Tabell6[[#This Row],[Att fördela]]</f>
        <v>0</v>
      </c>
      <c r="F51">
        <f>Tabell6[[#This Row],[Pris/m3 ink.moms]]</f>
        <v>24</v>
      </c>
      <c r="G51" s="2">
        <f>(Tabell4[[#This Row],[Förbrukning]]+Tabell4[[#This Row],[Utjämning]])*Tabell4[[#This Row],[Kr/m3]]</f>
        <v>0</v>
      </c>
      <c r="H51" s="2">
        <f>Tabell6[[#This Row],[Summa fast avg/hushåll]]</f>
        <v>879.14738095238101</v>
      </c>
      <c r="I51" s="2">
        <f>Tabell6[[#This Row],[Medlems avg]]/14</f>
        <v>1000</v>
      </c>
      <c r="J51" s="2"/>
      <c r="K51" s="2">
        <f>IF(Tabell4[[#This Row],[Nuvarande]], SUM(Tabell4[[#This Row],[Summa förbrukning]:[Lån]])+Tabell4[[#This Row],[Korr]],0)</f>
        <v>0</v>
      </c>
      <c r="L51" s="2"/>
    </row>
    <row r="52" spans="1:12" x14ac:dyDescent="0.25">
      <c r="A52" s="4">
        <f>Tabell6[[#This Row],[Avläsnings datum]]</f>
        <v>46265</v>
      </c>
      <c r="C52">
        <f t="shared" si="6"/>
        <v>0</v>
      </c>
      <c r="D52">
        <f t="shared" si="7"/>
        <v>0</v>
      </c>
      <c r="E52" s="3">
        <f>Tabell6[[#This Row],[Att fördela]]</f>
        <v>0</v>
      </c>
      <c r="F52">
        <f>Tabell6[[#This Row],[Pris/m3 ink.moms]]</f>
        <v>24</v>
      </c>
      <c r="G52" s="2">
        <f>(Tabell4[[#This Row],[Förbrukning]]+Tabell4[[#This Row],[Utjämning]])*Tabell4[[#This Row],[Kr/m3]]</f>
        <v>0</v>
      </c>
      <c r="H52" s="2">
        <f>Tabell6[[#This Row],[Summa fast avg/hushåll]]</f>
        <v>879.14738095238101</v>
      </c>
      <c r="I52" s="2">
        <f>Tabell6[[#This Row],[Medlems avg]]/14</f>
        <v>1000</v>
      </c>
      <c r="J52" s="2"/>
      <c r="K52" s="2">
        <f>IF(Tabell4[[#This Row],[Nuvarande]], SUM(Tabell4[[#This Row],[Summa förbrukning]:[Lån]])+Tabell4[[#This Row],[Korr]],0)</f>
        <v>0</v>
      </c>
      <c r="L52" s="2"/>
    </row>
    <row r="53" spans="1:12" x14ac:dyDescent="0.25">
      <c r="A53" s="4">
        <f>Tabell6[[#This Row],[Avläsnings datum]]</f>
        <v>46387</v>
      </c>
      <c r="C53">
        <f t="shared" si="6"/>
        <v>0</v>
      </c>
      <c r="D53">
        <f t="shared" si="7"/>
        <v>0</v>
      </c>
      <c r="E53" s="3">
        <f>Tabell6[[#This Row],[Att fördela]]</f>
        <v>0</v>
      </c>
      <c r="F53">
        <f>Tabell6[[#This Row],[Pris/m3 ink.moms]]</f>
        <v>24</v>
      </c>
      <c r="G53" s="2">
        <f>(Tabell4[[#This Row],[Förbrukning]]+Tabell4[[#This Row],[Utjämning]])*Tabell4[[#This Row],[Kr/m3]]</f>
        <v>0</v>
      </c>
      <c r="H53" s="2">
        <f>Tabell6[[#This Row],[Summa fast avg/hushåll]]</f>
        <v>879.14738095238101</v>
      </c>
      <c r="I53" s="2">
        <f>Tabell6[[#This Row],[Medlems avg]]/14</f>
        <v>1000</v>
      </c>
      <c r="J53" s="2"/>
      <c r="K53" s="2">
        <f>IF(Tabell4[[#This Row],[Nuvarande]], SUM(Tabell4[[#This Row],[Summa förbrukning]:[Lån]])+Tabell4[[#This Row],[Korr]],0)</f>
        <v>0</v>
      </c>
      <c r="L53" s="2"/>
    </row>
    <row r="54" spans="1:12" x14ac:dyDescent="0.25">
      <c r="A54" s="4">
        <f>Tabell6[[#This Row],[Avläsnings datum]]</f>
        <v>46507</v>
      </c>
      <c r="C54">
        <f t="shared" si="6"/>
        <v>0</v>
      </c>
      <c r="D54">
        <f t="shared" si="7"/>
        <v>0</v>
      </c>
      <c r="E54" s="3">
        <f>Tabell6[[#This Row],[Att fördela]]</f>
        <v>0</v>
      </c>
      <c r="F54">
        <f>Tabell6[[#This Row],[Pris/m3 ink.moms]]</f>
        <v>24</v>
      </c>
      <c r="G54" s="2">
        <f>(Tabell4[[#This Row],[Förbrukning]]+Tabell4[[#This Row],[Utjämning]])*Tabell4[[#This Row],[Kr/m3]]</f>
        <v>0</v>
      </c>
      <c r="H54" s="2">
        <f>Tabell6[[#This Row],[Summa fast avg/hushåll]]</f>
        <v>879.14738095238101</v>
      </c>
      <c r="I54" s="2">
        <f>Tabell6[[#This Row],[Medlems avg]]/14</f>
        <v>1000</v>
      </c>
      <c r="J54" s="2"/>
      <c r="K54" s="2">
        <f>IF(Tabell4[[#This Row],[Nuvarande]], SUM(Tabell4[[#This Row],[Summa förbrukning]:[Lån]])+Tabell4[[#This Row],[Korr]],0)</f>
        <v>0</v>
      </c>
      <c r="L54" s="2"/>
    </row>
    <row r="55" spans="1:12" x14ac:dyDescent="0.25">
      <c r="A55" s="4">
        <f>Tabell6[[#This Row],[Avläsnings datum]]</f>
        <v>46630</v>
      </c>
      <c r="C55">
        <f t="shared" si="6"/>
        <v>0</v>
      </c>
      <c r="D55">
        <f t="shared" si="7"/>
        <v>0</v>
      </c>
      <c r="E55" s="3">
        <f>Tabell6[[#This Row],[Att fördela]]</f>
        <v>0</v>
      </c>
      <c r="F55">
        <f>Tabell6[[#This Row],[Pris/m3 ink.moms]]</f>
        <v>24</v>
      </c>
      <c r="G55" s="2">
        <f>(Tabell4[[#This Row],[Förbrukning]]+Tabell4[[#This Row],[Utjämning]])*Tabell4[[#This Row],[Kr/m3]]</f>
        <v>0</v>
      </c>
      <c r="H55" s="2">
        <f>Tabell6[[#This Row],[Summa fast avg/hushåll]]</f>
        <v>879.14738095238101</v>
      </c>
      <c r="I55" s="2">
        <f>Tabell6[[#This Row],[Medlems avg]]/14</f>
        <v>1000</v>
      </c>
      <c r="J55" s="2"/>
      <c r="K55" s="2">
        <f>IF(Tabell4[[#This Row],[Nuvarande]], SUM(Tabell4[[#This Row],[Summa förbrukning]:[Lån]])+Tabell4[[#This Row],[Korr]],0)</f>
        <v>0</v>
      </c>
      <c r="L55" s="2"/>
    </row>
    <row r="56" spans="1:12" x14ac:dyDescent="0.25">
      <c r="A56" s="4">
        <f>Tabell6[[#This Row],[Avläsnings datum]]</f>
        <v>46752</v>
      </c>
      <c r="C56">
        <f t="shared" si="6"/>
        <v>0</v>
      </c>
      <c r="D56">
        <f t="shared" si="7"/>
        <v>0</v>
      </c>
      <c r="E56" s="3">
        <f>Tabell6[[#This Row],[Att fördela]]</f>
        <v>0</v>
      </c>
      <c r="F56">
        <f>Tabell6[[#This Row],[Pris/m3 ink.moms]]</f>
        <v>24</v>
      </c>
      <c r="G56" s="2">
        <f>(Tabell4[[#This Row],[Förbrukning]]+Tabell4[[#This Row],[Utjämning]])*Tabell4[[#This Row],[Kr/m3]]</f>
        <v>0</v>
      </c>
      <c r="H56" s="2">
        <f>Tabell6[[#This Row],[Summa fast avg/hushåll]]</f>
        <v>879.14738095238101</v>
      </c>
      <c r="I56" s="2">
        <f>Tabell6[[#This Row],[Medlems avg]]/14</f>
        <v>1000</v>
      </c>
      <c r="J56" s="2"/>
      <c r="K56" s="2">
        <f>IF(Tabell4[[#This Row],[Nuvarande]], SUM(Tabell4[[#This Row],[Summa förbrukning]:[Lån]])+Tabell4[[#This Row],[Korr]],0)</f>
        <v>0</v>
      </c>
      <c r="L56" s="2"/>
    </row>
    <row r="57" spans="1:12" x14ac:dyDescent="0.25">
      <c r="A57" s="4">
        <f>Tabell6[[#This Row],[Avläsnings datum]]</f>
        <v>46873</v>
      </c>
      <c r="C57">
        <f t="shared" si="6"/>
        <v>0</v>
      </c>
      <c r="D57">
        <f t="shared" si="7"/>
        <v>0</v>
      </c>
      <c r="E57" s="3">
        <f>Tabell6[[#This Row],[Att fördela]]</f>
        <v>0</v>
      </c>
      <c r="F57">
        <f>Tabell6[[#This Row],[Pris/m3 ink.moms]]</f>
        <v>24</v>
      </c>
      <c r="G57" s="2">
        <f>(Tabell4[[#This Row],[Förbrukning]]+Tabell4[[#This Row],[Utjämning]])*Tabell4[[#This Row],[Kr/m3]]</f>
        <v>0</v>
      </c>
      <c r="H57" s="2">
        <f>Tabell6[[#This Row],[Summa fast avg/hushåll]]</f>
        <v>879.14738095238101</v>
      </c>
      <c r="I57" s="2">
        <f>Tabell6[[#This Row],[Medlems avg]]/14</f>
        <v>1000</v>
      </c>
      <c r="J57" s="2"/>
      <c r="K57" s="2">
        <f>IF(Tabell4[[#This Row],[Nuvarande]], SUM(Tabell4[[#This Row],[Summa förbrukning]:[Lån]])+Tabell4[[#This Row],[Korr]],0)</f>
        <v>0</v>
      </c>
      <c r="L57" s="2"/>
    </row>
    <row r="58" spans="1:12" x14ac:dyDescent="0.25">
      <c r="A58" s="4">
        <f>Tabell6[[#This Row],[Avläsnings datum]]</f>
        <v>46996</v>
      </c>
      <c r="C58">
        <f t="shared" si="6"/>
        <v>0</v>
      </c>
      <c r="D58">
        <f t="shared" si="7"/>
        <v>0</v>
      </c>
      <c r="E58" s="3">
        <f>Tabell6[[#This Row],[Att fördela]]</f>
        <v>0</v>
      </c>
      <c r="F58">
        <f>Tabell6[[#This Row],[Pris/m3 ink.moms]]</f>
        <v>24</v>
      </c>
      <c r="G58" s="2">
        <f>(Tabell4[[#This Row],[Förbrukning]]+Tabell4[[#This Row],[Utjämning]])*Tabell4[[#This Row],[Kr/m3]]</f>
        <v>0</v>
      </c>
      <c r="H58" s="2">
        <f>Tabell6[[#This Row],[Summa fast avg/hushåll]]</f>
        <v>879.14738095238101</v>
      </c>
      <c r="I58" s="2">
        <f>Tabell6[[#This Row],[Medlems avg]]/14</f>
        <v>1000</v>
      </c>
      <c r="J58" s="2"/>
      <c r="K58" s="2">
        <f>IF(Tabell4[[#This Row],[Nuvarande]], SUM(Tabell4[[#This Row],[Summa förbrukning]:[Lån]])+Tabell4[[#This Row],[Korr]],0)</f>
        <v>0</v>
      </c>
      <c r="L58" s="2"/>
    </row>
    <row r="59" spans="1:12" x14ac:dyDescent="0.25">
      <c r="A59" s="4">
        <f>Tabell6[[#This Row],[Avläsnings datum]]</f>
        <v>47118</v>
      </c>
      <c r="C59">
        <f t="shared" si="6"/>
        <v>0</v>
      </c>
      <c r="D59">
        <f t="shared" si="7"/>
        <v>0</v>
      </c>
      <c r="E59" s="3">
        <f>Tabell6[[#This Row],[Att fördela]]</f>
        <v>0</v>
      </c>
      <c r="F59">
        <f>Tabell6[[#This Row],[Pris/m3 ink.moms]]</f>
        <v>24</v>
      </c>
      <c r="G59" s="2">
        <f>(Tabell4[[#This Row],[Förbrukning]]+Tabell4[[#This Row],[Utjämning]])*Tabell4[[#This Row],[Kr/m3]]</f>
        <v>0</v>
      </c>
      <c r="H59" s="2">
        <f>Tabell6[[#This Row],[Summa fast avg/hushåll]]</f>
        <v>879.14738095238101</v>
      </c>
      <c r="I59" s="2">
        <f>Tabell6[[#This Row],[Medlems avg]]/14</f>
        <v>1000</v>
      </c>
      <c r="J59" s="2"/>
      <c r="K59" s="2">
        <f>IF(Tabell4[[#This Row],[Nuvarande]], SUM(Tabell4[[#This Row],[Summa förbrukning]:[Lån]])+Tabell4[[#This Row],[Korr]],0)</f>
        <v>0</v>
      </c>
      <c r="L59" s="2"/>
    </row>
    <row r="60" spans="1:12" x14ac:dyDescent="0.25">
      <c r="A60" s="4">
        <f>Tabell6[[#This Row],[Avläsnings datum]]</f>
        <v>47238</v>
      </c>
      <c r="C60">
        <f t="shared" si="6"/>
        <v>0</v>
      </c>
      <c r="D60">
        <f t="shared" si="7"/>
        <v>0</v>
      </c>
      <c r="E60" s="3">
        <f>Tabell6[[#This Row],[Att fördela]]</f>
        <v>0</v>
      </c>
      <c r="F60">
        <f>Tabell6[[#This Row],[Pris/m3 ink.moms]]</f>
        <v>24</v>
      </c>
      <c r="G60" s="2">
        <f>(Tabell4[[#This Row],[Förbrukning]]+Tabell4[[#This Row],[Utjämning]])*Tabell4[[#This Row],[Kr/m3]]</f>
        <v>0</v>
      </c>
      <c r="H60" s="2">
        <f>Tabell6[[#This Row],[Summa fast avg/hushåll]]</f>
        <v>879.14738095238101</v>
      </c>
      <c r="I60" s="2">
        <f>Tabell6[[#This Row],[Medlems avg]]/14</f>
        <v>1000</v>
      </c>
      <c r="J60" s="2"/>
      <c r="K60" s="2">
        <f>IF(Tabell4[[#This Row],[Nuvarande]], SUM(Tabell4[[#This Row],[Summa förbrukning]:[Lån]])+Tabell4[[#This Row],[Korr]],0)</f>
        <v>0</v>
      </c>
      <c r="L60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F120-23C3-4E03-B410-9E53DA0F315B}">
  <sheetPr>
    <tabColor theme="0" tint="-0.249977111117893"/>
    <pageSetUpPr fitToPage="1"/>
  </sheetPr>
  <dimension ref="B1:D33"/>
  <sheetViews>
    <sheetView showGridLines="0" view="pageLayout" zoomScaleNormal="100" workbookViewId="0">
      <selection activeCell="D8" sqref="D8"/>
    </sheetView>
  </sheetViews>
  <sheetFormatPr defaultColWidth="9.140625" defaultRowHeight="30" customHeight="1" x14ac:dyDescent="0.25"/>
  <cols>
    <col min="1" max="1" width="3" style="46" customWidth="1"/>
    <col min="2" max="2" width="55.42578125" style="46" customWidth="1"/>
    <col min="3" max="3" width="21.140625" style="46" bestFit="1" customWidth="1"/>
    <col min="4" max="4" width="22.7109375" style="46" customWidth="1"/>
    <col min="5" max="5" width="3" style="46" customWidth="1"/>
    <col min="6" max="16384" width="9.140625" style="46"/>
  </cols>
  <sheetData>
    <row r="1" spans="2:4" ht="34.5" customHeight="1" x14ac:dyDescent="0.45">
      <c r="B1" s="45" t="s">
        <v>51</v>
      </c>
      <c r="C1" s="70" t="s">
        <v>52</v>
      </c>
      <c r="D1" s="70"/>
    </row>
    <row r="2" spans="2:4" ht="30" customHeight="1" x14ac:dyDescent="0.25">
      <c r="B2" s="47"/>
    </row>
    <row r="3" spans="2:4" ht="30" customHeight="1" x14ac:dyDescent="0.25">
      <c r="B3" s="46" t="str">
        <f>"Gräsvägen " &amp; Gräsv.30!$A$1</f>
        <v>Gräsvägen 30</v>
      </c>
      <c r="C3" s="48" t="s">
        <v>53</v>
      </c>
      <c r="D3" s="49">
        <f ca="1">TODAY()</f>
        <v>45806</v>
      </c>
    </row>
    <row r="4" spans="2:4" ht="15" customHeight="1" x14ac:dyDescent="0.25">
      <c r="B4" s="46" t="s">
        <v>54</v>
      </c>
      <c r="C4" s="48"/>
      <c r="D4" s="50"/>
    </row>
    <row r="5" spans="2:4" ht="30" customHeight="1" x14ac:dyDescent="0.25">
      <c r="B5" s="51"/>
      <c r="C5" s="52"/>
      <c r="D5" s="53"/>
    </row>
    <row r="6" spans="2:4" ht="30" customHeight="1" x14ac:dyDescent="0.25">
      <c r="B6" s="51"/>
    </row>
    <row r="7" spans="2:4" ht="30" customHeight="1" x14ac:dyDescent="0.25">
      <c r="B7" s="54" t="s">
        <v>55</v>
      </c>
      <c r="C7" s="55" t="s">
        <v>56</v>
      </c>
      <c r="D7" s="54" t="s">
        <v>57</v>
      </c>
    </row>
    <row r="8" spans="2:4" ht="27.2" customHeight="1" x14ac:dyDescent="0.25">
      <c r="B8" s="56" t="s">
        <v>58</v>
      </c>
      <c r="C8" t="str">
        <f>Gräsv.30!$D$3 &amp; "m³ X " &amp;Gräsv.30!$F$3</f>
        <v>42m³ X 24</v>
      </c>
      <c r="D8" s="16">
        <f>Gräsv.30!$G$3</f>
        <v>972</v>
      </c>
    </row>
    <row r="9" spans="2:4" ht="27.2" customHeight="1" x14ac:dyDescent="0.25">
      <c r="B9" s="56" t="s">
        <v>59</v>
      </c>
      <c r="C9" s="56"/>
      <c r="D9" s="16">
        <f>Gräsv.30!$H$3</f>
        <v>879.14738095238101</v>
      </c>
    </row>
    <row r="10" spans="2:4" ht="27.2" customHeight="1" x14ac:dyDescent="0.25">
      <c r="B10" s="56" t="s">
        <v>60</v>
      </c>
      <c r="C10" s="56" t="s">
        <v>61</v>
      </c>
      <c r="D10" s="9">
        <f>Gräsv.30!$I$3</f>
        <v>1000</v>
      </c>
    </row>
    <row r="11" spans="2:4" ht="27.2" customHeight="1" x14ac:dyDescent="0.25">
      <c r="B11" s="56"/>
      <c r="C11" s="56"/>
      <c r="D11" s="59"/>
    </row>
    <row r="12" spans="2:4" ht="27.2" customHeight="1" x14ac:dyDescent="0.25">
      <c r="B12" s="56"/>
      <c r="C12" s="56"/>
      <c r="D12" s="59"/>
    </row>
    <row r="13" spans="2:4" ht="27.2" customHeight="1" x14ac:dyDescent="0.25">
      <c r="B13" s="56"/>
      <c r="C13" s="56"/>
      <c r="D13" s="59"/>
    </row>
    <row r="14" spans="2:4" ht="27.2" customHeight="1" x14ac:dyDescent="0.25">
      <c r="B14" s="56"/>
      <c r="C14" s="56"/>
      <c r="D14" s="59"/>
    </row>
    <row r="15" spans="2:4" ht="30" customHeight="1" x14ac:dyDescent="0.25">
      <c r="B15" s="57"/>
      <c r="C15" s="58" t="s">
        <v>62</v>
      </c>
      <c r="D15" s="60">
        <f>SUBTOTAL(109,Faktura3468923242526272829[BELOPP])</f>
        <v>2851.1473809523809</v>
      </c>
    </row>
    <row r="17" spans="2:4" ht="30" customHeight="1" x14ac:dyDescent="0.25">
      <c r="B17" s="71" t="s">
        <v>63</v>
      </c>
      <c r="C17" s="71"/>
      <c r="D17" s="71"/>
    </row>
    <row r="18" spans="2:4" ht="30" customHeight="1" x14ac:dyDescent="0.25">
      <c r="B18" s="72"/>
      <c r="C18" s="72"/>
      <c r="D18" s="72"/>
    </row>
    <row r="19" spans="2:4" ht="17.100000000000001" customHeight="1" x14ac:dyDescent="0.25"/>
    <row r="20" spans="2:4" ht="17.100000000000001" customHeight="1" x14ac:dyDescent="0.25"/>
    <row r="21" spans="2:4" ht="17.100000000000001" customHeight="1" x14ac:dyDescent="0.4">
      <c r="C21" s="44"/>
    </row>
    <row r="22" spans="2:4" ht="17.100000000000001" customHeight="1" x14ac:dyDescent="0.4">
      <c r="C22" s="44"/>
    </row>
    <row r="23" spans="2:4" ht="17.100000000000001" customHeight="1" x14ac:dyDescent="0.4">
      <c r="C23" s="44" t="s">
        <v>64</v>
      </c>
    </row>
    <row r="24" spans="2:4" ht="17.100000000000001" customHeight="1" x14ac:dyDescent="0.25">
      <c r="C24" s="43"/>
    </row>
    <row r="25" spans="2:4" ht="17.100000000000001" customHeight="1" x14ac:dyDescent="0.25">
      <c r="C25" s="43" t="s">
        <v>51</v>
      </c>
    </row>
    <row r="26" spans="2:4" ht="17.100000000000001" customHeight="1" x14ac:dyDescent="0.25">
      <c r="C26"/>
    </row>
    <row r="27" spans="2:4" ht="17.100000000000001" customHeight="1" x14ac:dyDescent="0.25">
      <c r="C27"/>
    </row>
    <row r="28" spans="2:4" ht="17.100000000000001" customHeight="1" x14ac:dyDescent="0.25">
      <c r="C28"/>
    </row>
    <row r="29" spans="2:4" ht="17.100000000000001" customHeight="1" x14ac:dyDescent="0.25">
      <c r="C29"/>
    </row>
    <row r="30" spans="2:4" ht="17.100000000000001" customHeight="1" x14ac:dyDescent="0.25">
      <c r="C30"/>
    </row>
    <row r="31" spans="2:4" ht="21.6" customHeight="1" x14ac:dyDescent="0.25">
      <c r="C31"/>
    </row>
    <row r="32" spans="2:4" ht="17.100000000000001" customHeight="1" x14ac:dyDescent="0.25">
      <c r="C32" s="61">
        <f>Faktura3468923242526272829[[#Totals],[BELOPP]]</f>
        <v>2851.1473809523809</v>
      </c>
    </row>
    <row r="33" ht="17.100000000000001" customHeight="1" x14ac:dyDescent="0.25"/>
  </sheetData>
  <sheetProtection sheet="1" objects="1" scenarios="1"/>
  <mergeCells count="3">
    <mergeCell ref="C1:D1"/>
    <mergeCell ref="B17:D17"/>
    <mergeCell ref="B18:D18"/>
  </mergeCells>
  <dataValidations count="19">
    <dataValidation allowBlank="1" showInputMessage="1" showErrorMessage="1" prompt="Den här cellen innehåller kalkylbladets rubrik. Ange fakturainformation i cell C3 till D5" sqref="C1:D1" xr:uid="{E1BC66D9-4A51-45F1-80B7-4C32AEE303E4}"/>
    <dataValidation allowBlank="1" showInputMessage="1" showErrorMessage="1" prompt="Skapa en faktura som beräknar summan i det här kalkylbladet. Ange företags- och kundinformation, och beskrivningar och belopp i tabellen Faktura. Totalsumman beräknas automatiskt" sqref="A1" xr:uid="{ED4C6826-478C-48BC-944C-32A953D828DB}"/>
    <dataValidation allowBlank="1" showInputMessage="1" showErrorMessage="1" prompt="Lägg till faktureringsföretagets namn i den här cellen och dess slogan i cellen nedan" sqref="B1" xr:uid="{C832BEC1-A4E8-428A-98D9-001D5B297DFF}"/>
    <dataValidation allowBlank="1" showInputMessage="1" showErrorMessage="1" prompt="Ange fakturadatum i den här cellen" sqref="D3" xr:uid="{3709B0C5-A048-48CB-8D50-97AADD0C69B8}"/>
    <dataValidation allowBlank="1" showInputMessage="1" showErrorMessage="1" prompt="Ange fakturadatum i cellen till höger" sqref="C3" xr:uid="{211DB51B-4A24-4904-BE85-87D7A5F28600}"/>
    <dataValidation allowBlank="1" showInputMessage="1" showErrorMessage="1" prompt="Ange fakturanummer i den här cellen" sqref="D4" xr:uid="{10CA31AA-8ACD-473A-8723-C5FFED280E30}"/>
    <dataValidation allowBlank="1" showInputMessage="1" showErrorMessage="1" prompt="Ange fakturanummer i cellen till höger" sqref="C4" xr:uid="{68A07E24-4AFF-46DD-A0D8-1EBAA3EFC874}"/>
    <dataValidation allowBlank="1" showInputMessage="1" showErrorMessage="1" prompt="Ange fakturans produktbeskrivning i cellen till höger" sqref="C5" xr:uid="{257625E9-FA2B-4D72-8384-6E75FBD97C91}"/>
    <dataValidation allowBlank="1" showInputMessage="1" showErrorMessage="1" prompt="Ange produktbeskrivning för faktura i denna cell" sqref="D5" xr:uid="{3361EF88-9FC9-4DB7-87D9-2C491FA3AF3A}"/>
    <dataValidation allowBlank="1" showInputMessage="1" showErrorMessage="1" prompt="Ange företagets slogan i den här cellen och företagsadress i cellen nedan" sqref="B2" xr:uid="{4A20948F-E74E-4DE5-983C-BEC58B0762FC}"/>
    <dataValidation allowBlank="1" showInputMessage="1" showErrorMessage="1" prompt="Ange företagets gatuadress i den här cellen" sqref="B3" xr:uid="{3A36FCEA-B4D5-4F20-9B5D-7DAB3BEA41DF}"/>
    <dataValidation allowBlank="1" showInputMessage="1" showErrorMessage="1" prompt="Ange postnummer och ort i den här cellen" sqref="B4" xr:uid="{47057511-53F5-4F5C-95C9-8ED625424A47}"/>
    <dataValidation allowBlank="1" showInputMessage="1" showErrorMessage="1" prompt="Ange telefon- och faxnummer inom parentes i den här cellen" sqref="B5" xr:uid="{06E3C494-3B80-41D7-8E8B-CE701F53CA73}"/>
    <dataValidation allowBlank="1" showInputMessage="1" showErrorMessage="1" prompt="Ange kundens telefonnummer i den här cellen" sqref="B6" xr:uid="{C8861E51-BA4B-4595-9A90-F7FED4CE77F0}"/>
    <dataValidation allowBlank="1" showInputMessage="1" showErrorMessage="1" prompt="Ange fakturabeskrivning i den här kolumnen under den här rubriken" sqref="B7" xr:uid="{BA406E79-1E85-4BC3-8CED-05C3A206DE39}"/>
    <dataValidation allowBlank="1" showInputMessage="1" showErrorMessage="1" prompt="Ange anpassat fält i den här rubriken och motsvarande data i den här kolumnen under denna rubrik" sqref="C7" xr:uid="{8D4BB6F6-2CDD-472E-AB2E-62DA86159703}"/>
    <dataValidation allowBlank="1" showInputMessage="1" showErrorMessage="1" prompt="Ange belopp i den här kolumnen under rubriken för varje beskrivning i kolumn B. Den sista cellen i tabellen innehåller totalsumman som ska betalas" sqref="D7" xr:uid="{7E1F29D2-1714-4661-8600-7B4EF824C720}"/>
    <dataValidation allowBlank="1" showInputMessage="1" showErrorMessage="1" prompt="Ange faktureringsföretagets kontaktnamn, telefonnummer och e-post i den här cellen" sqref="B17:D17" xr:uid="{E95D2DE1-0638-4023-AC5B-44B6F6A64AC2}"/>
    <dataValidation allowBlank="1" showInputMessage="1" showErrorMessage="1" prompt="Företagets namn läggs automatiskt till i den här cellen" sqref="B16" xr:uid="{ACBF0009-D1BD-4730-A150-E7436495A1C0}"/>
  </dataValidations>
  <printOptions horizontalCentered="1"/>
  <pageMargins left="0" right="0" top="0.55118110236220474" bottom="0.31496062992125984" header="0" footer="0"/>
  <pageSetup paperSize="9" fitToHeight="0" orientation="portrait" r:id="rId1"/>
  <ignoredErrors>
    <ignoredError sqref="C8:D10" calculatedColumn="1"/>
  </ignoredErrors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8207-2CA1-4626-94A1-A1AD3A1F6322}">
  <sheetPr>
    <tabColor theme="0" tint="-0.249977111117893"/>
    <pageSetUpPr fitToPage="1"/>
  </sheetPr>
  <dimension ref="B1:D33"/>
  <sheetViews>
    <sheetView showGridLines="0" view="pageLayout" zoomScaleNormal="100" workbookViewId="0">
      <selection activeCell="D8" sqref="D8"/>
    </sheetView>
  </sheetViews>
  <sheetFormatPr defaultColWidth="9.140625" defaultRowHeight="30" customHeight="1" x14ac:dyDescent="0.25"/>
  <cols>
    <col min="1" max="1" width="3" style="46" customWidth="1"/>
    <col min="2" max="2" width="55.42578125" style="46" customWidth="1"/>
    <col min="3" max="3" width="21.140625" style="46" bestFit="1" customWidth="1"/>
    <col min="4" max="4" width="22.7109375" style="46" customWidth="1"/>
    <col min="5" max="5" width="3" style="46" customWidth="1"/>
    <col min="6" max="16384" width="9.140625" style="46"/>
  </cols>
  <sheetData>
    <row r="1" spans="2:4" ht="34.5" customHeight="1" x14ac:dyDescent="0.45">
      <c r="B1" s="45" t="s">
        <v>51</v>
      </c>
      <c r="C1" s="70" t="s">
        <v>52</v>
      </c>
      <c r="D1" s="70"/>
    </row>
    <row r="2" spans="2:4" ht="30" customHeight="1" x14ac:dyDescent="0.25">
      <c r="B2" s="47"/>
    </row>
    <row r="3" spans="2:4" ht="30" customHeight="1" x14ac:dyDescent="0.25">
      <c r="B3" s="46" t="str">
        <f>"Gräsvägen " &amp; Gräsv.32!$A$1</f>
        <v>Gräsvägen 32</v>
      </c>
      <c r="C3" s="48" t="s">
        <v>53</v>
      </c>
      <c r="D3" s="49">
        <f ca="1">TODAY()</f>
        <v>45806</v>
      </c>
    </row>
    <row r="4" spans="2:4" ht="15" customHeight="1" x14ac:dyDescent="0.25">
      <c r="B4" s="46" t="s">
        <v>54</v>
      </c>
      <c r="C4" s="48"/>
      <c r="D4" s="50"/>
    </row>
    <row r="5" spans="2:4" ht="30" customHeight="1" x14ac:dyDescent="0.25">
      <c r="B5" s="51"/>
      <c r="C5" s="52"/>
      <c r="D5" s="53"/>
    </row>
    <row r="6" spans="2:4" ht="30" customHeight="1" x14ac:dyDescent="0.25">
      <c r="B6" s="51"/>
    </row>
    <row r="7" spans="2:4" ht="30" customHeight="1" x14ac:dyDescent="0.25">
      <c r="B7" s="54" t="s">
        <v>55</v>
      </c>
      <c r="C7" s="55" t="s">
        <v>56</v>
      </c>
      <c r="D7" s="54" t="s">
        <v>57</v>
      </c>
    </row>
    <row r="8" spans="2:4" ht="27.2" customHeight="1" x14ac:dyDescent="0.25">
      <c r="B8" s="56" t="s">
        <v>58</v>
      </c>
      <c r="C8" t="str">
        <f>Gräsv.32!$D$3 &amp; "m³ X " &amp;Gräsv.32!$F$3</f>
        <v>31m³ X 24</v>
      </c>
      <c r="D8" s="16">
        <f>Gräsv.32!$G$3</f>
        <v>708</v>
      </c>
    </row>
    <row r="9" spans="2:4" ht="27.2" customHeight="1" x14ac:dyDescent="0.25">
      <c r="B9" s="56" t="s">
        <v>59</v>
      </c>
      <c r="C9" s="56"/>
      <c r="D9" s="16">
        <f>Gräsv.32!$H$3</f>
        <v>879.14738095238101</v>
      </c>
    </row>
    <row r="10" spans="2:4" ht="27.2" customHeight="1" x14ac:dyDescent="0.25">
      <c r="B10" s="56" t="s">
        <v>60</v>
      </c>
      <c r="C10" s="56" t="s">
        <v>61</v>
      </c>
      <c r="D10" s="9">
        <f>Gräsv.32!$I$3</f>
        <v>1000</v>
      </c>
    </row>
    <row r="11" spans="2:4" ht="27.2" customHeight="1" x14ac:dyDescent="0.25">
      <c r="B11" s="56"/>
      <c r="C11" s="56"/>
      <c r="D11" s="59"/>
    </row>
    <row r="12" spans="2:4" ht="27.2" customHeight="1" x14ac:dyDescent="0.25">
      <c r="B12" s="56"/>
      <c r="C12" s="56"/>
      <c r="D12" s="59"/>
    </row>
    <row r="13" spans="2:4" ht="27.2" customHeight="1" x14ac:dyDescent="0.25">
      <c r="B13" s="56"/>
      <c r="C13" s="56"/>
      <c r="D13" s="59"/>
    </row>
    <row r="14" spans="2:4" ht="27.2" customHeight="1" x14ac:dyDescent="0.25">
      <c r="B14" s="56"/>
      <c r="C14" s="56"/>
      <c r="D14" s="59"/>
    </row>
    <row r="15" spans="2:4" ht="30" customHeight="1" x14ac:dyDescent="0.25">
      <c r="B15" s="57"/>
      <c r="C15" s="58" t="s">
        <v>62</v>
      </c>
      <c r="D15" s="60">
        <f>SUBTOTAL(109,Faktura346892324252627282930[BELOPP])</f>
        <v>2587.1473809523809</v>
      </c>
    </row>
    <row r="17" spans="2:4" ht="30" customHeight="1" x14ac:dyDescent="0.25">
      <c r="B17" s="71" t="s">
        <v>63</v>
      </c>
      <c r="C17" s="71"/>
      <c r="D17" s="71"/>
    </row>
    <row r="18" spans="2:4" ht="30" customHeight="1" x14ac:dyDescent="0.25">
      <c r="B18" s="72"/>
      <c r="C18" s="72"/>
      <c r="D18" s="72"/>
    </row>
    <row r="19" spans="2:4" ht="17.100000000000001" customHeight="1" x14ac:dyDescent="0.25"/>
    <row r="20" spans="2:4" ht="17.100000000000001" customHeight="1" x14ac:dyDescent="0.25"/>
    <row r="21" spans="2:4" ht="17.100000000000001" customHeight="1" x14ac:dyDescent="0.4">
      <c r="C21" s="44"/>
    </row>
    <row r="22" spans="2:4" ht="17.100000000000001" customHeight="1" x14ac:dyDescent="0.4">
      <c r="C22" s="44"/>
    </row>
    <row r="23" spans="2:4" ht="17.100000000000001" customHeight="1" x14ac:dyDescent="0.4">
      <c r="C23" s="44" t="s">
        <v>64</v>
      </c>
    </row>
    <row r="24" spans="2:4" ht="17.100000000000001" customHeight="1" x14ac:dyDescent="0.25">
      <c r="C24" s="43"/>
    </row>
    <row r="25" spans="2:4" ht="17.100000000000001" customHeight="1" x14ac:dyDescent="0.25">
      <c r="C25" s="43" t="s">
        <v>51</v>
      </c>
    </row>
    <row r="26" spans="2:4" ht="17.100000000000001" customHeight="1" x14ac:dyDescent="0.25">
      <c r="C26"/>
    </row>
    <row r="27" spans="2:4" ht="17.100000000000001" customHeight="1" x14ac:dyDescent="0.25">
      <c r="C27"/>
    </row>
    <row r="28" spans="2:4" ht="17.100000000000001" customHeight="1" x14ac:dyDescent="0.25">
      <c r="C28"/>
    </row>
    <row r="29" spans="2:4" ht="17.100000000000001" customHeight="1" x14ac:dyDescent="0.25">
      <c r="C29"/>
    </row>
    <row r="30" spans="2:4" ht="17.100000000000001" customHeight="1" x14ac:dyDescent="0.25">
      <c r="C30"/>
    </row>
    <row r="31" spans="2:4" ht="21.6" customHeight="1" x14ac:dyDescent="0.25">
      <c r="C31"/>
    </row>
    <row r="32" spans="2:4" ht="17.100000000000001" customHeight="1" x14ac:dyDescent="0.25">
      <c r="C32" s="61">
        <f>Faktura346892324252627282930[[#Totals],[BELOPP]]</f>
        <v>2587.1473809523809</v>
      </c>
    </row>
    <row r="33" ht="17.100000000000001" customHeight="1" x14ac:dyDescent="0.25"/>
  </sheetData>
  <sheetProtection sheet="1" objects="1" scenarios="1"/>
  <mergeCells count="3">
    <mergeCell ref="C1:D1"/>
    <mergeCell ref="B17:D17"/>
    <mergeCell ref="B18:D18"/>
  </mergeCells>
  <dataValidations count="19">
    <dataValidation allowBlank="1" showInputMessage="1" showErrorMessage="1" prompt="Företagets namn läggs automatiskt till i den här cellen" sqref="B16" xr:uid="{D49EE6B0-2C7B-420F-9972-11C34A4C1CDB}"/>
    <dataValidation allowBlank="1" showInputMessage="1" showErrorMessage="1" prompt="Ange faktureringsföretagets kontaktnamn, telefonnummer och e-post i den här cellen" sqref="B17:D17" xr:uid="{AA8FF788-F6E0-4B35-84FB-ADB0F1737F00}"/>
    <dataValidation allowBlank="1" showInputMessage="1" showErrorMessage="1" prompt="Ange belopp i den här kolumnen under rubriken för varje beskrivning i kolumn B. Den sista cellen i tabellen innehåller totalsumman som ska betalas" sqref="D7" xr:uid="{76716932-46B0-4FED-9D31-A9D8BD5E1A44}"/>
    <dataValidation allowBlank="1" showInputMessage="1" showErrorMessage="1" prompt="Ange anpassat fält i den här rubriken och motsvarande data i den här kolumnen under denna rubrik" sqref="C7" xr:uid="{8DD9BDC5-455B-4E9E-A92D-4F1222063C74}"/>
    <dataValidation allowBlank="1" showInputMessage="1" showErrorMessage="1" prompt="Ange fakturabeskrivning i den här kolumnen under den här rubriken" sqref="B7" xr:uid="{83D7D8EC-8366-4A57-A1E1-EDEEB08CB93F}"/>
    <dataValidation allowBlank="1" showInputMessage="1" showErrorMessage="1" prompt="Ange kundens telefonnummer i den här cellen" sqref="B6" xr:uid="{9EFE863C-DDA5-4BAE-BCD2-07ABDBFBCD1D}"/>
    <dataValidation allowBlank="1" showInputMessage="1" showErrorMessage="1" prompt="Ange telefon- och faxnummer inom parentes i den här cellen" sqref="B5" xr:uid="{64C9F8D9-9FFA-4C59-8016-F19F2B395CF8}"/>
    <dataValidation allowBlank="1" showInputMessage="1" showErrorMessage="1" prompt="Ange postnummer och ort i den här cellen" sqref="B4" xr:uid="{E9164B8F-F283-412E-95C0-67A077E7A7D0}"/>
    <dataValidation allowBlank="1" showInputMessage="1" showErrorMessage="1" prompt="Ange företagets gatuadress i den här cellen" sqref="B3" xr:uid="{3CD76EB1-73C3-4B07-B8A7-894D6CA9F7D0}"/>
    <dataValidation allowBlank="1" showInputMessage="1" showErrorMessage="1" prompt="Ange företagets slogan i den här cellen och företagsadress i cellen nedan" sqref="B2" xr:uid="{E7AC9D18-8D93-4F7D-85C7-C7D85F0EF5D3}"/>
    <dataValidation allowBlank="1" showInputMessage="1" showErrorMessage="1" prompt="Ange produktbeskrivning för faktura i denna cell" sqref="D5" xr:uid="{66BFA1C4-73E8-402D-B17D-15B84183DD83}"/>
    <dataValidation allowBlank="1" showInputMessage="1" showErrorMessage="1" prompt="Ange fakturans produktbeskrivning i cellen till höger" sqref="C5" xr:uid="{DED19CF1-6635-4F3F-B795-09AC333087C4}"/>
    <dataValidation allowBlank="1" showInputMessage="1" showErrorMessage="1" prompt="Ange fakturanummer i cellen till höger" sqref="C4" xr:uid="{652D5462-A640-4356-99F4-BCE2B87EEAD8}"/>
    <dataValidation allowBlank="1" showInputMessage="1" showErrorMessage="1" prompt="Ange fakturanummer i den här cellen" sqref="D4" xr:uid="{B5929A41-E2B3-4BFA-BE91-4008D6D38BD0}"/>
    <dataValidation allowBlank="1" showInputMessage="1" showErrorMessage="1" prompt="Ange fakturadatum i cellen till höger" sqref="C3" xr:uid="{2FCB9D84-4F45-4443-BACE-8D9840A0BF83}"/>
    <dataValidation allowBlank="1" showInputMessage="1" showErrorMessage="1" prompt="Ange fakturadatum i den här cellen" sqref="D3" xr:uid="{65AE7254-E5C4-488B-B00C-D449288B0392}"/>
    <dataValidation allowBlank="1" showInputMessage="1" showErrorMessage="1" prompt="Lägg till faktureringsföretagets namn i den här cellen och dess slogan i cellen nedan" sqref="B1" xr:uid="{5FE9613A-E135-4BCB-BBA4-091E0FACB04C}"/>
    <dataValidation allowBlank="1" showInputMessage="1" showErrorMessage="1" prompt="Skapa en faktura som beräknar summan i det här kalkylbladet. Ange företags- och kundinformation, och beskrivningar och belopp i tabellen Faktura. Totalsumman beräknas automatiskt" sqref="A1" xr:uid="{54975D36-0558-4258-B27E-BAB79D6266DC}"/>
    <dataValidation allowBlank="1" showInputMessage="1" showErrorMessage="1" prompt="Den här cellen innehåller kalkylbladets rubrik. Ange fakturainformation i cell C3 till D5" sqref="C1:D1" xr:uid="{E2789522-5969-42C7-AB3B-D97DB34816E0}"/>
  </dataValidations>
  <printOptions horizontalCentered="1"/>
  <pageMargins left="0" right="0" top="0.55118110236220474" bottom="0.31496062992125984" header="0" footer="0"/>
  <pageSetup paperSize="9" fitToHeight="0" orientation="portrait" r:id="rId1"/>
  <ignoredErrors>
    <ignoredError sqref="C8:D10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O60"/>
  <sheetViews>
    <sheetView topLeftCell="A17" workbookViewId="0">
      <selection activeCell="B49" sqref="B49"/>
    </sheetView>
  </sheetViews>
  <sheetFormatPr defaultRowHeight="15" x14ac:dyDescent="0.25"/>
  <cols>
    <col min="1" max="1" width="20.28515625" customWidth="1"/>
    <col min="2" max="2" width="13" bestFit="1" customWidth="1"/>
    <col min="3" max="3" width="13.85546875" bestFit="1" customWidth="1"/>
    <col min="4" max="5" width="15.140625" customWidth="1"/>
    <col min="6" max="6" width="11.140625" customWidth="1"/>
    <col min="7" max="7" width="21" bestFit="1" customWidth="1"/>
    <col min="8" max="8" width="10.28515625" bestFit="1" customWidth="1"/>
    <col min="10" max="10" width="11.140625" bestFit="1" customWidth="1"/>
    <col min="11" max="11" width="12" bestFit="1" customWidth="1"/>
    <col min="15" max="15" width="15" customWidth="1"/>
  </cols>
  <sheetData>
    <row r="1" spans="1:15" x14ac:dyDescent="0.25">
      <c r="A1">
        <v>8</v>
      </c>
      <c r="J1" s="6" t="s">
        <v>31</v>
      </c>
    </row>
    <row r="2" spans="1:15" x14ac:dyDescent="0.25">
      <c r="J2" s="5" t="s">
        <v>42</v>
      </c>
    </row>
    <row r="3" spans="1:15" x14ac:dyDescent="0.25">
      <c r="B3">
        <f>VLOOKUP('Huvud mätare'!$A1,$A5:$K87,2)</f>
        <v>8112</v>
      </c>
      <c r="C3">
        <f>VLOOKUP('Huvud mätare'!$A1,$A5:$K87,3)</f>
        <v>8032</v>
      </c>
      <c r="D3">
        <f>VLOOKUP('Huvud mätare'!$A1,$A5:$K87,4)</f>
        <v>80</v>
      </c>
      <c r="E3">
        <f>VLOOKUP('Huvud mätare'!$A1,$A5:$K87,5)</f>
        <v>-1.5</v>
      </c>
      <c r="F3">
        <f>VLOOKUP('Huvud mätare'!$A1,$A5:$K87,6)</f>
        <v>24</v>
      </c>
      <c r="G3">
        <f>VLOOKUP('Huvud mätare'!$A1,$A5:$K87,7)</f>
        <v>1884</v>
      </c>
      <c r="H3">
        <f>VLOOKUP('Huvud mätare'!$A1,$A5:$K87,8)</f>
        <v>879.14738095238101</v>
      </c>
      <c r="I3">
        <f>VLOOKUP('Huvud mätare'!$A1,$A5:$K87,9)</f>
        <v>1000</v>
      </c>
      <c r="J3">
        <f>VLOOKUP('Huvud mätare'!$A1,$A5:$K87,10)</f>
        <v>0</v>
      </c>
      <c r="K3">
        <f>VLOOKUP('Huvud mätare'!$A1,$A5:$K87,11)</f>
        <v>3763.1473809523809</v>
      </c>
      <c r="L3">
        <f>VLOOKUP('Huvud mätare'!$A1,$A5:$L87,12)</f>
        <v>0</v>
      </c>
    </row>
    <row r="4" spans="1:15" ht="15" customHeight="1" x14ac:dyDescent="0.25">
      <c r="A4" t="s">
        <v>12</v>
      </c>
      <c r="B4" s="1" t="s">
        <v>33</v>
      </c>
      <c r="C4" s="1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25</v>
      </c>
      <c r="I4" t="s">
        <v>30</v>
      </c>
      <c r="J4" t="s">
        <v>39</v>
      </c>
      <c r="K4" t="s">
        <v>40</v>
      </c>
      <c r="L4" t="s">
        <v>41</v>
      </c>
    </row>
    <row r="5" spans="1:15" x14ac:dyDescent="0.25">
      <c r="A5" s="4">
        <f>Tabell6[[#This Row],[Avläsnings datum]]</f>
        <v>40543</v>
      </c>
      <c r="B5">
        <v>5628</v>
      </c>
      <c r="C5">
        <v>5581</v>
      </c>
      <c r="D5">
        <f t="shared" ref="D5:D21" si="0">IF(B5-C5&lt;0,0,B5-C5)</f>
        <v>47</v>
      </c>
      <c r="E5" s="3">
        <f>Tabell6[[#This Row],[Att fördela]]</f>
        <v>0.15714285714286039</v>
      </c>
      <c r="F5">
        <f>Tabell6[[#This Row],[Pris/m3 ink.moms]]</f>
        <v>16.88</v>
      </c>
      <c r="G5" s="2">
        <f>(Tabell410[[#This Row],[Förbrukning]]+Tabell410[[#This Row],[Utjämning]])*Tabell410[[#This Row],[Kr/m3]]</f>
        <v>796.01257142857139</v>
      </c>
      <c r="H5" s="2">
        <f>Tabell6[[#This Row],[Summa fast avg/hushåll]]</f>
        <v>378.07142857142856</v>
      </c>
      <c r="I5" s="2">
        <f>Tabell6[[#This Row],[Medlems avg]]/14</f>
        <v>0</v>
      </c>
      <c r="J5" s="2"/>
      <c r="K5" s="2">
        <f>IF(Tabell410[[#This Row],[Nuvarande]], SUM(Tabell410[[#This Row],[Summa förbrukning]:[Lån]])+Tabell410[[#This Row],[Korr]],0)</f>
        <v>1174.0839999999998</v>
      </c>
      <c r="L5" s="2"/>
    </row>
    <row r="6" spans="1:15" x14ac:dyDescent="0.25">
      <c r="A6" s="4">
        <f>Tabell6[[#This Row],[Avläsnings datum]]</f>
        <v>40664</v>
      </c>
      <c r="B6">
        <v>5667</v>
      </c>
      <c r="C6">
        <f t="shared" ref="C6:C21" si="1">B5</f>
        <v>5628</v>
      </c>
      <c r="D6">
        <f t="shared" si="0"/>
        <v>39</v>
      </c>
      <c r="E6" s="3">
        <f>Tabell6[[#This Row],[Att fördela]]</f>
        <v>2.8571428571418828E-2</v>
      </c>
      <c r="F6">
        <f>Tabell6[[#This Row],[Pris/m3 ink.moms]]</f>
        <v>16.88</v>
      </c>
      <c r="G6" s="2">
        <f>(Tabell410[[#This Row],[Förbrukning]]+Tabell410[[#This Row],[Utjämning]])*Tabell410[[#This Row],[Kr/m3]]</f>
        <v>658.80228571428552</v>
      </c>
      <c r="H6" s="2">
        <f>Tabell6[[#This Row],[Summa fast avg/hushåll]]</f>
        <v>378.07142857142856</v>
      </c>
      <c r="I6" s="2">
        <f>Tabell6[[#This Row],[Medlems avg]]/14</f>
        <v>0</v>
      </c>
      <c r="J6" s="2"/>
      <c r="K6" s="2">
        <f>IF(Tabell410[[#This Row],[Nuvarande]], SUM(Tabell410[[#This Row],[Summa förbrukning]:[Lån]])+Tabell410[[#This Row],[Korr]],0)</f>
        <v>1036.873714285714</v>
      </c>
      <c r="L6" s="2"/>
    </row>
    <row r="7" spans="1:15" x14ac:dyDescent="0.25">
      <c r="A7" s="4">
        <f>Tabell6[[#This Row],[Avläsnings datum]]</f>
        <v>40786</v>
      </c>
      <c r="B7">
        <v>5707</v>
      </c>
      <c r="C7">
        <f t="shared" si="1"/>
        <v>5667</v>
      </c>
      <c r="D7">
        <f t="shared" si="0"/>
        <v>40</v>
      </c>
      <c r="E7" s="3">
        <f>Tabell6[[#This Row],[Att fördela]]</f>
        <v>-2.8571428571426947E-2</v>
      </c>
      <c r="F7">
        <f>Tabell6[[#This Row],[Pris/m3 ink.moms]]</f>
        <v>16.88</v>
      </c>
      <c r="G7" s="2">
        <f>(Tabell410[[#This Row],[Förbrukning]]+Tabell410[[#This Row],[Utjämning]])*Tabell410[[#This Row],[Kr/m3]]</f>
        <v>674.71771428571435</v>
      </c>
      <c r="H7" s="2">
        <f>Tabell6[[#This Row],[Summa fast avg/hushåll]]</f>
        <v>378.07142857142856</v>
      </c>
      <c r="I7" s="2">
        <f>Tabell6[[#This Row],[Medlems avg]]/14</f>
        <v>0</v>
      </c>
      <c r="J7" s="2"/>
      <c r="K7" s="2">
        <f>IF(Tabell410[[#This Row],[Nuvarande]], SUM(Tabell410[[#This Row],[Summa förbrukning]:[Lån]])+Tabell410[[#This Row],[Korr]],0)</f>
        <v>1052.7891428571429</v>
      </c>
      <c r="L7" s="2"/>
    </row>
    <row r="8" spans="1:15" x14ac:dyDescent="0.25">
      <c r="A8" s="4">
        <f>Tabell6[[#This Row],[Avläsnings datum]]</f>
        <v>40908</v>
      </c>
      <c r="B8">
        <v>5753</v>
      </c>
      <c r="C8">
        <f t="shared" si="1"/>
        <v>5707</v>
      </c>
      <c r="D8">
        <f t="shared" si="0"/>
        <v>46</v>
      </c>
      <c r="E8" s="3">
        <f>Tabell6[[#This Row],[Att fördela]]</f>
        <v>-0.22857142857142371</v>
      </c>
      <c r="F8">
        <f>Tabell6[[#This Row],[Pris/m3 ink.moms]]</f>
        <v>16.825000000000003</v>
      </c>
      <c r="G8" s="2">
        <f>(Tabell410[[#This Row],[Förbrukning]]+Tabell410[[#This Row],[Utjämning]])*Tabell410[[#This Row],[Kr/m3]]</f>
        <v>770.10428571428599</v>
      </c>
      <c r="H8" s="2">
        <f>Tabell6[[#This Row],[Summa fast avg/hushåll]]</f>
        <v>378.07142857142856</v>
      </c>
      <c r="I8" s="2">
        <f>Tabell6[[#This Row],[Medlems avg]]/14</f>
        <v>1000</v>
      </c>
      <c r="J8" s="26">
        <v>760</v>
      </c>
      <c r="K8" s="2">
        <f>IF(Tabell410[[#This Row],[Nuvarande]], SUM(Tabell410[[#This Row],[Summa förbrukning]:[Lån]])+Tabell410[[#This Row],[Korr]],0)</f>
        <v>2908.1757142857145</v>
      </c>
      <c r="L8" s="2"/>
    </row>
    <row r="9" spans="1:15" x14ac:dyDescent="0.25">
      <c r="A9" s="4">
        <f>Tabell6[[#This Row],[Avläsnings datum]]</f>
        <v>41029</v>
      </c>
      <c r="B9">
        <v>5795</v>
      </c>
      <c r="C9">
        <f t="shared" si="1"/>
        <v>5753</v>
      </c>
      <c r="D9">
        <f t="shared" si="0"/>
        <v>42</v>
      </c>
      <c r="E9" s="3">
        <f>Tabell6[[#This Row],[Att fördela]]</f>
        <v>-1</v>
      </c>
      <c r="F9">
        <f>Tabell6[[#This Row],[Pris/m3 ink.moms]]</f>
        <v>16.825000000000003</v>
      </c>
      <c r="G9" s="2">
        <f>(Tabell410[[#This Row],[Förbrukning]]+Tabell410[[#This Row],[Utjämning]])*Tabell410[[#This Row],[Kr/m3]]</f>
        <v>689.82500000000016</v>
      </c>
      <c r="H9" s="2">
        <f>Tabell6[[#This Row],[Summa fast avg/hushåll]]</f>
        <v>378.07142857142856</v>
      </c>
      <c r="I9" s="2">
        <f>Tabell6[[#This Row],[Medlems avg]]/14</f>
        <v>1000</v>
      </c>
      <c r="J9" s="26">
        <f>Lån!D10</f>
        <v>746.28571428571433</v>
      </c>
      <c r="K9" s="2">
        <f>IF(Tabell410[[#This Row],[Nuvarande]], SUM(Tabell410[[#This Row],[Summa förbrukning]:[Lån]])+Tabell410[[#This Row],[Korr]],0)</f>
        <v>2814.1821428571429</v>
      </c>
      <c r="L9" s="2"/>
    </row>
    <row r="10" spans="1:15" x14ac:dyDescent="0.25">
      <c r="A10" s="4">
        <f>Tabell6[[#This Row],[Avläsnings datum]]</f>
        <v>41152</v>
      </c>
      <c r="B10">
        <v>5834</v>
      </c>
      <c r="C10">
        <f t="shared" si="1"/>
        <v>5795</v>
      </c>
      <c r="D10">
        <f t="shared" si="0"/>
        <v>39</v>
      </c>
      <c r="E10" s="3">
        <f>Tabell6[[#This Row],[Att fördela]]</f>
        <v>-0.14285714285714285</v>
      </c>
      <c r="F10">
        <f>Tabell6[[#This Row],[Pris/m3 ink.moms]]</f>
        <v>16.825000000000003</v>
      </c>
      <c r="G10" s="2">
        <f>(Tabell410[[#This Row],[Förbrukning]]+Tabell410[[#This Row],[Utjämning]])*Tabell410[[#This Row],[Kr/m3]]</f>
        <v>653.7714285714286</v>
      </c>
      <c r="H10" s="2">
        <f>Tabell6[[#This Row],[Summa fast avg/hushåll]]</f>
        <v>378.07142857142856</v>
      </c>
      <c r="I10" s="2">
        <f>Tabell6[[#This Row],[Medlems avg]]/14</f>
        <v>1000</v>
      </c>
      <c r="J10" s="26">
        <f>Lån!D14</f>
        <v>736.85714285714289</v>
      </c>
      <c r="K10" s="2">
        <f>IF(Tabell410[[#This Row],[Nuvarande]], SUM(Tabell410[[#This Row],[Summa förbrukning]:[Lån]])+Tabell410[[#This Row],[Korr]],0)</f>
        <v>2768.7</v>
      </c>
      <c r="L10" s="2"/>
    </row>
    <row r="11" spans="1:15" x14ac:dyDescent="0.25">
      <c r="A11" s="4">
        <f>Tabell6[[#This Row],[Avläsnings datum]]</f>
        <v>41274</v>
      </c>
      <c r="B11">
        <v>5875</v>
      </c>
      <c r="C11">
        <f t="shared" si="1"/>
        <v>5834</v>
      </c>
      <c r="D11">
        <f t="shared" si="0"/>
        <v>41</v>
      </c>
      <c r="E11" s="3">
        <f>Tabell6[[#This Row],[Att fördela]]</f>
        <v>-0.9285714285714286</v>
      </c>
      <c r="F11">
        <f>Tabell6[[#This Row],[Pris/m3 ink.moms]]</f>
        <v>14.8125</v>
      </c>
      <c r="G11" s="2">
        <f>(Tabell410[[#This Row],[Förbrukning]]+Tabell410[[#This Row],[Utjämning]])*Tabell410[[#This Row],[Kr/m3]]</f>
        <v>593.55803571428567</v>
      </c>
      <c r="H11" s="2">
        <f>Tabell6[[#This Row],[Summa fast avg/hushåll]]</f>
        <v>542.26190476190482</v>
      </c>
      <c r="I11" s="2">
        <f>Tabell6[[#This Row],[Medlems avg]]/14</f>
        <v>1000</v>
      </c>
      <c r="J11" s="26">
        <f>Lån!D18</f>
        <v>721.57142857142856</v>
      </c>
      <c r="K11" s="2">
        <f>IF(Tabell410[[#This Row],[Nuvarande]], SUM(Tabell410[[#This Row],[Summa förbrukning]:[Lån]])+Tabell410[[#This Row],[Korr]],0)</f>
        <v>2857.3913690476188</v>
      </c>
      <c r="L11" s="2"/>
    </row>
    <row r="12" spans="1:15" x14ac:dyDescent="0.25">
      <c r="A12" s="4">
        <f>Tabell6[[#This Row],[Avläsnings datum]]</f>
        <v>41394</v>
      </c>
      <c r="B12">
        <v>5913</v>
      </c>
      <c r="C12">
        <f t="shared" si="1"/>
        <v>5875</v>
      </c>
      <c r="D12">
        <f t="shared" si="0"/>
        <v>38</v>
      </c>
      <c r="E12" s="3">
        <f>Tabell6[[#This Row],[Att fördela]]</f>
        <v>-1.5714285714285714</v>
      </c>
      <c r="F12">
        <f>Tabell6[[#This Row],[Pris/m3 ink.moms]]</f>
        <v>14.8125</v>
      </c>
      <c r="G12" s="2">
        <f>(Tabell410[[#This Row],[Förbrukning]]+Tabell410[[#This Row],[Utjämning]])*Tabell410[[#This Row],[Kr/m3]]</f>
        <v>539.59821428571433</v>
      </c>
      <c r="H12" s="2">
        <f>Tabell6[[#This Row],[Summa fast avg/hushåll]]</f>
        <v>542.26190476190482</v>
      </c>
      <c r="I12" s="2">
        <f>Tabell6[[#This Row],[Medlems avg]]/14</f>
        <v>1000</v>
      </c>
      <c r="J12" s="26">
        <f>Lån!D22</f>
        <v>705.57142857142856</v>
      </c>
      <c r="K12" s="2">
        <f>IF(Tabell410[[#This Row],[Nuvarande]], SUM(Tabell410[[#This Row],[Summa förbrukning]:[Lån]])+Tabell410[[#This Row],[Korr]],0)</f>
        <v>2787.4315476190477</v>
      </c>
      <c r="L12" s="2"/>
    </row>
    <row r="13" spans="1:15" x14ac:dyDescent="0.25">
      <c r="A13" s="4">
        <f>Tabell6[[#This Row],[Avläsnings datum]]</f>
        <v>41517</v>
      </c>
      <c r="B13">
        <v>5950</v>
      </c>
      <c r="C13">
        <f t="shared" si="1"/>
        <v>5913</v>
      </c>
      <c r="D13">
        <f t="shared" si="0"/>
        <v>37</v>
      </c>
      <c r="E13" s="3">
        <f>Tabell6[[#This Row],[Att fördela]]</f>
        <v>-0.8571428571428571</v>
      </c>
      <c r="F13">
        <f>Tabell6[[#This Row],[Pris/m3 ink.moms]]</f>
        <v>14.8125</v>
      </c>
      <c r="G13" s="2">
        <f>(Tabell410[[#This Row],[Förbrukning]]+Tabell410[[#This Row],[Utjämning]])*Tabell410[[#This Row],[Kr/m3]]</f>
        <v>535.36607142857144</v>
      </c>
      <c r="H13" s="2">
        <f>Tabell6[[#This Row],[Summa fast avg/hushåll]]</f>
        <v>542.26190476190482</v>
      </c>
      <c r="I13" s="2">
        <f>Tabell6[[#This Row],[Medlems avg]]/14</f>
        <v>1000</v>
      </c>
      <c r="J13" s="26">
        <f>Lån!D26</f>
        <v>696.85714285714289</v>
      </c>
      <c r="K13" s="2">
        <f>IF(Tabell410[[#This Row],[Nuvarande]], SUM(Tabell410[[#This Row],[Summa förbrukning]:[Lån]])+Tabell410[[#This Row],[Korr]],0)</f>
        <v>2774.4851190476193</v>
      </c>
      <c r="L13" s="2"/>
    </row>
    <row r="14" spans="1:15" x14ac:dyDescent="0.25">
      <c r="A14" s="4">
        <f>Tabell6[[#This Row],[Avläsnings datum]]</f>
        <v>41639</v>
      </c>
      <c r="B14">
        <v>5988</v>
      </c>
      <c r="C14">
        <f t="shared" si="1"/>
        <v>5950</v>
      </c>
      <c r="D14">
        <f t="shared" si="0"/>
        <v>38</v>
      </c>
      <c r="E14" s="3">
        <f>Tabell6[[#This Row],[Att fördela]]</f>
        <v>-2.5</v>
      </c>
      <c r="F14">
        <f>Tabell6[[#This Row],[Pris/m3 ink.moms]]</f>
        <v>14.8125</v>
      </c>
      <c r="G14" s="2">
        <f>(Tabell410[[#This Row],[Förbrukning]]+Tabell410[[#This Row],[Utjämning]])*Tabell410[[#This Row],[Kr/m3]]</f>
        <v>525.84375</v>
      </c>
      <c r="H14" s="2">
        <f>Tabell6[[#This Row],[Summa fast avg/hushåll]]</f>
        <v>547.85714285714289</v>
      </c>
      <c r="I14" s="2">
        <f>Tabell6[[#This Row],[Medlems avg]]/14</f>
        <v>1000</v>
      </c>
      <c r="J14" s="26">
        <f>Lån!D30</f>
        <v>682.28571428571433</v>
      </c>
      <c r="K14" s="2">
        <f>IF(Tabell410[[#This Row],[Nuvarande]], SUM(Tabell410[[#This Row],[Summa förbrukning]:[Lån]])+Tabell410[[#This Row],[Korr]],0)</f>
        <v>2755.9866071428573</v>
      </c>
      <c r="L14" s="2"/>
    </row>
    <row r="15" spans="1:15" x14ac:dyDescent="0.25">
      <c r="A15" s="4">
        <f>Tabell6[[#This Row],[Avläsnings datum]]</f>
        <v>41759</v>
      </c>
      <c r="B15">
        <v>6022</v>
      </c>
      <c r="C15">
        <f t="shared" si="1"/>
        <v>5988</v>
      </c>
      <c r="D15">
        <f t="shared" si="0"/>
        <v>34</v>
      </c>
      <c r="E15" s="3">
        <f>Tabell6[[#This Row],[Att fördela]]</f>
        <v>-1.5714285714285714</v>
      </c>
      <c r="F15">
        <f>Tabell6[[#This Row],[Pris/m3 ink.moms]]</f>
        <v>14.9625</v>
      </c>
      <c r="G15" s="2">
        <f>(Tabell410[[#This Row],[Förbrukning]]+Tabell410[[#This Row],[Utjämning]])*Tabell410[[#This Row],[Kr/m3]]</f>
        <v>485.21250000000003</v>
      </c>
      <c r="H15" s="2">
        <f>Tabell6[[#This Row],[Summa fast avg/hushåll]]</f>
        <v>547.85714285714289</v>
      </c>
      <c r="I15" s="2">
        <f>Tabell6[[#This Row],[Medlems avg]]/14</f>
        <v>1000</v>
      </c>
      <c r="J15" s="26">
        <v>666</v>
      </c>
      <c r="K15" s="2">
        <f>IF(Tabell410[[#This Row],[Nuvarande]], SUM(Tabell410[[#This Row],[Summa förbrukning]:[Lån]])+Tabell410[[#This Row],[Korr]],0)</f>
        <v>2686.1232142857143</v>
      </c>
      <c r="L15" s="2">
        <f t="shared" ref="L15" si="2">K13-K12</f>
        <v>-12.946428571428442</v>
      </c>
    </row>
    <row r="16" spans="1:15" x14ac:dyDescent="0.25">
      <c r="A16" s="4">
        <f>Tabell6[[#This Row],[Avläsnings datum]]</f>
        <v>41882</v>
      </c>
      <c r="B16">
        <v>6044</v>
      </c>
      <c r="C16">
        <f t="shared" si="1"/>
        <v>6022</v>
      </c>
      <c r="D16">
        <f t="shared" si="0"/>
        <v>22</v>
      </c>
      <c r="E16" s="3">
        <f>Tabell6[[#This Row],[Att fördela]]</f>
        <v>-1.7857142857142858</v>
      </c>
      <c r="F16">
        <f>Tabell6[[#This Row],[Pris/m3 ink.moms]]</f>
        <v>14.9625</v>
      </c>
      <c r="G16" s="2">
        <f>(Tabell410[[#This Row],[Förbrukning]]+Tabell410[[#This Row],[Utjämning]])*Tabell410[[#This Row],[Kr/m3]]</f>
        <v>302.45625000000001</v>
      </c>
      <c r="H16" s="2">
        <f>Tabell6[[#This Row],[Summa fast avg/hushåll]]</f>
        <v>547.85714285714289</v>
      </c>
      <c r="I16" s="2">
        <f>Tabell6[[#This Row],[Medlems avg]]/14</f>
        <v>1000</v>
      </c>
      <c r="J16" s="26">
        <v>657</v>
      </c>
      <c r="K16" s="2">
        <f>IF(Tabell410[[#This Row],[Nuvarande]], SUM(Tabell410[[#This Row],[Summa förbrukning]:[Lån]])+Tabell410[[#This Row],[Korr]],0)</f>
        <v>2507.3133928571428</v>
      </c>
      <c r="L16" s="2"/>
      <c r="O16" t="str">
        <f>IF(B38,"fsdfs","iopiopiop")</f>
        <v>fsdfs</v>
      </c>
    </row>
    <row r="17" spans="1:12" x14ac:dyDescent="0.25">
      <c r="A17" s="4">
        <f>Tabell6[[#This Row],[Avläsnings datum]]</f>
        <v>42004</v>
      </c>
      <c r="B17">
        <v>6079</v>
      </c>
      <c r="C17">
        <f t="shared" si="1"/>
        <v>6044</v>
      </c>
      <c r="D17">
        <f t="shared" si="0"/>
        <v>35</v>
      </c>
      <c r="E17" s="3">
        <f>Tabell6[[#This Row],[Att fördela]]</f>
        <v>-2.0714285714285716</v>
      </c>
      <c r="F17">
        <f>Tabell6[[#This Row],[Pris/m3 ink.moms]]</f>
        <v>14.9625</v>
      </c>
      <c r="G17" s="2">
        <f>(Tabell410[[#This Row],[Förbrukning]]+Tabell410[[#This Row],[Utjämning]])*Tabell410[[#This Row],[Kr/m3]]</f>
        <v>492.69375000000002</v>
      </c>
      <c r="H17" s="2">
        <f>Tabell6[[#This Row],[Summa fast avg/hushåll]]</f>
        <v>547.85714285714289</v>
      </c>
      <c r="I17" s="2">
        <f>Tabell6[[#This Row],[Medlems avg]]/14</f>
        <v>1000</v>
      </c>
      <c r="J17" s="26">
        <v>642</v>
      </c>
      <c r="K17" s="2">
        <f>IF(Tabell410[[#This Row],[Nuvarande]], SUM(Tabell410[[#This Row],[Summa förbrukning]:[Lån]])+Tabell410[[#This Row],[Korr]],0)</f>
        <v>2682.550892857143</v>
      </c>
      <c r="L17" s="2"/>
    </row>
    <row r="18" spans="1:12" x14ac:dyDescent="0.25">
      <c r="A18" s="4">
        <f>Tabell6[[#This Row],[Avläsnings datum]]</f>
        <v>42124</v>
      </c>
      <c r="B18">
        <v>6120</v>
      </c>
      <c r="C18">
        <f t="shared" si="1"/>
        <v>6079</v>
      </c>
      <c r="D18">
        <f t="shared" si="0"/>
        <v>41</v>
      </c>
      <c r="E18" s="3">
        <f>Tabell6[[#This Row],[Att fördela]]</f>
        <v>-2.5</v>
      </c>
      <c r="F18">
        <f>Tabell6[[#This Row],[Pris/m3 ink.moms]]</f>
        <v>14.9625</v>
      </c>
      <c r="G18" s="2">
        <f>(Tabell410[[#This Row],[Förbrukning]]+Tabell410[[#This Row],[Utjämning]])*Tabell410[[#This Row],[Kr/m3]]</f>
        <v>576.05624999999998</v>
      </c>
      <c r="H18" s="2">
        <f>Tabell6[[#This Row],[Summa fast avg/hushåll]]</f>
        <v>547.85714285714289</v>
      </c>
      <c r="I18" s="2">
        <f>Tabell6[[#This Row],[Medlems avg]]/14</f>
        <v>600</v>
      </c>
      <c r="J18" s="26">
        <f>Lån!D46</f>
        <v>627</v>
      </c>
      <c r="K18" s="2">
        <f>IF(Tabell410[[#This Row],[Nuvarande]], SUM(Tabell410[[#This Row],[Summa förbrukning]:[Lån]])+Tabell410[[#This Row],[Korr]],0)</f>
        <v>2350.9133928571428</v>
      </c>
      <c r="L18" s="2"/>
    </row>
    <row r="19" spans="1:12" x14ac:dyDescent="0.25">
      <c r="A19" s="4">
        <f>Tabell6[[#This Row],[Avläsnings datum]]</f>
        <v>42247</v>
      </c>
      <c r="B19">
        <v>6157</v>
      </c>
      <c r="C19">
        <f t="shared" si="1"/>
        <v>6120</v>
      </c>
      <c r="D19">
        <f t="shared" si="0"/>
        <v>37</v>
      </c>
      <c r="E19" s="3">
        <f>Tabell6[[#This Row],[Att fördela]]</f>
        <v>-2.2857142857142856</v>
      </c>
      <c r="F19">
        <f>Tabell6[[#This Row],[Pris/m3 ink.moms]]</f>
        <v>14.9625</v>
      </c>
      <c r="G19" s="2">
        <f>(Tabell410[[#This Row],[Förbrukning]]+Tabell410[[#This Row],[Utjämning]])*Tabell410[[#This Row],[Kr/m3]]</f>
        <v>519.41250000000002</v>
      </c>
      <c r="H19" s="2">
        <f>Tabell6[[#This Row],[Summa fast avg/hushåll]]</f>
        <v>547.85714285714289</v>
      </c>
      <c r="I19" s="2">
        <f>Tabell6[[#This Row],[Medlems avg]]/14</f>
        <v>600</v>
      </c>
      <c r="J19" s="26">
        <f>Lån!D50</f>
        <v>616.28571428571433</v>
      </c>
      <c r="K19" s="2">
        <f>IF(Tabell410[[#This Row],[Nuvarande]], SUM(Tabell410[[#This Row],[Summa förbrukning]:[Lån]])+Tabell410[[#This Row],[Korr]],0)</f>
        <v>2283.5553571428572</v>
      </c>
      <c r="L19" s="2"/>
    </row>
    <row r="20" spans="1:12" x14ac:dyDescent="0.25">
      <c r="A20" s="4">
        <f>Tabell6[[#This Row],[Avläsnings datum]]</f>
        <v>42369</v>
      </c>
      <c r="B20">
        <v>6197</v>
      </c>
      <c r="C20">
        <f t="shared" si="1"/>
        <v>6157</v>
      </c>
      <c r="D20">
        <f t="shared" si="0"/>
        <v>40</v>
      </c>
      <c r="E20" s="3">
        <f>Tabell6[[#This Row],[Att fördela]]</f>
        <v>-2.8571428571428572</v>
      </c>
      <c r="F20">
        <f>Tabell6[[#This Row],[Pris/m3 ink.moms]]</f>
        <v>14.9625</v>
      </c>
      <c r="G20" s="2">
        <f>(Tabell410[[#This Row],[Förbrukning]]+Tabell410[[#This Row],[Utjämning]])*Tabell410[[#This Row],[Kr/m3]]</f>
        <v>555.75000000000011</v>
      </c>
      <c r="H20" s="2">
        <f>Tabell6[[#This Row],[Summa fast avg/hushåll]]</f>
        <v>547.85714285714289</v>
      </c>
      <c r="I20" s="2">
        <f>Tabell6[[#This Row],[Medlems avg]]/14</f>
        <v>600</v>
      </c>
      <c r="J20" s="26">
        <f>Lån!D54</f>
        <v>599.71428571428567</v>
      </c>
      <c r="K20" s="2">
        <f>IF(Tabell410[[#This Row],[Nuvarande]], SUM(Tabell410[[#This Row],[Summa förbrukning]:[Lån]])+Tabell410[[#This Row],[Korr]],0)</f>
        <v>2303.3214285714289</v>
      </c>
      <c r="L20" s="2"/>
    </row>
    <row r="21" spans="1:12" x14ac:dyDescent="0.25">
      <c r="A21" s="4">
        <f>Tabell6[[#This Row],[Avläsnings datum]]</f>
        <v>42490</v>
      </c>
      <c r="B21">
        <v>6264</v>
      </c>
      <c r="C21">
        <f t="shared" si="1"/>
        <v>6197</v>
      </c>
      <c r="D21">
        <f t="shared" si="0"/>
        <v>67</v>
      </c>
      <c r="E21" s="3">
        <f>Tabell6[[#This Row],[Att fördela]]</f>
        <v>-3.5</v>
      </c>
      <c r="F21">
        <f>Tabell6[[#This Row],[Pris/m3 ink.moms]]</f>
        <v>14.9625</v>
      </c>
      <c r="G21" s="2">
        <f>(Tabell410[[#This Row],[Förbrukning]]+Tabell410[[#This Row],[Utjämning]])*Tabell410[[#This Row],[Kr/m3]]</f>
        <v>950.11874999999998</v>
      </c>
      <c r="H21" s="2">
        <f>Tabell6[[#This Row],[Summa fast avg/hushåll]]</f>
        <v>547.85714285714289</v>
      </c>
      <c r="I21" s="2">
        <f>Tabell6[[#This Row],[Medlems avg]]/14</f>
        <v>600</v>
      </c>
      <c r="J21" s="26">
        <f>Lån!D58</f>
        <v>578.57142857142856</v>
      </c>
      <c r="K21" s="2">
        <f>IF(Tabell410[[#This Row],[Nuvarande]], SUM(Tabell410[[#This Row],[Summa förbrukning]:[Lån]])+Tabell410[[#This Row],[Korr]],0)</f>
        <v>2609.1892857142857</v>
      </c>
      <c r="L21" s="2">
        <f>K19-K18</f>
        <v>-67.358035714285506</v>
      </c>
    </row>
    <row r="22" spans="1:12" x14ac:dyDescent="0.25">
      <c r="A22" s="4">
        <f>Tabell6[[#This Row],[Avläsnings datum]]</f>
        <v>42613</v>
      </c>
      <c r="B22">
        <v>6285</v>
      </c>
      <c r="C22">
        <f t="shared" ref="C22:C36" si="3">B21</f>
        <v>6264</v>
      </c>
      <c r="D22">
        <f t="shared" ref="D22:D36" si="4">IF(B22-C22&lt;0,0,B22-C22)</f>
        <v>21</v>
      </c>
      <c r="E22" s="3">
        <f>Tabell6[[#This Row],[Att fördela]]</f>
        <v>-1.0714285714285714</v>
      </c>
      <c r="F22">
        <f>Tabell6[[#This Row],[Pris/m3 ink.moms]]</f>
        <v>14.9625</v>
      </c>
      <c r="G22" s="2">
        <f>(Tabell410[[#This Row],[Förbrukning]]+Tabell410[[#This Row],[Utjämning]])*Tabell410[[#This Row],[Kr/m3]]</f>
        <v>298.18124999999998</v>
      </c>
      <c r="H22" s="2">
        <f>Tabell6[[#This Row],[Summa fast avg/hushåll]]</f>
        <v>547.85714285714289</v>
      </c>
      <c r="I22" s="2">
        <f>Tabell6[[#This Row],[Medlems avg]]/14</f>
        <v>600</v>
      </c>
      <c r="J22" s="26">
        <f>Lån!D62</f>
        <v>568.57142857142856</v>
      </c>
      <c r="K22" s="2">
        <f>IF(Tabell410[[#This Row],[Nuvarande]], SUM(Tabell410[[#This Row],[Summa förbrukning]:[Lån]])+Tabell410[[#This Row],[Korr]],0)</f>
        <v>2014.6098214285712</v>
      </c>
      <c r="L22" s="2"/>
    </row>
    <row r="23" spans="1:12" x14ac:dyDescent="0.25">
      <c r="A23" s="4">
        <f>Tabell6[[#This Row],[Avläsnings datum]]</f>
        <v>42735</v>
      </c>
      <c r="B23">
        <v>6339</v>
      </c>
      <c r="C23">
        <f t="shared" si="3"/>
        <v>6285</v>
      </c>
      <c r="D23">
        <f t="shared" si="4"/>
        <v>54</v>
      </c>
      <c r="E23" s="3">
        <f>Tabell6[[#This Row],[Att fördela]]</f>
        <v>-3.7142857142857144</v>
      </c>
      <c r="F23">
        <f>Tabell6[[#This Row],[Pris/m3 ink.moms]]</f>
        <v>14.9625</v>
      </c>
      <c r="G23" s="2">
        <f>(Tabell410[[#This Row],[Förbrukning]]+Tabell410[[#This Row],[Utjämning]])*Tabell410[[#This Row],[Kr/m3]]</f>
        <v>752.4</v>
      </c>
      <c r="H23" s="2">
        <f>Tabell6[[#This Row],[Summa fast avg/hushåll]]</f>
        <v>547.85714285714289</v>
      </c>
      <c r="I23" s="2">
        <f>Tabell6[[#This Row],[Medlems avg]]/14</f>
        <v>600</v>
      </c>
      <c r="J23" s="26">
        <f>Lån!D66</f>
        <v>556.14285714285711</v>
      </c>
      <c r="K23" s="2">
        <f>IF(Tabell410[[#This Row],[Nuvarande]], SUM(Tabell410[[#This Row],[Summa förbrukning]:[Lån]])+Tabell410[[#This Row],[Korr]],0)</f>
        <v>2456.3999999999996</v>
      </c>
      <c r="L23" s="2"/>
    </row>
    <row r="24" spans="1:12" x14ac:dyDescent="0.25">
      <c r="A24" s="4">
        <f>Tabell6[[#This Row],[Avläsnings datum]]</f>
        <v>42855</v>
      </c>
      <c r="B24">
        <v>6384</v>
      </c>
      <c r="C24">
        <f t="shared" si="3"/>
        <v>6339</v>
      </c>
      <c r="D24">
        <f t="shared" si="4"/>
        <v>45</v>
      </c>
      <c r="E24" s="3">
        <f>Tabell6[[#This Row],[Att fördela]]</f>
        <v>-2</v>
      </c>
      <c r="F24">
        <f>Tabell6[[#This Row],[Pris/m3 ink.moms]]</f>
        <v>14.9625</v>
      </c>
      <c r="G24" s="2">
        <f>(Tabell410[[#This Row],[Förbrukning]]+Tabell410[[#This Row],[Utjämning]])*Tabell410[[#This Row],[Kr/m3]]</f>
        <v>643.38750000000005</v>
      </c>
      <c r="H24" s="2">
        <f>Tabell6[[#This Row],[Summa fast avg/hushåll]]</f>
        <v>547.85714285714289</v>
      </c>
      <c r="I24" s="2">
        <f>Tabell6[[#This Row],[Medlems avg]]/14</f>
        <v>700</v>
      </c>
      <c r="J24" s="26">
        <f>Lån!D70</f>
        <v>543.71428571428567</v>
      </c>
      <c r="K24" s="2">
        <f>IF(Tabell410[[#This Row],[Nuvarande]], SUM(Tabell410[[#This Row],[Summa förbrukning]:[Lån]])+Tabell410[[#This Row],[Korr]],0)</f>
        <v>2434.9589285714287</v>
      </c>
      <c r="L24" s="2"/>
    </row>
    <row r="25" spans="1:12" x14ac:dyDescent="0.25">
      <c r="A25" s="4">
        <f>Tabell6[[#This Row],[Avläsnings datum]]</f>
        <v>42978</v>
      </c>
      <c r="B25">
        <v>6437</v>
      </c>
      <c r="C25">
        <f t="shared" si="3"/>
        <v>6384</v>
      </c>
      <c r="D25">
        <f t="shared" si="4"/>
        <v>53</v>
      </c>
      <c r="E25" s="3">
        <f>Tabell6[[#This Row],[Att fördela]]</f>
        <v>-3.3571428571428572</v>
      </c>
      <c r="F25">
        <f>Tabell6[[#This Row],[Pris/m3 ink.moms]]</f>
        <v>14.9625</v>
      </c>
      <c r="G25" s="2">
        <f>(Tabell410[[#This Row],[Förbrukning]]+Tabell410[[#This Row],[Utjämning]])*Tabell410[[#This Row],[Kr/m3]]</f>
        <v>742.78125000000011</v>
      </c>
      <c r="H25" s="2">
        <f>Tabell6[[#This Row],[Summa fast avg/hushåll]]</f>
        <v>547.85714285714289</v>
      </c>
      <c r="I25" s="2">
        <f>Tabell6[[#This Row],[Medlems avg]]/14</f>
        <v>700</v>
      </c>
      <c r="J25" s="26">
        <f>Lån!D74</f>
        <v>527</v>
      </c>
      <c r="K25" s="2">
        <f>IF(Tabell410[[#This Row],[Nuvarande]], SUM(Tabell410[[#This Row],[Summa förbrukning]:[Lån]])+Tabell410[[#This Row],[Korr]],0)</f>
        <v>2517.6383928571431</v>
      </c>
      <c r="L25" s="2"/>
    </row>
    <row r="26" spans="1:12" x14ac:dyDescent="0.25">
      <c r="A26" s="4">
        <f>Tabell6[[#This Row],[Avläsnings datum]]</f>
        <v>43100</v>
      </c>
      <c r="B26">
        <v>6485</v>
      </c>
      <c r="C26">
        <f t="shared" si="3"/>
        <v>6437</v>
      </c>
      <c r="D26">
        <f t="shared" si="4"/>
        <v>48</v>
      </c>
      <c r="E26" s="3">
        <f>Tabell6[[#This Row],[Att fördela]]</f>
        <v>-1.8571428571428572</v>
      </c>
      <c r="F26">
        <f>Tabell6[[#This Row],[Pris/m3 ink.moms]]</f>
        <v>14.9625</v>
      </c>
      <c r="G26" s="2">
        <f>(Tabell410[[#This Row],[Förbrukning]]+Tabell410[[#This Row],[Utjämning]])*Tabell410[[#This Row],[Kr/m3]]</f>
        <v>690.41250000000002</v>
      </c>
      <c r="H26" s="2">
        <f>Tabell6[[#This Row],[Summa fast avg/hushåll]]</f>
        <v>547.85714285714289</v>
      </c>
      <c r="I26" s="2">
        <f>Tabell6[[#This Row],[Medlems avg]]/14</f>
        <v>700</v>
      </c>
      <c r="J26" s="26">
        <f>Lån!D78</f>
        <v>387.57142857142856</v>
      </c>
      <c r="K26" s="2">
        <f>IF(Tabell410[[#This Row],[Nuvarande]], SUM(Tabell410[[#This Row],[Summa förbrukning]:[Lån]])+Tabell410[[#This Row],[Korr]],0)</f>
        <v>2325.8410714285715</v>
      </c>
      <c r="L26" s="2"/>
    </row>
    <row r="27" spans="1:12" x14ac:dyDescent="0.25">
      <c r="A27" s="4">
        <f>Tabell6[[#This Row],[Avläsnings datum]]</f>
        <v>43220</v>
      </c>
      <c r="B27">
        <v>6534</v>
      </c>
      <c r="C27">
        <f t="shared" si="3"/>
        <v>6485</v>
      </c>
      <c r="D27">
        <f t="shared" si="4"/>
        <v>49</v>
      </c>
      <c r="E27" s="3">
        <f>Tabell6[[#This Row],[Att fördela]]</f>
        <v>-2.5714285714285716</v>
      </c>
      <c r="F27">
        <f>Tabell6[[#This Row],[Pris/m3 ink.moms]]</f>
        <v>14.9625</v>
      </c>
      <c r="G27" s="2">
        <f>(Tabell410[[#This Row],[Förbrukning]]+Tabell410[[#This Row],[Utjämning]])*Tabell410[[#This Row],[Kr/m3]]</f>
        <v>694.6875</v>
      </c>
      <c r="H27" s="2">
        <f>Tabell6[[#This Row],[Summa fast avg/hushåll]]</f>
        <v>547.85714285714289</v>
      </c>
      <c r="I27" s="2">
        <f>Tabell6[[#This Row],[Medlems avg]]/14</f>
        <v>1000</v>
      </c>
      <c r="J27" s="2"/>
      <c r="K27" s="2">
        <f>IF(Tabell410[[#This Row],[Nuvarande]], SUM(Tabell410[[#This Row],[Summa förbrukning]:[Lån]])+Tabell410[[#This Row],[Korr]],0)</f>
        <v>2242.5446428571431</v>
      </c>
      <c r="L27" s="2"/>
    </row>
    <row r="28" spans="1:12" x14ac:dyDescent="0.25">
      <c r="A28" s="4">
        <f>Tabell6[[#This Row],[Avläsnings datum]]</f>
        <v>43343</v>
      </c>
      <c r="B28">
        <v>6572</v>
      </c>
      <c r="C28">
        <f t="shared" si="3"/>
        <v>6534</v>
      </c>
      <c r="D28">
        <f t="shared" si="4"/>
        <v>38</v>
      </c>
      <c r="E28" s="3">
        <f>Tabell6[[#This Row],[Att fördela]]</f>
        <v>-2.2142857142857144</v>
      </c>
      <c r="F28">
        <f>Tabell6[[#This Row],[Pris/m3 ink.moms]]</f>
        <v>14.9625</v>
      </c>
      <c r="G28" s="2">
        <f>(Tabell410[[#This Row],[Förbrukning]]+Tabell410[[#This Row],[Utjämning]])*Tabell410[[#This Row],[Kr/m3]]</f>
        <v>535.44375000000002</v>
      </c>
      <c r="H28" s="2">
        <f>Tabell6[[#This Row],[Summa fast avg/hushåll]]</f>
        <v>547.85714285714289</v>
      </c>
      <c r="I28" s="2">
        <f>Tabell6[[#This Row],[Medlems avg]]/14</f>
        <v>1000</v>
      </c>
      <c r="J28" s="2"/>
      <c r="K28" s="2">
        <f>IF(Tabell410[[#This Row],[Nuvarande]], SUM(Tabell410[[#This Row],[Summa förbrukning]:[Lån]])+Tabell410[[#This Row],[Korr]],0)</f>
        <v>2083.300892857143</v>
      </c>
      <c r="L28" s="2"/>
    </row>
    <row r="29" spans="1:12" x14ac:dyDescent="0.25">
      <c r="A29" s="4">
        <f>Tabell6[[#This Row],[Avläsnings datum]]</f>
        <v>43465</v>
      </c>
      <c r="B29">
        <v>6636</v>
      </c>
      <c r="C29">
        <f t="shared" si="3"/>
        <v>6572</v>
      </c>
      <c r="D29">
        <f t="shared" si="4"/>
        <v>64</v>
      </c>
      <c r="E29" s="3">
        <f>Tabell6[[#This Row],[Att fördela]]</f>
        <v>-1.5</v>
      </c>
      <c r="F29">
        <f>Tabell6[[#This Row],[Pris/m3 ink.moms]]</f>
        <v>15.780000000000001</v>
      </c>
      <c r="G29" s="2">
        <f>(Tabell410[[#This Row],[Förbrukning]]+Tabell410[[#This Row],[Utjämning]])*Tabell410[[#This Row],[Kr/m3]]</f>
        <v>986.25000000000011</v>
      </c>
      <c r="H29" s="2">
        <f>Tabell6[[#This Row],[Summa fast avg/hushåll]]</f>
        <v>547.85714285714289</v>
      </c>
      <c r="I29" s="2">
        <f>Tabell6[[#This Row],[Medlems avg]]/14</f>
        <v>1000</v>
      </c>
      <c r="J29" s="2"/>
      <c r="K29" s="2">
        <f>IF(Tabell410[[#This Row],[Nuvarande]], SUM(Tabell410[[#This Row],[Summa förbrukning]:[Lån]])+Tabell410[[#This Row],[Korr]],0)</f>
        <v>2534.1071428571431</v>
      </c>
      <c r="L29" s="2"/>
    </row>
    <row r="30" spans="1:12" x14ac:dyDescent="0.25">
      <c r="A30" s="4">
        <f>Tabell6[[#This Row],[Avläsnings datum]]</f>
        <v>43585</v>
      </c>
      <c r="B30">
        <v>6678</v>
      </c>
      <c r="C30">
        <f t="shared" si="3"/>
        <v>6636</v>
      </c>
      <c r="D30">
        <f t="shared" si="4"/>
        <v>42</v>
      </c>
      <c r="E30" s="3">
        <f>Tabell6[[#This Row],[Att fördela]]</f>
        <v>-7.2857142857142856</v>
      </c>
      <c r="F30">
        <f>Tabell6[[#This Row],[Pris/m3 ink.moms]]</f>
        <v>15.780000000000001</v>
      </c>
      <c r="G30" s="2">
        <f>(Tabell410[[#This Row],[Förbrukning]]+Tabell410[[#This Row],[Utjämning]])*Tabell410[[#This Row],[Kr/m3]]</f>
        <v>547.79142857142858</v>
      </c>
      <c r="H30" s="2">
        <f>Tabell6[[#This Row],[Summa fast avg/hushåll]]</f>
        <v>578.16714285714284</v>
      </c>
      <c r="I30" s="2">
        <f>Tabell6[[#This Row],[Medlems avg]]/14</f>
        <v>1000</v>
      </c>
      <c r="J30" s="2"/>
      <c r="K30" s="2">
        <f>IF(Tabell410[[#This Row],[Nuvarande]], SUM(Tabell410[[#This Row],[Summa förbrukning]:[Lån]])+Tabell410[[#This Row],[Korr]],0)</f>
        <v>2125.9585714285713</v>
      </c>
      <c r="L30" s="2"/>
    </row>
    <row r="31" spans="1:12" x14ac:dyDescent="0.25">
      <c r="A31" s="4">
        <f>Tabell6[[#This Row],[Avläsnings datum]]</f>
        <v>43708</v>
      </c>
      <c r="B31">
        <v>6719</v>
      </c>
      <c r="C31">
        <f t="shared" si="3"/>
        <v>6678</v>
      </c>
      <c r="D31">
        <f t="shared" si="4"/>
        <v>41</v>
      </c>
      <c r="E31" s="3">
        <f>Tabell6[[#This Row],[Att fördela]]</f>
        <v>-3.4285714285714284</v>
      </c>
      <c r="F31">
        <f>Tabell6[[#This Row],[Pris/m3 ink.moms]]</f>
        <v>15.780000000000001</v>
      </c>
      <c r="G31" s="2">
        <f>(Tabell410[[#This Row],[Förbrukning]]+Tabell410[[#This Row],[Utjämning]])*Tabell410[[#This Row],[Kr/m3]]</f>
        <v>592.87714285714287</v>
      </c>
      <c r="H31" s="2">
        <f>Tabell6[[#This Row],[Summa fast avg/hushåll]]</f>
        <v>578.16714285714284</v>
      </c>
      <c r="I31" s="2">
        <f>Tabell6[[#This Row],[Medlems avg]]/14</f>
        <v>1000</v>
      </c>
      <c r="J31" s="2"/>
      <c r="K31" s="2">
        <f>IF(Tabell410[[#This Row],[Nuvarande]], SUM(Tabell410[[#This Row],[Summa förbrukning]:[Lån]])+Tabell410[[#This Row],[Korr]],0)</f>
        <v>2171.0442857142857</v>
      </c>
      <c r="L31" s="2"/>
    </row>
    <row r="32" spans="1:12" x14ac:dyDescent="0.25">
      <c r="A32" s="4">
        <f>Tabell6[[#This Row],[Avläsnings datum]]</f>
        <v>43830</v>
      </c>
      <c r="B32">
        <v>6766</v>
      </c>
      <c r="C32">
        <f t="shared" si="3"/>
        <v>6719</v>
      </c>
      <c r="D32">
        <f t="shared" si="4"/>
        <v>47</v>
      </c>
      <c r="E32" s="3">
        <f>Tabell6[[#This Row],[Att fördela]]</f>
        <v>-3</v>
      </c>
      <c r="F32">
        <f>Tabell6[[#This Row],[Pris/m3 ink.moms]]</f>
        <v>15.780000000000001</v>
      </c>
      <c r="G32" s="2">
        <f>(Tabell410[[#This Row],[Förbrukning]]+Tabell410[[#This Row],[Utjämning]])*Tabell410[[#This Row],[Kr/m3]]</f>
        <v>694.32</v>
      </c>
      <c r="H32" s="2">
        <f>Tabell6[[#This Row],[Summa fast avg/hushåll]]</f>
        <v>578.16714285714284</v>
      </c>
      <c r="I32" s="2">
        <f>Tabell6[[#This Row],[Medlems avg]]/14</f>
        <v>1000</v>
      </c>
      <c r="J32" s="2"/>
      <c r="K32" s="2">
        <f>IF(Tabell410[[#This Row],[Nuvarande]], SUM(Tabell410[[#This Row],[Summa förbrukning]:[Lån]])+Tabell410[[#This Row],[Korr]],0)</f>
        <v>2272.4871428571428</v>
      </c>
      <c r="L32" s="2"/>
    </row>
    <row r="33" spans="1:12" x14ac:dyDescent="0.25">
      <c r="A33" s="4">
        <f>Tabell6[[#This Row],[Avläsnings datum]]</f>
        <v>43951</v>
      </c>
      <c r="B33">
        <v>6854</v>
      </c>
      <c r="C33">
        <f t="shared" si="3"/>
        <v>6766</v>
      </c>
      <c r="D33">
        <f t="shared" si="4"/>
        <v>88</v>
      </c>
      <c r="E33" s="3">
        <f>Tabell6[[#This Row],[Att fördela]]</f>
        <v>-1.9285714285714286</v>
      </c>
      <c r="F33">
        <f>Tabell6[[#This Row],[Pris/m3 ink.moms]]</f>
        <v>15.780000000000001</v>
      </c>
      <c r="G33" s="2">
        <f>(Tabell410[[#This Row],[Förbrukning]]+Tabell410[[#This Row],[Utjämning]])*Tabell410[[#This Row],[Kr/m3]]</f>
        <v>1358.207142857143</v>
      </c>
      <c r="H33" s="2">
        <f>Tabell6[[#This Row],[Summa fast avg/hushåll]]</f>
        <v>578.16714285714284</v>
      </c>
      <c r="I33" s="2">
        <f>Tabell6[[#This Row],[Medlems avg]]/14</f>
        <v>1000</v>
      </c>
      <c r="J33" s="2"/>
      <c r="K33" s="2">
        <f>IF(Tabell410[[#This Row],[Nuvarande]], SUM(Tabell410[[#This Row],[Summa förbrukning]:[Lån]])+Tabell410[[#This Row],[Korr]],0)</f>
        <v>2936.3742857142861</v>
      </c>
      <c r="L33" s="2"/>
    </row>
    <row r="34" spans="1:12" x14ac:dyDescent="0.25">
      <c r="A34" s="4">
        <f>Tabell6[[#This Row],[Avläsnings datum]]</f>
        <v>44074</v>
      </c>
      <c r="B34">
        <v>6914</v>
      </c>
      <c r="C34">
        <f t="shared" si="3"/>
        <v>6854</v>
      </c>
      <c r="D34">
        <f t="shared" si="4"/>
        <v>60</v>
      </c>
      <c r="E34" s="3">
        <f>Tabell6[[#This Row],[Att fördela]]</f>
        <v>-1.8571428571428572</v>
      </c>
      <c r="F34">
        <f>Tabell6[[#This Row],[Pris/m3 ink.moms]]</f>
        <v>15.780000000000001</v>
      </c>
      <c r="G34" s="2">
        <f>(Tabell410[[#This Row],[Förbrukning]]+Tabell410[[#This Row],[Utjämning]])*Tabell410[[#This Row],[Kr/m3]]</f>
        <v>917.49428571428587</v>
      </c>
      <c r="H34" s="2">
        <f>Tabell6[[#This Row],[Summa fast avg/hushåll]]</f>
        <v>578.16714285714284</v>
      </c>
      <c r="I34" s="2">
        <f>Tabell6[[#This Row],[Medlems avg]]/14</f>
        <v>1000</v>
      </c>
      <c r="J34" s="2"/>
      <c r="K34" s="2">
        <f>IF(Tabell410[[#This Row],[Nuvarande]], SUM(Tabell410[[#This Row],[Summa förbrukning]:[Lån]])+Tabell410[[#This Row],[Korr]],0)</f>
        <v>2495.6614285714286</v>
      </c>
      <c r="L34" s="2"/>
    </row>
    <row r="35" spans="1:12" x14ac:dyDescent="0.25">
      <c r="A35" s="4">
        <f>Tabell6[[#This Row],[Avläsnings datum]]</f>
        <v>44196</v>
      </c>
      <c r="B35">
        <v>7001</v>
      </c>
      <c r="C35">
        <f t="shared" si="3"/>
        <v>6914</v>
      </c>
      <c r="D35">
        <f t="shared" si="4"/>
        <v>87</v>
      </c>
      <c r="E35" s="3">
        <f>Tabell6[[#This Row],[Att fördela]]</f>
        <v>-2.2142857142857144</v>
      </c>
      <c r="F35">
        <f>Tabell6[[#This Row],[Pris/m3 ink.moms]]</f>
        <v>15.780000000000001</v>
      </c>
      <c r="G35" s="2">
        <f>(Tabell410[[#This Row],[Förbrukning]]+Tabell410[[#This Row],[Utjämning]])*Tabell410[[#This Row],[Kr/m3]]</f>
        <v>1337.9185714285716</v>
      </c>
      <c r="H35" s="2">
        <f>Tabell6[[#This Row],[Summa fast avg/hushåll]]</f>
        <v>578.16714285714284</v>
      </c>
      <c r="I35" s="2">
        <f>Tabell6[[#This Row],[Medlems avg]]/14</f>
        <v>1000</v>
      </c>
      <c r="J35" s="2"/>
      <c r="K35" s="2">
        <f>IF(Tabell410[[#This Row],[Nuvarande]], SUM(Tabell410[[#This Row],[Summa förbrukning]:[Lån]])+Tabell410[[#This Row],[Korr]],0)</f>
        <v>2916.0857142857144</v>
      </c>
      <c r="L35" s="2"/>
    </row>
    <row r="36" spans="1:12" x14ac:dyDescent="0.25">
      <c r="A36" s="4">
        <f>Tabell6[[#This Row],[Avläsnings datum]]</f>
        <v>44316</v>
      </c>
      <c r="B36">
        <v>7068</v>
      </c>
      <c r="C36">
        <f t="shared" si="3"/>
        <v>7001</v>
      </c>
      <c r="D36">
        <f t="shared" si="4"/>
        <v>67</v>
      </c>
      <c r="E36" s="3">
        <f>Tabell6[[#This Row],[Att fördela]]</f>
        <v>-1.0714285714285714</v>
      </c>
      <c r="F36">
        <f>Tabell6[[#This Row],[Pris/m3 ink.moms]]</f>
        <v>15.780000000000001</v>
      </c>
      <c r="G36" s="2">
        <f>(Tabell410[[#This Row],[Förbrukning]]+Tabell410[[#This Row],[Utjämning]])*Tabell410[[#This Row],[Kr/m3]]</f>
        <v>1040.3528571428571</v>
      </c>
      <c r="H36" s="2">
        <f>Tabell6[[#This Row],[Summa fast avg/hushåll]]</f>
        <v>578.16714285714284</v>
      </c>
      <c r="I36" s="2">
        <f>Tabell6[[#This Row],[Medlems avg]]/14</f>
        <v>1000</v>
      </c>
      <c r="J36" s="2"/>
      <c r="K36" s="2">
        <f>IF(Tabell410[[#This Row],[Nuvarande]], SUM(Tabell410[[#This Row],[Summa förbrukning]:[Lån]])+Tabell410[[#This Row],[Korr]],0)</f>
        <v>2618.52</v>
      </c>
      <c r="L36" s="2"/>
    </row>
    <row r="37" spans="1:12" x14ac:dyDescent="0.25">
      <c r="A37" s="4">
        <f>Tabell6[[#This Row],[Avläsnings datum]]</f>
        <v>44439</v>
      </c>
      <c r="B37">
        <v>7154</v>
      </c>
      <c r="C37">
        <f t="shared" ref="C37:C60" si="5">B36</f>
        <v>7068</v>
      </c>
      <c r="D37">
        <f t="shared" ref="D37:D60" si="6">IF(B37-C37&lt;0,0,B37-C37)</f>
        <v>86</v>
      </c>
      <c r="E37" s="3">
        <f>Tabell6[[#This Row],[Att fördela]]</f>
        <v>-2.4285714285714284</v>
      </c>
      <c r="F37">
        <f>Tabell6[[#This Row],[Pris/m3 ink.moms]]</f>
        <v>15.780000000000001</v>
      </c>
      <c r="G37" s="2">
        <f>(Tabell410[[#This Row],[Förbrukning]]+Tabell410[[#This Row],[Utjämning]])*Tabell410[[#This Row],[Kr/m3]]</f>
        <v>1318.757142857143</v>
      </c>
      <c r="H37" s="2">
        <f>Tabell6[[#This Row],[Summa fast avg/hushåll]]</f>
        <v>578.16714285714284</v>
      </c>
      <c r="I37" s="2">
        <f>Tabell6[[#This Row],[Medlems avg]]/14</f>
        <v>1000</v>
      </c>
      <c r="J37" s="2"/>
      <c r="K37" s="2">
        <f>IF(Tabell410[[#This Row],[Nuvarande]], SUM(Tabell410[[#This Row],[Summa förbrukning]:[Lån]])+Tabell410[[#This Row],[Korr]],0)</f>
        <v>2896.9242857142858</v>
      </c>
      <c r="L37" s="2"/>
    </row>
    <row r="38" spans="1:12" x14ac:dyDescent="0.25">
      <c r="A38" s="4">
        <f>Tabell6[[#This Row],[Avläsnings datum]]</f>
        <v>44561</v>
      </c>
      <c r="B38">
        <v>7228</v>
      </c>
      <c r="C38">
        <f t="shared" si="5"/>
        <v>7154</v>
      </c>
      <c r="D38">
        <f t="shared" si="6"/>
        <v>74</v>
      </c>
      <c r="E38" s="3">
        <f>Tabell6[[#This Row],[Att fördela]]</f>
        <v>-1.3571428571428572</v>
      </c>
      <c r="F38">
        <f>Tabell6[[#This Row],[Pris/m3 ink.moms]]</f>
        <v>15.780000000000001</v>
      </c>
      <c r="G38" s="2">
        <f>(Tabell410[[#This Row],[Förbrukning]]+Tabell410[[#This Row],[Utjämning]])*Tabell410[[#This Row],[Kr/m3]]</f>
        <v>1146.3042857142857</v>
      </c>
      <c r="H38" s="2">
        <f>Tabell6[[#This Row],[Summa fast avg/hushåll]]</f>
        <v>578.16714285714284</v>
      </c>
      <c r="I38" s="2">
        <f>Tabell6[[#This Row],[Medlems avg]]/14</f>
        <v>1000</v>
      </c>
      <c r="J38" s="2"/>
      <c r="K38" s="2">
        <f>IF(Tabell410[[#This Row],[Nuvarande]], SUM(Tabell410[[#This Row],[Summa förbrukning]:[Lån]])+Tabell410[[#This Row],[Korr]],0)</f>
        <v>2724.4714285714285</v>
      </c>
      <c r="L38" s="2"/>
    </row>
    <row r="39" spans="1:12" x14ac:dyDescent="0.25">
      <c r="A39" s="4">
        <f>Tabell6[[#This Row],[Avläsnings datum]]</f>
        <v>44681</v>
      </c>
      <c r="B39">
        <v>7333</v>
      </c>
      <c r="C39">
        <f t="shared" si="5"/>
        <v>7228</v>
      </c>
      <c r="D39">
        <f t="shared" si="6"/>
        <v>105</v>
      </c>
      <c r="E39" s="3">
        <f>Tabell6[[#This Row],[Att fördela]]</f>
        <v>-2.7142857142857144</v>
      </c>
      <c r="F39">
        <f>Tabell6[[#This Row],[Pris/m3 ink.moms]]</f>
        <v>15.780000000000001</v>
      </c>
      <c r="G39" s="2">
        <f>(Tabell410[[#This Row],[Förbrukning]]+Tabell410[[#This Row],[Utjämning]])*Tabell410[[#This Row],[Kr/m3]]</f>
        <v>1614.0685714285717</v>
      </c>
      <c r="H39" s="2">
        <f>Tabell6[[#This Row],[Summa fast avg/hushåll]]</f>
        <v>578.16714285714284</v>
      </c>
      <c r="I39" s="2">
        <f>Tabell6[[#This Row],[Medlems avg]]/14</f>
        <v>1000</v>
      </c>
      <c r="J39" s="2"/>
      <c r="K39" s="2">
        <f>IF(Tabell410[[#This Row],[Nuvarande]], SUM(Tabell410[[#This Row],[Summa förbrukning]:[Lån]])+Tabell410[[#This Row],[Korr]],0)</f>
        <v>3192.2357142857145</v>
      </c>
      <c r="L39" s="2"/>
    </row>
    <row r="40" spans="1:12" x14ac:dyDescent="0.25">
      <c r="A40" s="4">
        <f>Tabell6[[#This Row],[Avläsnings datum]]</f>
        <v>44804</v>
      </c>
      <c r="B40">
        <v>7420</v>
      </c>
      <c r="C40">
        <f t="shared" si="5"/>
        <v>7333</v>
      </c>
      <c r="D40">
        <f t="shared" si="6"/>
        <v>87</v>
      </c>
      <c r="E40" s="3">
        <f>Tabell6[[#This Row],[Att fördela]]</f>
        <v>-7.1428571428571425E-2</v>
      </c>
      <c r="F40">
        <f>Tabell6[[#This Row],[Pris/m3 ink.moms]]</f>
        <v>15.780000000000001</v>
      </c>
      <c r="G40" s="2">
        <f>(Tabell410[[#This Row],[Förbrukning]]+Tabell410[[#This Row],[Utjämning]])*Tabell410[[#This Row],[Kr/m3]]</f>
        <v>1371.7328571428573</v>
      </c>
      <c r="H40" s="2">
        <f>Tabell6[[#This Row],[Summa fast avg/hushåll]]</f>
        <v>578.16714285714284</v>
      </c>
      <c r="I40" s="2">
        <f>Tabell6[[#This Row],[Medlems avg]]/14</f>
        <v>1000</v>
      </c>
      <c r="J40" s="2"/>
      <c r="K40" s="2">
        <f>IF(Tabell410[[#This Row],[Nuvarande]], SUM(Tabell410[[#This Row],[Summa förbrukning]:[Lån]])+Tabell410[[#This Row],[Korr]],0)</f>
        <v>2949.9</v>
      </c>
      <c r="L40" s="2"/>
    </row>
    <row r="41" spans="1:12" x14ac:dyDescent="0.25">
      <c r="A41" s="4">
        <f>Tabell6[[#This Row],[Avläsnings datum]]</f>
        <v>44926</v>
      </c>
      <c r="B41">
        <v>7515</v>
      </c>
      <c r="C41">
        <f t="shared" si="5"/>
        <v>7420</v>
      </c>
      <c r="D41">
        <f t="shared" si="6"/>
        <v>95</v>
      </c>
      <c r="E41" s="3">
        <f>Tabell6[[#This Row],[Att fördela]]</f>
        <v>0</v>
      </c>
      <c r="F41">
        <f>Tabell6[[#This Row],[Pris/m3 ink.moms]]</f>
        <v>15.780000000000001</v>
      </c>
      <c r="G41" s="2">
        <f>(Tabell410[[#This Row],[Förbrukning]]+Tabell410[[#This Row],[Utjämning]])*Tabell410[[#This Row],[Kr/m3]]</f>
        <v>1499.1000000000001</v>
      </c>
      <c r="H41" s="2">
        <f>Tabell6[[#This Row],[Summa fast avg/hushåll]]</f>
        <v>578.16714285714284</v>
      </c>
      <c r="I41" s="2">
        <f>Tabell6[[#This Row],[Medlems avg]]/14</f>
        <v>1000</v>
      </c>
      <c r="J41" s="2"/>
      <c r="K41" s="2">
        <f>IF(Tabell410[[#This Row],[Nuvarande]], SUM(Tabell410[[#This Row],[Summa förbrukning]:[Lån]])+Tabell410[[#This Row],[Korr]],0)</f>
        <v>3077.267142857143</v>
      </c>
      <c r="L41" s="2"/>
    </row>
    <row r="42" spans="1:12" x14ac:dyDescent="0.25">
      <c r="A42" s="4">
        <f>Tabell6[[#This Row],[Avläsnings datum]]</f>
        <v>45046</v>
      </c>
      <c r="B42">
        <v>7608</v>
      </c>
      <c r="C42">
        <f t="shared" si="5"/>
        <v>7515</v>
      </c>
      <c r="D42">
        <f t="shared" si="6"/>
        <v>93</v>
      </c>
      <c r="E42" s="3">
        <f>Tabell6[[#This Row],[Att fördela]]</f>
        <v>0.14285714285714285</v>
      </c>
      <c r="F42">
        <f>Tabell6[[#This Row],[Pris/m3 ink.moms]]</f>
        <v>17.829999999999998</v>
      </c>
      <c r="G42" s="2">
        <f>(Tabell410[[#This Row],[Förbrukning]]+Tabell410[[#This Row],[Utjämning]])*Tabell410[[#This Row],[Kr/m3]]</f>
        <v>1660.7371428571425</v>
      </c>
      <c r="H42" s="2">
        <f>Tabell6[[#This Row],[Summa fast avg/hushåll]]</f>
        <v>652.99952380952379</v>
      </c>
      <c r="I42" s="2">
        <f>Tabell6[[#This Row],[Medlems avg]]/14</f>
        <v>1000</v>
      </c>
      <c r="J42" s="2"/>
      <c r="K42" s="2">
        <f>IF(Tabell410[[#This Row],[Nuvarande]], SUM(Tabell410[[#This Row],[Summa förbrukning]:[Lån]])+Tabell410[[#This Row],[Korr]],0)</f>
        <v>3313.7366666666662</v>
      </c>
      <c r="L42" s="2"/>
    </row>
    <row r="43" spans="1:12" x14ac:dyDescent="0.25">
      <c r="A43" s="4">
        <f>Tabell6[[#This Row],[Avläsnings datum]]</f>
        <v>45169</v>
      </c>
      <c r="B43">
        <v>7706</v>
      </c>
      <c r="C43">
        <f t="shared" si="5"/>
        <v>7608</v>
      </c>
      <c r="D43">
        <f t="shared" si="6"/>
        <v>98</v>
      </c>
      <c r="E43" s="3">
        <f>Tabell6[[#This Row],[Att fördela]]</f>
        <v>-2.2142857142857144</v>
      </c>
      <c r="F43">
        <f>Tabell6[[#This Row],[Pris/m3 ink.moms]]</f>
        <v>17.829999999999998</v>
      </c>
      <c r="G43" s="2">
        <f>(Tabell410[[#This Row],[Förbrukning]]+Tabell410[[#This Row],[Utjämning]])*Tabell410[[#This Row],[Kr/m3]]</f>
        <v>1707.8592857142858</v>
      </c>
      <c r="H43" s="2">
        <f>Tabell6[[#This Row],[Summa fast avg/hushåll]]</f>
        <v>652.99952380952379</v>
      </c>
      <c r="I43" s="2">
        <f>Tabell6[[#This Row],[Medlems avg]]/14</f>
        <v>1000</v>
      </c>
      <c r="J43" s="2"/>
      <c r="K43" s="2">
        <f>IF(Tabell410[[#This Row],[Nuvarande]], SUM(Tabell410[[#This Row],[Summa förbrukning]:[Lån]])+Tabell410[[#This Row],[Korr]],0)</f>
        <v>3360.8588095238097</v>
      </c>
      <c r="L43" s="2"/>
    </row>
    <row r="44" spans="1:12" x14ac:dyDescent="0.25">
      <c r="A44" s="4">
        <f>Tabell6[[#This Row],[Avläsnings datum]]</f>
        <v>45291</v>
      </c>
      <c r="B44">
        <v>7784</v>
      </c>
      <c r="C44">
        <f t="shared" si="5"/>
        <v>7706</v>
      </c>
      <c r="D44">
        <f t="shared" si="6"/>
        <v>78</v>
      </c>
      <c r="E44" s="3">
        <f>Tabell6[[#This Row],[Att fördela]]</f>
        <v>-0.7857142857142857</v>
      </c>
      <c r="F44">
        <f>Tabell6[[#This Row],[Pris/m3 ink.moms]]</f>
        <v>17.829999999999998</v>
      </c>
      <c r="G44" s="2">
        <f>(Tabell410[[#This Row],[Förbrukning]]+Tabell410[[#This Row],[Utjämning]])*Tabell410[[#This Row],[Kr/m3]]</f>
        <v>1376.7307142857142</v>
      </c>
      <c r="H44" s="2">
        <f>Tabell6[[#This Row],[Summa fast avg/hushåll]]</f>
        <v>652.99952380952379</v>
      </c>
      <c r="I44" s="2">
        <f>Tabell6[[#This Row],[Medlems avg]]/14</f>
        <v>1000</v>
      </c>
      <c r="J44" s="2"/>
      <c r="K44" s="2">
        <f>IF(Tabell410[[#This Row],[Nuvarande]], SUM(Tabell410[[#This Row],[Summa förbrukning]:[Lån]])+Tabell410[[#This Row],[Korr]],0)</f>
        <v>3029.7302380952378</v>
      </c>
      <c r="L44" s="2"/>
    </row>
    <row r="45" spans="1:12" x14ac:dyDescent="0.25">
      <c r="A45" s="4">
        <f>Tabell6[[#This Row],[Avläsnings datum]]</f>
        <v>45412</v>
      </c>
      <c r="B45">
        <v>7888</v>
      </c>
      <c r="C45">
        <f t="shared" si="5"/>
        <v>7784</v>
      </c>
      <c r="D45">
        <f t="shared" si="6"/>
        <v>104</v>
      </c>
      <c r="E45" s="3">
        <f>Tabell6[[#This Row],[Att fördela]]</f>
        <v>-7.1428571428571425E-2</v>
      </c>
      <c r="F45">
        <f>Tabell6[[#This Row],[Pris/m3 ink.moms]]</f>
        <v>17.829999999999998</v>
      </c>
      <c r="G45" s="2">
        <f>(Tabell410[[#This Row],[Förbrukning]]+Tabell410[[#This Row],[Utjämning]])*Tabell410[[#This Row],[Kr/m3]]</f>
        <v>1853.0464285714284</v>
      </c>
      <c r="H45" s="2">
        <f>Tabell6[[#This Row],[Summa fast avg/hushåll]]</f>
        <v>652.99952380952379</v>
      </c>
      <c r="I45" s="2">
        <f>Tabell6[[#This Row],[Medlems avg]]/14</f>
        <v>1000</v>
      </c>
      <c r="J45" s="2"/>
      <c r="K45" s="2">
        <f>IF(Tabell410[[#This Row],[Nuvarande]], SUM(Tabell410[[#This Row],[Summa förbrukning]:[Lån]])+Tabell410[[#This Row],[Korr]],0)</f>
        <v>3506.0459523809523</v>
      </c>
      <c r="L45" s="2"/>
    </row>
    <row r="46" spans="1:12" x14ac:dyDescent="0.25">
      <c r="A46" s="4">
        <f>Tabell6[[#This Row],[Avläsnings datum]]</f>
        <v>45535</v>
      </c>
      <c r="B46">
        <v>7956</v>
      </c>
      <c r="C46">
        <f t="shared" si="5"/>
        <v>7888</v>
      </c>
      <c r="D46">
        <f t="shared" si="6"/>
        <v>68</v>
      </c>
      <c r="E46" s="3">
        <f>Tabell6[[#This Row],[Att fördela]]</f>
        <v>-1.3571428571428572</v>
      </c>
      <c r="F46">
        <f>Tabell6[[#This Row],[Pris/m3 ink.moms]]</f>
        <v>21</v>
      </c>
      <c r="G46" s="2">
        <f>(Tabell410[[#This Row],[Förbrukning]]+Tabell410[[#This Row],[Utjämning]])*Tabell410[[#This Row],[Kr/m3]]</f>
        <v>1399.5</v>
      </c>
      <c r="H46" s="2">
        <f>Tabell6[[#This Row],[Summa fast avg/hushåll]]</f>
        <v>763.97428571428566</v>
      </c>
      <c r="I46" s="2">
        <f>Tabell6[[#This Row],[Medlems avg]]/14</f>
        <v>1000</v>
      </c>
      <c r="J46" s="2"/>
      <c r="K46" s="2">
        <f>IF(Tabell410[[#This Row],[Nuvarande]], SUM(Tabell410[[#This Row],[Summa förbrukning]:[Lån]])+Tabell410[[#This Row],[Korr]],0)</f>
        <v>3163.4742857142855</v>
      </c>
      <c r="L46" s="2"/>
    </row>
    <row r="47" spans="1:12" x14ac:dyDescent="0.25">
      <c r="A47" s="4">
        <f>Tabell6[[#This Row],[Avläsnings datum]]</f>
        <v>45657</v>
      </c>
      <c r="B47">
        <v>8032</v>
      </c>
      <c r="C47">
        <f t="shared" si="5"/>
        <v>7956</v>
      </c>
      <c r="D47">
        <f t="shared" si="6"/>
        <v>76</v>
      </c>
      <c r="E47" s="3">
        <f>Tabell6[[#This Row],[Att fördela]]</f>
        <v>-1.7142857142857142</v>
      </c>
      <c r="F47">
        <f>Tabell6[[#This Row],[Pris/m3 ink.moms]]</f>
        <v>21</v>
      </c>
      <c r="G47" s="2">
        <f>(Tabell410[[#This Row],[Förbrukning]]+Tabell410[[#This Row],[Utjämning]])*Tabell410[[#This Row],[Kr/m3]]</f>
        <v>1560.0000000000002</v>
      </c>
      <c r="H47" s="2">
        <f>Tabell6[[#This Row],[Summa fast avg/hushåll]]</f>
        <v>763.97428571428566</v>
      </c>
      <c r="I47" s="2">
        <f>Tabell6[[#This Row],[Medlems avg]]/14</f>
        <v>1000</v>
      </c>
      <c r="J47" s="2"/>
      <c r="K47" s="2">
        <f>IF(Tabell410[[#This Row],[Nuvarande]], SUM(Tabell410[[#This Row],[Summa förbrukning]:[Lån]])+Tabell410[[#This Row],[Korr]],0)</f>
        <v>3323.974285714286</v>
      </c>
      <c r="L47" s="2"/>
    </row>
    <row r="48" spans="1:12" x14ac:dyDescent="0.25">
      <c r="A48" s="4">
        <f>Tabell6[[#This Row],[Avläsnings datum]]</f>
        <v>45777</v>
      </c>
      <c r="B48">
        <v>8112</v>
      </c>
      <c r="C48">
        <f t="shared" si="5"/>
        <v>8032</v>
      </c>
      <c r="D48">
        <f t="shared" si="6"/>
        <v>80</v>
      </c>
      <c r="E48" s="3">
        <f>Tabell6[[#This Row],[Att fördela]]</f>
        <v>-1.5</v>
      </c>
      <c r="F48">
        <f>Tabell6[[#This Row],[Pris/m3 ink.moms]]</f>
        <v>24</v>
      </c>
      <c r="G48" s="2">
        <f>(Tabell410[[#This Row],[Förbrukning]]+Tabell410[[#This Row],[Utjämning]])*Tabell410[[#This Row],[Kr/m3]]</f>
        <v>1884</v>
      </c>
      <c r="H48" s="2">
        <f>Tabell6[[#This Row],[Summa fast avg/hushåll]]</f>
        <v>879.14738095238101</v>
      </c>
      <c r="I48" s="2">
        <f>Tabell6[[#This Row],[Medlems avg]]/14</f>
        <v>1000</v>
      </c>
      <c r="J48" s="2"/>
      <c r="K48" s="2">
        <f>IF(Tabell410[[#This Row],[Nuvarande]], SUM(Tabell410[[#This Row],[Summa förbrukning]:[Lån]])+Tabell410[[#This Row],[Korr]],0)</f>
        <v>3763.1473809523809</v>
      </c>
      <c r="L48" s="2"/>
    </row>
    <row r="49" spans="1:12" x14ac:dyDescent="0.25">
      <c r="A49" s="4">
        <f>Tabell6[[#This Row],[Avläsnings datum]]</f>
        <v>45900</v>
      </c>
      <c r="C49">
        <f t="shared" si="5"/>
        <v>8112</v>
      </c>
      <c r="D49">
        <f t="shared" si="6"/>
        <v>0</v>
      </c>
      <c r="E49" s="3">
        <f>Tabell6[[#This Row],[Att fördela]]</f>
        <v>0</v>
      </c>
      <c r="F49">
        <f>Tabell6[[#This Row],[Pris/m3 ink.moms]]</f>
        <v>24</v>
      </c>
      <c r="G49" s="2">
        <f>(Tabell410[[#This Row],[Förbrukning]]+Tabell410[[#This Row],[Utjämning]])*Tabell410[[#This Row],[Kr/m3]]</f>
        <v>0</v>
      </c>
      <c r="H49" s="2">
        <f>Tabell6[[#This Row],[Summa fast avg/hushåll]]</f>
        <v>879.14738095238101</v>
      </c>
      <c r="I49" s="2">
        <f>Tabell6[[#This Row],[Medlems avg]]/14</f>
        <v>1000</v>
      </c>
      <c r="J49" s="2"/>
      <c r="K49" s="2">
        <f>IF(Tabell410[[#This Row],[Nuvarande]], SUM(Tabell410[[#This Row],[Summa förbrukning]:[Lån]])+Tabell410[[#This Row],[Korr]],0)</f>
        <v>0</v>
      </c>
      <c r="L49" s="2"/>
    </row>
    <row r="50" spans="1:12" x14ac:dyDescent="0.25">
      <c r="A50" s="4">
        <f>Tabell6[[#This Row],[Avläsnings datum]]</f>
        <v>46022</v>
      </c>
      <c r="C50">
        <f t="shared" si="5"/>
        <v>0</v>
      </c>
      <c r="D50">
        <f t="shared" si="6"/>
        <v>0</v>
      </c>
      <c r="E50" s="3">
        <f>Tabell6[[#This Row],[Att fördela]]</f>
        <v>0</v>
      </c>
      <c r="F50">
        <f>Tabell6[[#This Row],[Pris/m3 ink.moms]]</f>
        <v>24</v>
      </c>
      <c r="G50" s="2">
        <f>(Tabell410[[#This Row],[Förbrukning]]+Tabell410[[#This Row],[Utjämning]])*Tabell410[[#This Row],[Kr/m3]]</f>
        <v>0</v>
      </c>
      <c r="H50" s="2">
        <f>Tabell6[[#This Row],[Summa fast avg/hushåll]]</f>
        <v>879.14738095238101</v>
      </c>
      <c r="I50" s="2">
        <f>Tabell6[[#This Row],[Medlems avg]]/14</f>
        <v>1000</v>
      </c>
      <c r="J50" s="2"/>
      <c r="K50" s="2">
        <f>IF(Tabell410[[#This Row],[Nuvarande]], SUM(Tabell410[[#This Row],[Summa förbrukning]:[Lån]])+Tabell410[[#This Row],[Korr]],0)</f>
        <v>0</v>
      </c>
      <c r="L50" s="2"/>
    </row>
    <row r="51" spans="1:12" x14ac:dyDescent="0.25">
      <c r="A51" s="4">
        <f>Tabell6[[#This Row],[Avläsnings datum]]</f>
        <v>46142</v>
      </c>
      <c r="C51">
        <f t="shared" si="5"/>
        <v>0</v>
      </c>
      <c r="D51">
        <f t="shared" si="6"/>
        <v>0</v>
      </c>
      <c r="E51" s="3">
        <f>Tabell6[[#This Row],[Att fördela]]</f>
        <v>0</v>
      </c>
      <c r="F51">
        <f>Tabell6[[#This Row],[Pris/m3 ink.moms]]</f>
        <v>24</v>
      </c>
      <c r="G51" s="2">
        <f>(Tabell410[[#This Row],[Förbrukning]]+Tabell410[[#This Row],[Utjämning]])*Tabell410[[#This Row],[Kr/m3]]</f>
        <v>0</v>
      </c>
      <c r="H51" s="2">
        <f>Tabell6[[#This Row],[Summa fast avg/hushåll]]</f>
        <v>879.14738095238101</v>
      </c>
      <c r="I51" s="2">
        <f>Tabell6[[#This Row],[Medlems avg]]/14</f>
        <v>1000</v>
      </c>
      <c r="J51" s="2"/>
      <c r="K51" s="2">
        <f>IF(Tabell410[[#This Row],[Nuvarande]], SUM(Tabell410[[#This Row],[Summa förbrukning]:[Lån]])+Tabell410[[#This Row],[Korr]],0)</f>
        <v>0</v>
      </c>
      <c r="L51" s="2"/>
    </row>
    <row r="52" spans="1:12" x14ac:dyDescent="0.25">
      <c r="A52" s="4">
        <f>Tabell6[[#This Row],[Avläsnings datum]]</f>
        <v>46265</v>
      </c>
      <c r="C52">
        <f t="shared" si="5"/>
        <v>0</v>
      </c>
      <c r="D52">
        <f t="shared" si="6"/>
        <v>0</v>
      </c>
      <c r="E52" s="3">
        <f>Tabell6[[#This Row],[Att fördela]]</f>
        <v>0</v>
      </c>
      <c r="F52">
        <f>Tabell6[[#This Row],[Pris/m3 ink.moms]]</f>
        <v>24</v>
      </c>
      <c r="G52" s="2">
        <f>(Tabell410[[#This Row],[Förbrukning]]+Tabell410[[#This Row],[Utjämning]])*Tabell410[[#This Row],[Kr/m3]]</f>
        <v>0</v>
      </c>
      <c r="H52" s="2">
        <f>Tabell6[[#This Row],[Summa fast avg/hushåll]]</f>
        <v>879.14738095238101</v>
      </c>
      <c r="I52" s="2">
        <f>Tabell6[[#This Row],[Medlems avg]]/14</f>
        <v>1000</v>
      </c>
      <c r="J52" s="2"/>
      <c r="K52" s="2">
        <f>IF(Tabell410[[#This Row],[Nuvarande]], SUM(Tabell410[[#This Row],[Summa förbrukning]:[Lån]])+Tabell410[[#This Row],[Korr]],0)</f>
        <v>0</v>
      </c>
      <c r="L52" s="2"/>
    </row>
    <row r="53" spans="1:12" x14ac:dyDescent="0.25">
      <c r="A53" s="4">
        <f>Tabell6[[#This Row],[Avläsnings datum]]</f>
        <v>46387</v>
      </c>
      <c r="C53">
        <f t="shared" si="5"/>
        <v>0</v>
      </c>
      <c r="D53">
        <f t="shared" si="6"/>
        <v>0</v>
      </c>
      <c r="E53" s="3">
        <f>Tabell6[[#This Row],[Att fördela]]</f>
        <v>0</v>
      </c>
      <c r="F53">
        <f>Tabell6[[#This Row],[Pris/m3 ink.moms]]</f>
        <v>24</v>
      </c>
      <c r="G53" s="2">
        <f>(Tabell410[[#This Row],[Förbrukning]]+Tabell410[[#This Row],[Utjämning]])*Tabell410[[#This Row],[Kr/m3]]</f>
        <v>0</v>
      </c>
      <c r="H53" s="2">
        <f>Tabell6[[#This Row],[Summa fast avg/hushåll]]</f>
        <v>879.14738095238101</v>
      </c>
      <c r="I53" s="2">
        <f>Tabell6[[#This Row],[Medlems avg]]/14</f>
        <v>1000</v>
      </c>
      <c r="J53" s="2"/>
      <c r="K53" s="2">
        <f>IF(Tabell410[[#This Row],[Nuvarande]], SUM(Tabell410[[#This Row],[Summa förbrukning]:[Lån]])+Tabell410[[#This Row],[Korr]],0)</f>
        <v>0</v>
      </c>
      <c r="L53" s="2"/>
    </row>
    <row r="54" spans="1:12" x14ac:dyDescent="0.25">
      <c r="A54" s="4">
        <f>Tabell6[[#This Row],[Avläsnings datum]]</f>
        <v>46507</v>
      </c>
      <c r="C54">
        <f t="shared" si="5"/>
        <v>0</v>
      </c>
      <c r="D54">
        <f t="shared" si="6"/>
        <v>0</v>
      </c>
      <c r="E54" s="3">
        <f>Tabell6[[#This Row],[Att fördela]]</f>
        <v>0</v>
      </c>
      <c r="F54">
        <f>Tabell6[[#This Row],[Pris/m3 ink.moms]]</f>
        <v>24</v>
      </c>
      <c r="G54" s="2">
        <f>(Tabell410[[#This Row],[Förbrukning]]+Tabell410[[#This Row],[Utjämning]])*Tabell410[[#This Row],[Kr/m3]]</f>
        <v>0</v>
      </c>
      <c r="H54" s="2">
        <f>Tabell6[[#This Row],[Summa fast avg/hushåll]]</f>
        <v>879.14738095238101</v>
      </c>
      <c r="I54" s="2">
        <f>Tabell6[[#This Row],[Medlems avg]]/14</f>
        <v>1000</v>
      </c>
      <c r="J54" s="2"/>
      <c r="K54" s="2">
        <f>IF(Tabell410[[#This Row],[Nuvarande]], SUM(Tabell410[[#This Row],[Summa förbrukning]:[Lån]])+Tabell410[[#This Row],[Korr]],0)</f>
        <v>0</v>
      </c>
      <c r="L54" s="2"/>
    </row>
    <row r="55" spans="1:12" x14ac:dyDescent="0.25">
      <c r="A55" s="4">
        <f>Tabell6[[#This Row],[Avläsnings datum]]</f>
        <v>46630</v>
      </c>
      <c r="C55">
        <f t="shared" si="5"/>
        <v>0</v>
      </c>
      <c r="D55">
        <f t="shared" si="6"/>
        <v>0</v>
      </c>
      <c r="E55" s="3">
        <f>Tabell6[[#This Row],[Att fördela]]</f>
        <v>0</v>
      </c>
      <c r="F55">
        <f>Tabell6[[#This Row],[Pris/m3 ink.moms]]</f>
        <v>24</v>
      </c>
      <c r="G55" s="2">
        <f>(Tabell410[[#This Row],[Förbrukning]]+Tabell410[[#This Row],[Utjämning]])*Tabell410[[#This Row],[Kr/m3]]</f>
        <v>0</v>
      </c>
      <c r="H55" s="2">
        <f>Tabell6[[#This Row],[Summa fast avg/hushåll]]</f>
        <v>879.14738095238101</v>
      </c>
      <c r="I55" s="2">
        <f>Tabell6[[#This Row],[Medlems avg]]/14</f>
        <v>1000</v>
      </c>
      <c r="J55" s="2"/>
      <c r="K55" s="2">
        <f>IF(Tabell410[[#This Row],[Nuvarande]], SUM(Tabell410[[#This Row],[Summa förbrukning]:[Lån]])+Tabell410[[#This Row],[Korr]],0)</f>
        <v>0</v>
      </c>
      <c r="L55" s="2"/>
    </row>
    <row r="56" spans="1:12" x14ac:dyDescent="0.25">
      <c r="A56" s="4">
        <f>Tabell6[[#This Row],[Avläsnings datum]]</f>
        <v>46752</v>
      </c>
      <c r="C56">
        <f t="shared" si="5"/>
        <v>0</v>
      </c>
      <c r="D56">
        <f t="shared" si="6"/>
        <v>0</v>
      </c>
      <c r="E56" s="3">
        <f>Tabell6[[#This Row],[Att fördela]]</f>
        <v>0</v>
      </c>
      <c r="F56">
        <f>Tabell6[[#This Row],[Pris/m3 ink.moms]]</f>
        <v>24</v>
      </c>
      <c r="G56" s="2">
        <f>(Tabell410[[#This Row],[Förbrukning]]+Tabell410[[#This Row],[Utjämning]])*Tabell410[[#This Row],[Kr/m3]]</f>
        <v>0</v>
      </c>
      <c r="H56" s="2">
        <f>Tabell6[[#This Row],[Summa fast avg/hushåll]]</f>
        <v>879.14738095238101</v>
      </c>
      <c r="I56" s="2">
        <f>Tabell6[[#This Row],[Medlems avg]]/14</f>
        <v>1000</v>
      </c>
      <c r="J56" s="2"/>
      <c r="K56" s="2">
        <f>IF(Tabell410[[#This Row],[Nuvarande]], SUM(Tabell410[[#This Row],[Summa förbrukning]:[Lån]])+Tabell410[[#This Row],[Korr]],0)</f>
        <v>0</v>
      </c>
      <c r="L56" s="2"/>
    </row>
    <row r="57" spans="1:12" x14ac:dyDescent="0.25">
      <c r="A57" s="4">
        <f>Tabell6[[#This Row],[Avläsnings datum]]</f>
        <v>46873</v>
      </c>
      <c r="C57">
        <f t="shared" si="5"/>
        <v>0</v>
      </c>
      <c r="D57">
        <f t="shared" si="6"/>
        <v>0</v>
      </c>
      <c r="E57" s="3">
        <f>Tabell6[[#This Row],[Att fördela]]</f>
        <v>0</v>
      </c>
      <c r="F57">
        <f>Tabell6[[#This Row],[Pris/m3 ink.moms]]</f>
        <v>24</v>
      </c>
      <c r="G57" s="2">
        <f>(Tabell410[[#This Row],[Förbrukning]]+Tabell410[[#This Row],[Utjämning]])*Tabell410[[#This Row],[Kr/m3]]</f>
        <v>0</v>
      </c>
      <c r="H57" s="2">
        <f>Tabell6[[#This Row],[Summa fast avg/hushåll]]</f>
        <v>879.14738095238101</v>
      </c>
      <c r="I57" s="2">
        <f>Tabell6[[#This Row],[Medlems avg]]/14</f>
        <v>1000</v>
      </c>
      <c r="J57" s="2"/>
      <c r="K57" s="2">
        <f>IF(Tabell410[[#This Row],[Nuvarande]], SUM(Tabell410[[#This Row],[Summa förbrukning]:[Lån]])+Tabell410[[#This Row],[Korr]],0)</f>
        <v>0</v>
      </c>
      <c r="L57" s="2"/>
    </row>
    <row r="58" spans="1:12" x14ac:dyDescent="0.25">
      <c r="A58" s="4">
        <f>Tabell6[[#This Row],[Avläsnings datum]]</f>
        <v>46996</v>
      </c>
      <c r="C58">
        <f t="shared" si="5"/>
        <v>0</v>
      </c>
      <c r="D58">
        <f t="shared" si="6"/>
        <v>0</v>
      </c>
      <c r="E58" s="3">
        <f>Tabell6[[#This Row],[Att fördela]]</f>
        <v>0</v>
      </c>
      <c r="F58">
        <f>Tabell6[[#This Row],[Pris/m3 ink.moms]]</f>
        <v>24</v>
      </c>
      <c r="G58" s="2">
        <f>(Tabell410[[#This Row],[Förbrukning]]+Tabell410[[#This Row],[Utjämning]])*Tabell410[[#This Row],[Kr/m3]]</f>
        <v>0</v>
      </c>
      <c r="H58" s="2">
        <f>Tabell6[[#This Row],[Summa fast avg/hushåll]]</f>
        <v>879.14738095238101</v>
      </c>
      <c r="I58" s="2">
        <f>Tabell6[[#This Row],[Medlems avg]]/14</f>
        <v>1000</v>
      </c>
      <c r="J58" s="2"/>
      <c r="K58" s="2">
        <f>IF(Tabell410[[#This Row],[Nuvarande]], SUM(Tabell410[[#This Row],[Summa förbrukning]:[Lån]])+Tabell410[[#This Row],[Korr]],0)</f>
        <v>0</v>
      </c>
      <c r="L58" s="2"/>
    </row>
    <row r="59" spans="1:12" x14ac:dyDescent="0.25">
      <c r="A59" s="4">
        <f>Tabell6[[#This Row],[Avläsnings datum]]</f>
        <v>47118</v>
      </c>
      <c r="C59">
        <f t="shared" si="5"/>
        <v>0</v>
      </c>
      <c r="D59">
        <f t="shared" si="6"/>
        <v>0</v>
      </c>
      <c r="E59" s="3">
        <f>Tabell6[[#This Row],[Att fördela]]</f>
        <v>0</v>
      </c>
      <c r="F59">
        <f>Tabell6[[#This Row],[Pris/m3 ink.moms]]</f>
        <v>24</v>
      </c>
      <c r="G59" s="2">
        <f>(Tabell410[[#This Row],[Förbrukning]]+Tabell410[[#This Row],[Utjämning]])*Tabell410[[#This Row],[Kr/m3]]</f>
        <v>0</v>
      </c>
      <c r="H59" s="2">
        <f>Tabell6[[#This Row],[Summa fast avg/hushåll]]</f>
        <v>879.14738095238101</v>
      </c>
      <c r="I59" s="2">
        <f>Tabell6[[#This Row],[Medlems avg]]/14</f>
        <v>1000</v>
      </c>
      <c r="J59" s="2"/>
      <c r="K59" s="2">
        <f>IF(Tabell410[[#This Row],[Nuvarande]], SUM(Tabell410[[#This Row],[Summa förbrukning]:[Lån]])+Tabell410[[#This Row],[Korr]],0)</f>
        <v>0</v>
      </c>
      <c r="L59" s="2"/>
    </row>
    <row r="60" spans="1:12" x14ac:dyDescent="0.25">
      <c r="A60" s="4">
        <f>Tabell6[[#This Row],[Avläsnings datum]]</f>
        <v>47238</v>
      </c>
      <c r="C60">
        <f t="shared" si="5"/>
        <v>0</v>
      </c>
      <c r="D60">
        <f t="shared" si="6"/>
        <v>0</v>
      </c>
      <c r="E60" s="3">
        <f>Tabell6[[#This Row],[Att fördela]]</f>
        <v>0</v>
      </c>
      <c r="F60">
        <f>Tabell6[[#This Row],[Pris/m3 ink.moms]]</f>
        <v>24</v>
      </c>
      <c r="G60" s="2">
        <f>(Tabell410[[#This Row],[Förbrukning]]+Tabell410[[#This Row],[Utjämning]])*Tabell410[[#This Row],[Kr/m3]]</f>
        <v>0</v>
      </c>
      <c r="H60" s="2">
        <f>Tabell6[[#This Row],[Summa fast avg/hushåll]]</f>
        <v>879.14738095238101</v>
      </c>
      <c r="I60" s="2">
        <f>Tabell6[[#This Row],[Medlems avg]]/14</f>
        <v>1000</v>
      </c>
      <c r="J60" s="2"/>
      <c r="K60" s="2">
        <f>IF(Tabell410[[#This Row],[Nuvarande]], SUM(Tabell410[[#This Row],[Summa förbrukning]:[Lån]])+Tabell410[[#This Row],[Korr]],0)</f>
        <v>0</v>
      </c>
      <c r="L60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60"/>
  <sheetViews>
    <sheetView workbookViewId="0">
      <selection activeCell="B49" sqref="B49"/>
    </sheetView>
  </sheetViews>
  <sheetFormatPr defaultRowHeight="15" x14ac:dyDescent="0.25"/>
  <cols>
    <col min="1" max="1" width="20.28515625" customWidth="1"/>
    <col min="2" max="2" width="13" bestFit="1" customWidth="1"/>
    <col min="3" max="3" width="13.85546875" bestFit="1" customWidth="1"/>
    <col min="4" max="5" width="15.140625" customWidth="1"/>
    <col min="6" max="6" width="11.140625" customWidth="1"/>
    <col min="7" max="7" width="21" bestFit="1" customWidth="1"/>
    <col min="8" max="8" width="10.28515625" bestFit="1" customWidth="1"/>
    <col min="9" max="9" width="15.140625" bestFit="1" customWidth="1"/>
    <col min="11" max="11" width="12" bestFit="1" customWidth="1"/>
  </cols>
  <sheetData>
    <row r="1" spans="1:12" x14ac:dyDescent="0.25">
      <c r="A1">
        <v>10</v>
      </c>
    </row>
    <row r="3" spans="1:12" x14ac:dyDescent="0.25">
      <c r="B3">
        <f>VLOOKUP('Huvud mätare'!$A1,$A5:$K87,2)</f>
        <v>4518</v>
      </c>
      <c r="C3">
        <f>VLOOKUP('Huvud mätare'!$A1,$A5:$K87,3)</f>
        <v>4502</v>
      </c>
      <c r="D3">
        <f>VLOOKUP('Huvud mätare'!$A1,$A5:$K87,4)</f>
        <v>16</v>
      </c>
      <c r="E3">
        <f>VLOOKUP('Huvud mätare'!$A1,$A5:$K87,5)</f>
        <v>-1.5</v>
      </c>
      <c r="F3">
        <f>VLOOKUP('Huvud mätare'!$A1,$A5:$K87,6)</f>
        <v>24</v>
      </c>
      <c r="G3">
        <f>VLOOKUP('Huvud mätare'!$A1,$A5:$K87,7)</f>
        <v>348</v>
      </c>
      <c r="H3">
        <f>VLOOKUP('Huvud mätare'!$A1,$A5:$K87,8)</f>
        <v>879.14738095238101</v>
      </c>
      <c r="I3">
        <f>VLOOKUP('Huvud mätare'!$A1,$A5:$K87,9)</f>
        <v>1000</v>
      </c>
      <c r="J3">
        <f>VLOOKUP('Huvud mätare'!$A1,$A5:$K87,10)</f>
        <v>0</v>
      </c>
      <c r="K3">
        <f>VLOOKUP('Huvud mätare'!$A1,$A5:$K87,11)</f>
        <v>2227.1473809523809</v>
      </c>
      <c r="L3">
        <f>VLOOKUP('Huvud mätare'!$A1,$A5:$L87,12)</f>
        <v>0</v>
      </c>
    </row>
    <row r="4" spans="1:12" ht="15" customHeight="1" x14ac:dyDescent="0.25">
      <c r="A4" t="s">
        <v>12</v>
      </c>
      <c r="B4" s="1" t="s">
        <v>33</v>
      </c>
      <c r="C4" s="1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25</v>
      </c>
      <c r="I4" t="s">
        <v>30</v>
      </c>
      <c r="J4" t="s">
        <v>39</v>
      </c>
      <c r="K4" t="s">
        <v>40</v>
      </c>
      <c r="L4" t="s">
        <v>41</v>
      </c>
    </row>
    <row r="5" spans="1:12" x14ac:dyDescent="0.25">
      <c r="A5" s="4">
        <f>Tabell6[[#This Row],[Avläsnings datum]]</f>
        <v>40543</v>
      </c>
      <c r="B5">
        <v>3519</v>
      </c>
      <c r="C5">
        <v>3477</v>
      </c>
      <c r="D5">
        <f t="shared" ref="D5:D21" si="0">IF(B5-C5&lt;0,0,B5-C5)</f>
        <v>42</v>
      </c>
      <c r="E5" s="3">
        <f>Tabell6[[#This Row],[Att fördela]]</f>
        <v>0.15714285714286039</v>
      </c>
      <c r="F5">
        <f>Tabell6[[#This Row],[Pris/m3 ink.moms]]</f>
        <v>16.88</v>
      </c>
      <c r="G5" s="2">
        <f>(Tabell41011[[#This Row],[Förbrukning]]+Tabell41011[[#This Row],[Utjämning]])*Tabell41011[[#This Row],[Kr/m3]]</f>
        <v>711.61257142857141</v>
      </c>
      <c r="H5" s="2">
        <f>Tabell6[[#This Row],[Summa fast avg/hushåll]]</f>
        <v>378.07142857142856</v>
      </c>
      <c r="I5" s="2">
        <f>Tabell6[[#This Row],[Medlems avg]]/14</f>
        <v>0</v>
      </c>
      <c r="J5" s="2"/>
      <c r="K5" s="2">
        <f>IF(Tabell41011[[#This Row],[Nuvarande]], SUM(Tabell41011[[#This Row],[Summa förbrukning]:[Lån]])+Tabell41011[[#This Row],[Korr]],0)</f>
        <v>1089.684</v>
      </c>
      <c r="L5" s="2"/>
    </row>
    <row r="6" spans="1:12" x14ac:dyDescent="0.25">
      <c r="A6" s="4">
        <f>Tabell6[[#This Row],[Avläsnings datum]]</f>
        <v>40664</v>
      </c>
      <c r="B6">
        <v>3549</v>
      </c>
      <c r="C6">
        <f t="shared" ref="C6:C21" si="1">B5</f>
        <v>3519</v>
      </c>
      <c r="D6">
        <f t="shared" si="0"/>
        <v>30</v>
      </c>
      <c r="E6" s="3">
        <f>Tabell6[[#This Row],[Att fördela]]</f>
        <v>2.8571428571418828E-2</v>
      </c>
      <c r="F6">
        <f>Tabell6[[#This Row],[Pris/m3 ink.moms]]</f>
        <v>16.88</v>
      </c>
      <c r="G6" s="2">
        <f>(Tabell41011[[#This Row],[Förbrukning]]+Tabell41011[[#This Row],[Utjämning]])*Tabell41011[[#This Row],[Kr/m3]]</f>
        <v>506.8822857142855</v>
      </c>
      <c r="H6" s="2">
        <f>Tabell6[[#This Row],[Summa fast avg/hushåll]]</f>
        <v>378.07142857142856</v>
      </c>
      <c r="I6" s="2">
        <f>Tabell6[[#This Row],[Medlems avg]]/14</f>
        <v>0</v>
      </c>
      <c r="J6" s="2"/>
      <c r="K6" s="2">
        <f>IF(Tabell41011[[#This Row],[Nuvarande]], SUM(Tabell41011[[#This Row],[Summa förbrukning]:[Lån]])+Tabell41011[[#This Row],[Korr]],0)</f>
        <v>884.95371428571411</v>
      </c>
      <c r="L6" s="2"/>
    </row>
    <row r="7" spans="1:12" x14ac:dyDescent="0.25">
      <c r="A7" s="4">
        <f>Tabell6[[#This Row],[Avläsnings datum]]</f>
        <v>40786</v>
      </c>
      <c r="B7">
        <v>3578</v>
      </c>
      <c r="C7">
        <f t="shared" si="1"/>
        <v>3549</v>
      </c>
      <c r="D7">
        <f t="shared" si="0"/>
        <v>29</v>
      </c>
      <c r="E7" s="3">
        <f>Tabell6[[#This Row],[Att fördela]]</f>
        <v>-2.8571428571426947E-2</v>
      </c>
      <c r="F7">
        <f>Tabell6[[#This Row],[Pris/m3 ink.moms]]</f>
        <v>16.88</v>
      </c>
      <c r="G7" s="2">
        <f>(Tabell41011[[#This Row],[Förbrukning]]+Tabell41011[[#This Row],[Utjämning]])*Tabell41011[[#This Row],[Kr/m3]]</f>
        <v>489.03771428571423</v>
      </c>
      <c r="H7" s="2">
        <f>Tabell6[[#This Row],[Summa fast avg/hushåll]]</f>
        <v>378.07142857142856</v>
      </c>
      <c r="I7" s="2">
        <f>Tabell6[[#This Row],[Medlems avg]]/14</f>
        <v>0</v>
      </c>
      <c r="J7" s="2"/>
      <c r="K7" s="2">
        <f>IF(Tabell41011[[#This Row],[Nuvarande]], SUM(Tabell41011[[#This Row],[Summa förbrukning]:[Lån]])+Tabell41011[[#This Row],[Korr]],0)</f>
        <v>867.10914285714284</v>
      </c>
      <c r="L7" s="2"/>
    </row>
    <row r="8" spans="1:12" x14ac:dyDescent="0.25">
      <c r="A8" s="4">
        <f>Tabell6[[#This Row],[Avläsnings datum]]</f>
        <v>40908</v>
      </c>
      <c r="B8">
        <v>3611</v>
      </c>
      <c r="C8">
        <f t="shared" si="1"/>
        <v>3578</v>
      </c>
      <c r="D8">
        <f t="shared" si="0"/>
        <v>33</v>
      </c>
      <c r="E8" s="3">
        <f>Tabell6[[#This Row],[Att fördela]]</f>
        <v>-0.22857142857142371</v>
      </c>
      <c r="F8">
        <f>Tabell6[[#This Row],[Pris/m3 ink.moms]]</f>
        <v>16.825000000000003</v>
      </c>
      <c r="G8" s="2">
        <f>(Tabell41011[[#This Row],[Förbrukning]]+Tabell41011[[#This Row],[Utjämning]])*Tabell41011[[#This Row],[Kr/m3]]</f>
        <v>551.37928571428597</v>
      </c>
      <c r="H8" s="2">
        <f>Tabell6[[#This Row],[Summa fast avg/hushåll]]</f>
        <v>378.07142857142856</v>
      </c>
      <c r="I8" s="2">
        <f>Tabell6[[#This Row],[Medlems avg]]/14</f>
        <v>1000</v>
      </c>
      <c r="J8" s="2"/>
      <c r="K8" s="2">
        <f>IF(Tabell41011[[#This Row],[Nuvarande]], SUM(Tabell41011[[#This Row],[Summa förbrukning]:[Lån]])+Tabell41011[[#This Row],[Korr]],0)</f>
        <v>1929.4507142857146</v>
      </c>
      <c r="L8" s="2"/>
    </row>
    <row r="9" spans="1:12" x14ac:dyDescent="0.25">
      <c r="A9" s="4">
        <f>Tabell6[[#This Row],[Avläsnings datum]]</f>
        <v>41029</v>
      </c>
      <c r="B9">
        <v>3641</v>
      </c>
      <c r="C9">
        <f t="shared" si="1"/>
        <v>3611</v>
      </c>
      <c r="D9">
        <f t="shared" si="0"/>
        <v>30</v>
      </c>
      <c r="E9" s="3">
        <f>Tabell6[[#This Row],[Att fördela]]</f>
        <v>-1</v>
      </c>
      <c r="F9">
        <f>Tabell6[[#This Row],[Pris/m3 ink.moms]]</f>
        <v>16.825000000000003</v>
      </c>
      <c r="G9" s="2">
        <f>(Tabell41011[[#This Row],[Förbrukning]]+Tabell41011[[#This Row],[Utjämning]])*Tabell41011[[#This Row],[Kr/m3]]</f>
        <v>487.92500000000007</v>
      </c>
      <c r="H9" s="2">
        <f>Tabell6[[#This Row],[Summa fast avg/hushåll]]</f>
        <v>378.07142857142856</v>
      </c>
      <c r="I9" s="2">
        <f>Tabell6[[#This Row],[Medlems avg]]/14</f>
        <v>1000</v>
      </c>
      <c r="J9" s="2"/>
      <c r="K9" s="2">
        <f>IF(Tabell41011[[#This Row],[Nuvarande]], SUM(Tabell41011[[#This Row],[Summa förbrukning]:[Lån]])+Tabell41011[[#This Row],[Korr]],0)</f>
        <v>1865.9964285714286</v>
      </c>
      <c r="L9" s="2"/>
    </row>
    <row r="10" spans="1:12" x14ac:dyDescent="0.25">
      <c r="A10" s="4">
        <f>Tabell6[[#This Row],[Avläsnings datum]]</f>
        <v>41152</v>
      </c>
      <c r="B10">
        <v>3669</v>
      </c>
      <c r="C10">
        <f t="shared" si="1"/>
        <v>3641</v>
      </c>
      <c r="D10">
        <f t="shared" si="0"/>
        <v>28</v>
      </c>
      <c r="E10" s="3">
        <f>Tabell6[[#This Row],[Att fördela]]</f>
        <v>-0.14285714285714285</v>
      </c>
      <c r="F10">
        <f>Tabell6[[#This Row],[Pris/m3 ink.moms]]</f>
        <v>16.825000000000003</v>
      </c>
      <c r="G10" s="2">
        <f>(Tabell41011[[#This Row],[Förbrukning]]+Tabell41011[[#This Row],[Utjämning]])*Tabell41011[[#This Row],[Kr/m3]]</f>
        <v>468.69642857142867</v>
      </c>
      <c r="H10" s="2">
        <f>Tabell6[[#This Row],[Summa fast avg/hushåll]]</f>
        <v>378.07142857142856</v>
      </c>
      <c r="I10" s="2">
        <f>Tabell6[[#This Row],[Medlems avg]]/14</f>
        <v>1000</v>
      </c>
      <c r="J10" s="2"/>
      <c r="K10" s="2">
        <f>IF(Tabell41011[[#This Row],[Nuvarande]], SUM(Tabell41011[[#This Row],[Summa förbrukning]:[Lån]])+Tabell41011[[#This Row],[Korr]],0)</f>
        <v>1846.7678571428573</v>
      </c>
      <c r="L10" s="2"/>
    </row>
    <row r="11" spans="1:12" x14ac:dyDescent="0.25">
      <c r="A11" s="4">
        <f>Tabell6[[#This Row],[Avläsnings datum]]</f>
        <v>41274</v>
      </c>
      <c r="B11">
        <v>3701</v>
      </c>
      <c r="C11">
        <f t="shared" si="1"/>
        <v>3669</v>
      </c>
      <c r="D11">
        <f t="shared" si="0"/>
        <v>32</v>
      </c>
      <c r="E11" s="3">
        <f>Tabell6[[#This Row],[Att fördela]]</f>
        <v>-0.9285714285714286</v>
      </c>
      <c r="F11">
        <f>Tabell6[[#This Row],[Pris/m3 ink.moms]]</f>
        <v>14.8125</v>
      </c>
      <c r="G11" s="2">
        <f>(Tabell41011[[#This Row],[Förbrukning]]+Tabell41011[[#This Row],[Utjämning]])*Tabell41011[[#This Row],[Kr/m3]]</f>
        <v>460.24553571428572</v>
      </c>
      <c r="H11" s="2">
        <f>Tabell6[[#This Row],[Summa fast avg/hushåll]]</f>
        <v>542.26190476190482</v>
      </c>
      <c r="I11" s="2">
        <f>Tabell6[[#This Row],[Medlems avg]]/14</f>
        <v>1000</v>
      </c>
      <c r="J11" s="2"/>
      <c r="K11" s="2">
        <f>IF(Tabell41011[[#This Row],[Nuvarande]], SUM(Tabell41011[[#This Row],[Summa förbrukning]:[Lån]])+Tabell41011[[#This Row],[Korr]],0)</f>
        <v>2002.5074404761906</v>
      </c>
      <c r="L11" s="2"/>
    </row>
    <row r="12" spans="1:12" x14ac:dyDescent="0.25">
      <c r="A12" s="4">
        <f>Tabell6[[#This Row],[Avläsnings datum]]</f>
        <v>41394</v>
      </c>
      <c r="B12">
        <v>3729</v>
      </c>
      <c r="C12">
        <f t="shared" si="1"/>
        <v>3701</v>
      </c>
      <c r="D12">
        <f t="shared" si="0"/>
        <v>28</v>
      </c>
      <c r="E12" s="3">
        <f>Tabell6[[#This Row],[Att fördela]]</f>
        <v>-1.5714285714285714</v>
      </c>
      <c r="F12">
        <f>Tabell6[[#This Row],[Pris/m3 ink.moms]]</f>
        <v>14.8125</v>
      </c>
      <c r="G12" s="2">
        <f>(Tabell41011[[#This Row],[Förbrukning]]+Tabell41011[[#This Row],[Utjämning]])*Tabell41011[[#This Row],[Kr/m3]]</f>
        <v>391.47321428571428</v>
      </c>
      <c r="H12" s="2">
        <f>Tabell6[[#This Row],[Summa fast avg/hushåll]]</f>
        <v>542.26190476190482</v>
      </c>
      <c r="I12" s="2">
        <f>Tabell6[[#This Row],[Medlems avg]]/14</f>
        <v>1000</v>
      </c>
      <c r="J12" s="2"/>
      <c r="K12" s="2">
        <f>IF(Tabell41011[[#This Row],[Nuvarande]], SUM(Tabell41011[[#This Row],[Summa förbrukning]:[Lån]])+Tabell41011[[#This Row],[Korr]],0)</f>
        <v>1933.735119047619</v>
      </c>
      <c r="L12" s="2"/>
    </row>
    <row r="13" spans="1:12" x14ac:dyDescent="0.25">
      <c r="A13" s="4">
        <f>Tabell6[[#This Row],[Avläsnings datum]]</f>
        <v>41517</v>
      </c>
      <c r="B13">
        <v>3758</v>
      </c>
      <c r="C13">
        <f t="shared" si="1"/>
        <v>3729</v>
      </c>
      <c r="D13">
        <f t="shared" si="0"/>
        <v>29</v>
      </c>
      <c r="E13" s="3">
        <f>Tabell6[[#This Row],[Att fördela]]</f>
        <v>-0.8571428571428571</v>
      </c>
      <c r="F13">
        <f>Tabell6[[#This Row],[Pris/m3 ink.moms]]</f>
        <v>14.8125</v>
      </c>
      <c r="G13" s="2">
        <f>(Tabell41011[[#This Row],[Förbrukning]]+Tabell41011[[#This Row],[Utjämning]])*Tabell41011[[#This Row],[Kr/m3]]</f>
        <v>416.86607142857144</v>
      </c>
      <c r="H13" s="2">
        <f>Tabell6[[#This Row],[Summa fast avg/hushåll]]</f>
        <v>542.26190476190482</v>
      </c>
      <c r="I13" s="2">
        <f>Tabell6[[#This Row],[Medlems avg]]/14</f>
        <v>1000</v>
      </c>
      <c r="J13" s="2"/>
      <c r="K13" s="2">
        <f>IF(Tabell41011[[#This Row],[Nuvarande]], SUM(Tabell41011[[#This Row],[Summa förbrukning]:[Lån]])+Tabell41011[[#This Row],[Korr]],0)</f>
        <v>1934.1279761904761</v>
      </c>
      <c r="L13" s="2">
        <v>-25</v>
      </c>
    </row>
    <row r="14" spans="1:12" x14ac:dyDescent="0.25">
      <c r="A14" s="4">
        <f>Tabell6[[#This Row],[Avläsnings datum]]</f>
        <v>41639</v>
      </c>
      <c r="B14">
        <v>3793</v>
      </c>
      <c r="C14">
        <f t="shared" si="1"/>
        <v>3758</v>
      </c>
      <c r="D14">
        <f t="shared" si="0"/>
        <v>35</v>
      </c>
      <c r="E14" s="3">
        <f>Tabell6[[#This Row],[Att fördela]]</f>
        <v>-2.5</v>
      </c>
      <c r="F14">
        <f>Tabell6[[#This Row],[Pris/m3 ink.moms]]</f>
        <v>14.8125</v>
      </c>
      <c r="G14" s="2">
        <f>(Tabell41011[[#This Row],[Förbrukning]]+Tabell41011[[#This Row],[Utjämning]])*Tabell41011[[#This Row],[Kr/m3]]</f>
        <v>481.40625</v>
      </c>
      <c r="H14" s="2">
        <f>Tabell6[[#This Row],[Summa fast avg/hushåll]]</f>
        <v>547.85714285714289</v>
      </c>
      <c r="I14" s="2">
        <f>Tabell6[[#This Row],[Medlems avg]]/14</f>
        <v>1000</v>
      </c>
      <c r="J14" s="2"/>
      <c r="K14" s="2">
        <f>IF(Tabell41011[[#This Row],[Nuvarande]], SUM(Tabell41011[[#This Row],[Summa förbrukning]:[Lån]])+Tabell41011[[#This Row],[Korr]],0)</f>
        <v>2054.2633928571431</v>
      </c>
      <c r="L14" s="2">
        <v>25</v>
      </c>
    </row>
    <row r="15" spans="1:12" x14ac:dyDescent="0.25">
      <c r="A15" s="4">
        <f>Tabell6[[#This Row],[Avläsnings datum]]</f>
        <v>41759</v>
      </c>
      <c r="B15">
        <v>3825</v>
      </c>
      <c r="C15">
        <f t="shared" si="1"/>
        <v>3793</v>
      </c>
      <c r="D15">
        <f t="shared" si="0"/>
        <v>32</v>
      </c>
      <c r="E15" s="3">
        <f>Tabell6[[#This Row],[Att fördela]]</f>
        <v>-1.5714285714285714</v>
      </c>
      <c r="F15">
        <f>Tabell6[[#This Row],[Pris/m3 ink.moms]]</f>
        <v>14.9625</v>
      </c>
      <c r="G15" s="2">
        <f>(Tabell41011[[#This Row],[Förbrukning]]+Tabell41011[[#This Row],[Utjämning]])*Tabell41011[[#This Row],[Kr/m3]]</f>
        <v>455.28749999999997</v>
      </c>
      <c r="H15" s="2">
        <f>Tabell6[[#This Row],[Summa fast avg/hushåll]]</f>
        <v>547.85714285714289</v>
      </c>
      <c r="I15" s="2">
        <f>Tabell6[[#This Row],[Medlems avg]]/14</f>
        <v>1000</v>
      </c>
      <c r="J15" s="2"/>
      <c r="K15" s="2">
        <f>IF(Tabell41011[[#This Row],[Nuvarande]], SUM(Tabell41011[[#This Row],[Summa förbrukning]:[Lån]])+Tabell41011[[#This Row],[Korr]],0)</f>
        <v>2003.1446428571428</v>
      </c>
      <c r="L15" s="2"/>
    </row>
    <row r="16" spans="1:12" x14ac:dyDescent="0.25">
      <c r="A16" s="4">
        <f>Tabell6[[#This Row],[Avläsnings datum]]</f>
        <v>41882</v>
      </c>
      <c r="B16">
        <v>3856</v>
      </c>
      <c r="C16">
        <f t="shared" si="1"/>
        <v>3825</v>
      </c>
      <c r="D16">
        <f t="shared" si="0"/>
        <v>31</v>
      </c>
      <c r="E16" s="3">
        <f>Tabell6[[#This Row],[Att fördela]]</f>
        <v>-1.7857142857142858</v>
      </c>
      <c r="F16">
        <f>Tabell6[[#This Row],[Pris/m3 ink.moms]]</f>
        <v>14.9625</v>
      </c>
      <c r="G16" s="2">
        <f>(Tabell41011[[#This Row],[Förbrukning]]+Tabell41011[[#This Row],[Utjämning]])*Tabell41011[[#This Row],[Kr/m3]]</f>
        <v>437.11875000000003</v>
      </c>
      <c r="H16" s="2">
        <f>Tabell6[[#This Row],[Summa fast avg/hushåll]]</f>
        <v>547.85714285714289</v>
      </c>
      <c r="I16" s="2">
        <f>Tabell6[[#This Row],[Medlems avg]]/14</f>
        <v>1000</v>
      </c>
      <c r="J16" s="2"/>
      <c r="K16" s="2">
        <f>IF(Tabell41011[[#This Row],[Nuvarande]], SUM(Tabell41011[[#This Row],[Summa förbrukning]:[Lån]])+Tabell41011[[#This Row],[Korr]],0)</f>
        <v>1984.975892857143</v>
      </c>
      <c r="L16" s="2"/>
    </row>
    <row r="17" spans="1:12" x14ac:dyDescent="0.25">
      <c r="A17" s="4">
        <f>Tabell6[[#This Row],[Avläsnings datum]]</f>
        <v>42004</v>
      </c>
      <c r="B17">
        <v>3880</v>
      </c>
      <c r="C17">
        <f t="shared" si="1"/>
        <v>3856</v>
      </c>
      <c r="D17">
        <f t="shared" si="0"/>
        <v>24</v>
      </c>
      <c r="E17" s="3">
        <f>Tabell6[[#This Row],[Att fördela]]</f>
        <v>-2.0714285714285716</v>
      </c>
      <c r="F17">
        <f>Tabell6[[#This Row],[Pris/m3 ink.moms]]</f>
        <v>14.9625</v>
      </c>
      <c r="G17" s="2">
        <f>(Tabell41011[[#This Row],[Förbrukning]]+Tabell41011[[#This Row],[Utjämning]])*Tabell41011[[#This Row],[Kr/m3]]</f>
        <v>328.10624999999999</v>
      </c>
      <c r="H17" s="2">
        <f>Tabell6[[#This Row],[Summa fast avg/hushåll]]</f>
        <v>547.85714285714289</v>
      </c>
      <c r="I17" s="2">
        <f>Tabell6[[#This Row],[Medlems avg]]/14</f>
        <v>1000</v>
      </c>
      <c r="J17" s="2"/>
      <c r="K17" s="2">
        <f>IF(Tabell41011[[#This Row],[Nuvarande]], SUM(Tabell41011[[#This Row],[Summa förbrukning]:[Lån]])+Tabell41011[[#This Row],[Korr]],0)</f>
        <v>1875.9633928571429</v>
      </c>
      <c r="L17" s="2"/>
    </row>
    <row r="18" spans="1:12" x14ac:dyDescent="0.25">
      <c r="A18" s="4">
        <f>Tabell6[[#This Row],[Avläsnings datum]]</f>
        <v>42124</v>
      </c>
      <c r="B18">
        <v>3901</v>
      </c>
      <c r="C18">
        <f t="shared" si="1"/>
        <v>3880</v>
      </c>
      <c r="D18">
        <f t="shared" si="0"/>
        <v>21</v>
      </c>
      <c r="E18" s="3">
        <f>Tabell6[[#This Row],[Att fördela]]</f>
        <v>-2.5</v>
      </c>
      <c r="F18">
        <f>Tabell6[[#This Row],[Pris/m3 ink.moms]]</f>
        <v>14.9625</v>
      </c>
      <c r="G18" s="2">
        <f>(Tabell41011[[#This Row],[Förbrukning]]+Tabell41011[[#This Row],[Utjämning]])*Tabell41011[[#This Row],[Kr/m3]]</f>
        <v>276.80625000000003</v>
      </c>
      <c r="H18" s="2">
        <f>Tabell6[[#This Row],[Summa fast avg/hushåll]]</f>
        <v>547.85714285714289</v>
      </c>
      <c r="I18" s="2">
        <f>Tabell6[[#This Row],[Medlems avg]]/14</f>
        <v>600</v>
      </c>
      <c r="J18" s="2"/>
      <c r="K18" s="2">
        <f>IF(Tabell41011[[#This Row],[Nuvarande]], SUM(Tabell41011[[#This Row],[Summa förbrukning]:[Lån]])+Tabell41011[[#This Row],[Korr]],0)</f>
        <v>1424.663392857143</v>
      </c>
      <c r="L18" s="2"/>
    </row>
    <row r="19" spans="1:12" x14ac:dyDescent="0.25">
      <c r="A19" s="4">
        <f>Tabell6[[#This Row],[Avläsnings datum]]</f>
        <v>42247</v>
      </c>
      <c r="B19">
        <v>3919</v>
      </c>
      <c r="C19">
        <f t="shared" si="1"/>
        <v>3901</v>
      </c>
      <c r="D19">
        <f t="shared" si="0"/>
        <v>18</v>
      </c>
      <c r="E19" s="3">
        <f>Tabell6[[#This Row],[Att fördela]]</f>
        <v>-2.2857142857142856</v>
      </c>
      <c r="F19">
        <f>Tabell6[[#This Row],[Pris/m3 ink.moms]]</f>
        <v>14.9625</v>
      </c>
      <c r="G19" s="2">
        <f>(Tabell41011[[#This Row],[Förbrukning]]+Tabell41011[[#This Row],[Utjämning]])*Tabell41011[[#This Row],[Kr/m3]]</f>
        <v>235.12500000000003</v>
      </c>
      <c r="H19" s="2">
        <f>Tabell6[[#This Row],[Summa fast avg/hushåll]]</f>
        <v>547.85714285714289</v>
      </c>
      <c r="I19" s="2">
        <f>Tabell6[[#This Row],[Medlems avg]]/14</f>
        <v>600</v>
      </c>
      <c r="J19" s="2"/>
      <c r="K19" s="2">
        <f>IF(Tabell41011[[#This Row],[Nuvarande]], SUM(Tabell41011[[#This Row],[Summa förbrukning]:[Lån]])+Tabell41011[[#This Row],[Korr]],0)</f>
        <v>1382.9821428571429</v>
      </c>
      <c r="L19" s="2"/>
    </row>
    <row r="20" spans="1:12" x14ac:dyDescent="0.25">
      <c r="A20" s="4">
        <f>Tabell6[[#This Row],[Avläsnings datum]]</f>
        <v>42369</v>
      </c>
      <c r="B20">
        <v>3940</v>
      </c>
      <c r="C20">
        <f t="shared" si="1"/>
        <v>3919</v>
      </c>
      <c r="D20">
        <f t="shared" si="0"/>
        <v>21</v>
      </c>
      <c r="E20" s="3">
        <f>Tabell6[[#This Row],[Att fördela]]</f>
        <v>-2.8571428571428572</v>
      </c>
      <c r="F20">
        <f>Tabell6[[#This Row],[Pris/m3 ink.moms]]</f>
        <v>14.9625</v>
      </c>
      <c r="G20" s="2">
        <f>(Tabell41011[[#This Row],[Förbrukning]]+Tabell41011[[#This Row],[Utjämning]])*Tabell41011[[#This Row],[Kr/m3]]</f>
        <v>271.46249999999998</v>
      </c>
      <c r="H20" s="2">
        <f>Tabell6[[#This Row],[Summa fast avg/hushåll]]</f>
        <v>547.85714285714289</v>
      </c>
      <c r="I20" s="2">
        <f>Tabell6[[#This Row],[Medlems avg]]/14</f>
        <v>600</v>
      </c>
      <c r="J20" s="2"/>
      <c r="K20" s="2">
        <f>IF(Tabell41011[[#This Row],[Nuvarande]], SUM(Tabell41011[[#This Row],[Summa förbrukning]:[Lån]])+Tabell41011[[#This Row],[Korr]],0)</f>
        <v>1419.3196428571428</v>
      </c>
      <c r="L20" s="2"/>
    </row>
    <row r="21" spans="1:12" x14ac:dyDescent="0.25">
      <c r="A21" s="4">
        <v>42490</v>
      </c>
      <c r="B21">
        <v>3968</v>
      </c>
      <c r="C21">
        <f t="shared" si="1"/>
        <v>3940</v>
      </c>
      <c r="D21">
        <f t="shared" si="0"/>
        <v>28</v>
      </c>
      <c r="E21" s="3">
        <f>Tabell6[[#This Row],[Att fördela]]</f>
        <v>-3.5</v>
      </c>
      <c r="F21">
        <f>Tabell6[[#This Row],[Pris/m3 ink.moms]]</f>
        <v>14.9625</v>
      </c>
      <c r="G21" s="2">
        <f>(Tabell41011[[#This Row],[Förbrukning]]+Tabell41011[[#This Row],[Utjämning]])*Tabell41011[[#This Row],[Kr/m3]]</f>
        <v>366.58125000000001</v>
      </c>
      <c r="H21" s="2">
        <f>Tabell6[[#This Row],[Summa fast avg/hushåll]]</f>
        <v>547.85714285714289</v>
      </c>
      <c r="I21" s="2">
        <f>Tabell6[[#This Row],[Medlems avg]]/14</f>
        <v>600</v>
      </c>
      <c r="J21" s="2"/>
      <c r="K21" s="2">
        <f>IF(Tabell41011[[#This Row],[Nuvarande]], SUM(Tabell41011[[#This Row],[Summa förbrukning]:[Lån]])+Tabell41011[[#This Row],[Korr]],0)</f>
        <v>1472.7571428571428</v>
      </c>
      <c r="L21" s="2">
        <f>K19-K18</f>
        <v>-41.681250000000091</v>
      </c>
    </row>
    <row r="22" spans="1:12" x14ac:dyDescent="0.25">
      <c r="A22" s="4">
        <v>42613</v>
      </c>
      <c r="B22">
        <v>3978</v>
      </c>
      <c r="C22">
        <f t="shared" ref="C22:C36" si="2">B21</f>
        <v>3968</v>
      </c>
      <c r="D22">
        <f t="shared" ref="D22:D36" si="3">IF(B22-C22&lt;0,0,B22-C22)</f>
        <v>10</v>
      </c>
      <c r="E22" s="3">
        <f>Tabell6[[#This Row],[Att fördela]]</f>
        <v>-1.0714285714285714</v>
      </c>
      <c r="F22">
        <f>Tabell6[[#This Row],[Pris/m3 ink.moms]]</f>
        <v>14.9625</v>
      </c>
      <c r="G22" s="2">
        <f>(Tabell41011[[#This Row],[Förbrukning]]+Tabell41011[[#This Row],[Utjämning]])*Tabell41011[[#This Row],[Kr/m3]]</f>
        <v>133.59375</v>
      </c>
      <c r="H22" s="2">
        <f>Tabell6[[#This Row],[Summa fast avg/hushåll]]</f>
        <v>547.85714285714289</v>
      </c>
      <c r="I22" s="2">
        <f>Tabell6[[#This Row],[Medlems avg]]/14</f>
        <v>600</v>
      </c>
      <c r="J22" s="2"/>
      <c r="K22" s="2">
        <f>IF(Tabell41011[[#This Row],[Nuvarande]], SUM(Tabell41011[[#This Row],[Summa förbrukning]:[Lån]])+Tabell41011[[#This Row],[Korr]],0)</f>
        <v>1281.4508928571429</v>
      </c>
      <c r="L22" s="2"/>
    </row>
    <row r="23" spans="1:12" x14ac:dyDescent="0.25">
      <c r="A23" s="4">
        <v>42735</v>
      </c>
      <c r="B23">
        <v>4003</v>
      </c>
      <c r="C23">
        <f t="shared" si="2"/>
        <v>3978</v>
      </c>
      <c r="D23">
        <f t="shared" si="3"/>
        <v>25</v>
      </c>
      <c r="E23" s="3">
        <f>Tabell6[[#This Row],[Att fördela]]</f>
        <v>-3.7142857142857144</v>
      </c>
      <c r="F23">
        <f>Tabell6[[#This Row],[Pris/m3 ink.moms]]</f>
        <v>14.9625</v>
      </c>
      <c r="G23" s="2">
        <f>(Tabell41011[[#This Row],[Förbrukning]]+Tabell41011[[#This Row],[Utjämning]])*Tabell41011[[#This Row],[Kr/m3]]</f>
        <v>318.48750000000001</v>
      </c>
      <c r="H23" s="2">
        <f>Tabell6[[#This Row],[Summa fast avg/hushåll]]</f>
        <v>547.85714285714289</v>
      </c>
      <c r="I23" s="2">
        <f>Tabell6[[#This Row],[Medlems avg]]/14</f>
        <v>600</v>
      </c>
      <c r="J23" s="2"/>
      <c r="K23" s="2">
        <f>IF(Tabell41011[[#This Row],[Nuvarande]], SUM(Tabell41011[[#This Row],[Summa förbrukning]:[Lån]])+Tabell41011[[#This Row],[Korr]],0)</f>
        <v>1466.3446428571428</v>
      </c>
      <c r="L23" s="2"/>
    </row>
    <row r="24" spans="1:12" x14ac:dyDescent="0.25">
      <c r="A24" s="4">
        <v>42855</v>
      </c>
      <c r="B24">
        <v>4021</v>
      </c>
      <c r="C24">
        <f t="shared" si="2"/>
        <v>4003</v>
      </c>
      <c r="D24">
        <f t="shared" si="3"/>
        <v>18</v>
      </c>
      <c r="E24" s="3">
        <f>Tabell6[[#This Row],[Att fördela]]</f>
        <v>-2</v>
      </c>
      <c r="F24">
        <f>Tabell6[[#This Row],[Pris/m3 ink.moms]]</f>
        <v>14.9625</v>
      </c>
      <c r="G24" s="2">
        <f>(Tabell41011[[#This Row],[Förbrukning]]+Tabell41011[[#This Row],[Utjämning]])*Tabell41011[[#This Row],[Kr/m3]]</f>
        <v>239.4</v>
      </c>
      <c r="H24" s="2">
        <f>Tabell6[[#This Row],[Summa fast avg/hushåll]]</f>
        <v>547.85714285714289</v>
      </c>
      <c r="I24" s="2">
        <f>Tabell6[[#This Row],[Medlems avg]]/14</f>
        <v>700</v>
      </c>
      <c r="J24" s="2"/>
      <c r="K24" s="2">
        <f>IF(Tabell41011[[#This Row],[Nuvarande]], SUM(Tabell41011[[#This Row],[Summa förbrukning]:[Lån]])+Tabell41011[[#This Row],[Korr]],0)</f>
        <v>1487.2571428571428</v>
      </c>
      <c r="L24" s="2"/>
    </row>
    <row r="25" spans="1:12" x14ac:dyDescent="0.25">
      <c r="A25" s="4">
        <v>42978</v>
      </c>
      <c r="B25">
        <v>4036</v>
      </c>
      <c r="C25">
        <f t="shared" si="2"/>
        <v>4021</v>
      </c>
      <c r="D25">
        <f t="shared" si="3"/>
        <v>15</v>
      </c>
      <c r="E25" s="3">
        <f>Tabell6[[#This Row],[Att fördela]]</f>
        <v>-3.3571428571428572</v>
      </c>
      <c r="F25">
        <f>Tabell6[[#This Row],[Pris/m3 ink.moms]]</f>
        <v>14.9625</v>
      </c>
      <c r="G25" s="2">
        <f>(Tabell41011[[#This Row],[Förbrukning]]+Tabell41011[[#This Row],[Utjämning]])*Tabell41011[[#This Row],[Kr/m3]]</f>
        <v>174.20624999999998</v>
      </c>
      <c r="H25" s="2">
        <f>Tabell6[[#This Row],[Summa fast avg/hushåll]]</f>
        <v>547.85714285714289</v>
      </c>
      <c r="I25" s="2">
        <f>Tabell6[[#This Row],[Medlems avg]]/14</f>
        <v>700</v>
      </c>
      <c r="J25" s="2"/>
      <c r="K25" s="2">
        <f>IF(Tabell41011[[#This Row],[Nuvarande]], SUM(Tabell41011[[#This Row],[Summa förbrukning]:[Lån]])+Tabell41011[[#This Row],[Korr]],0)</f>
        <v>1422.0633928571428</v>
      </c>
      <c r="L25" s="2"/>
    </row>
    <row r="26" spans="1:12" x14ac:dyDescent="0.25">
      <c r="A26" s="4">
        <v>43100</v>
      </c>
      <c r="B26">
        <v>4055</v>
      </c>
      <c r="C26">
        <f t="shared" si="2"/>
        <v>4036</v>
      </c>
      <c r="D26">
        <f t="shared" si="3"/>
        <v>19</v>
      </c>
      <c r="E26" s="3">
        <f>Tabell6[[#This Row],[Att fördela]]</f>
        <v>-1.8571428571428572</v>
      </c>
      <c r="F26">
        <f>Tabell6[[#This Row],[Pris/m3 ink.moms]]</f>
        <v>14.9625</v>
      </c>
      <c r="G26" s="2">
        <f>(Tabell41011[[#This Row],[Förbrukning]]+Tabell41011[[#This Row],[Utjämning]])*Tabell41011[[#This Row],[Kr/m3]]</f>
        <v>256.5</v>
      </c>
      <c r="H26" s="2">
        <f>Tabell6[[#This Row],[Summa fast avg/hushåll]]</f>
        <v>547.85714285714289</v>
      </c>
      <c r="I26" s="2">
        <f>Tabell6[[#This Row],[Medlems avg]]/14</f>
        <v>700</v>
      </c>
      <c r="J26" s="2"/>
      <c r="K26" s="2">
        <f>IF(Tabell41011[[#This Row],[Nuvarande]], SUM(Tabell41011[[#This Row],[Summa förbrukning]:[Lån]])+Tabell41011[[#This Row],[Korr]],0)</f>
        <v>1504.3571428571429</v>
      </c>
      <c r="L26" s="2"/>
    </row>
    <row r="27" spans="1:12" x14ac:dyDescent="0.25">
      <c r="A27" s="4">
        <v>43220</v>
      </c>
      <c r="B27">
        <v>4075</v>
      </c>
      <c r="C27">
        <f t="shared" si="2"/>
        <v>4055</v>
      </c>
      <c r="D27">
        <f t="shared" si="3"/>
        <v>20</v>
      </c>
      <c r="E27" s="3">
        <f>Tabell6[[#This Row],[Att fördela]]</f>
        <v>-2.5714285714285716</v>
      </c>
      <c r="F27">
        <f>Tabell6[[#This Row],[Pris/m3 ink.moms]]</f>
        <v>14.9625</v>
      </c>
      <c r="G27" s="2">
        <f>(Tabell41011[[#This Row],[Förbrukning]]+Tabell41011[[#This Row],[Utjämning]])*Tabell41011[[#This Row],[Kr/m3]]</f>
        <v>260.77499999999998</v>
      </c>
      <c r="H27" s="2">
        <f>Tabell6[[#This Row],[Summa fast avg/hushåll]]</f>
        <v>547.85714285714289</v>
      </c>
      <c r="I27" s="2">
        <f>Tabell6[[#This Row],[Medlems avg]]/14</f>
        <v>1000</v>
      </c>
      <c r="J27" s="2"/>
      <c r="K27" s="2">
        <f>IF(Tabell41011[[#This Row],[Nuvarande]], SUM(Tabell41011[[#This Row],[Summa förbrukning]:[Lån]])+Tabell41011[[#This Row],[Korr]],0)</f>
        <v>1808.6321428571428</v>
      </c>
      <c r="L27" s="2"/>
    </row>
    <row r="28" spans="1:12" x14ac:dyDescent="0.25">
      <c r="A28" s="4">
        <v>43343</v>
      </c>
      <c r="B28">
        <v>4090</v>
      </c>
      <c r="C28">
        <f t="shared" si="2"/>
        <v>4075</v>
      </c>
      <c r="D28">
        <f t="shared" si="3"/>
        <v>15</v>
      </c>
      <c r="E28" s="3">
        <f>Tabell6[[#This Row],[Att fördela]]</f>
        <v>-2.2142857142857144</v>
      </c>
      <c r="F28">
        <f>Tabell6[[#This Row],[Pris/m3 ink.moms]]</f>
        <v>14.9625</v>
      </c>
      <c r="G28" s="2">
        <f>(Tabell41011[[#This Row],[Förbrukning]]+Tabell41011[[#This Row],[Utjämning]])*Tabell41011[[#This Row],[Kr/m3]]</f>
        <v>191.30624999999998</v>
      </c>
      <c r="H28" s="2">
        <f>Tabell6[[#This Row],[Summa fast avg/hushåll]]</f>
        <v>547.85714285714289</v>
      </c>
      <c r="I28" s="2">
        <f>Tabell6[[#This Row],[Medlems avg]]/14</f>
        <v>1000</v>
      </c>
      <c r="J28" s="2"/>
      <c r="K28" s="2">
        <f>IF(Tabell41011[[#This Row],[Nuvarande]], SUM(Tabell41011[[#This Row],[Summa förbrukning]:[Lån]])+Tabell41011[[#This Row],[Korr]],0)</f>
        <v>1739.1633928571428</v>
      </c>
      <c r="L28" s="2"/>
    </row>
    <row r="29" spans="1:12" x14ac:dyDescent="0.25">
      <c r="A29" s="4">
        <v>43465</v>
      </c>
      <c r="B29">
        <v>4116</v>
      </c>
      <c r="C29">
        <f t="shared" si="2"/>
        <v>4090</v>
      </c>
      <c r="D29">
        <f t="shared" si="3"/>
        <v>26</v>
      </c>
      <c r="E29" s="3">
        <f>Tabell6[[#This Row],[Att fördela]]</f>
        <v>-1.5</v>
      </c>
      <c r="F29">
        <f>Tabell6[[#This Row],[Pris/m3 ink.moms]]</f>
        <v>15.780000000000001</v>
      </c>
      <c r="G29" s="2">
        <f>(Tabell41011[[#This Row],[Förbrukning]]+Tabell41011[[#This Row],[Utjämning]])*Tabell41011[[#This Row],[Kr/m3]]</f>
        <v>386.61</v>
      </c>
      <c r="H29" s="2">
        <f>Tabell6[[#This Row],[Summa fast avg/hushåll]]</f>
        <v>547.85714285714289</v>
      </c>
      <c r="I29" s="2">
        <f>Tabell6[[#This Row],[Medlems avg]]/14</f>
        <v>1000</v>
      </c>
      <c r="J29" s="2"/>
      <c r="K29" s="2">
        <f>IF(Tabell41011[[#This Row],[Nuvarande]], SUM(Tabell41011[[#This Row],[Summa förbrukning]:[Lån]])+Tabell41011[[#This Row],[Korr]],0)</f>
        <v>1934.4671428571428</v>
      </c>
      <c r="L29" s="2"/>
    </row>
    <row r="30" spans="1:12" x14ac:dyDescent="0.25">
      <c r="A30" s="4">
        <v>43585</v>
      </c>
      <c r="B30">
        <v>4137</v>
      </c>
      <c r="C30">
        <f t="shared" si="2"/>
        <v>4116</v>
      </c>
      <c r="D30">
        <f t="shared" si="3"/>
        <v>21</v>
      </c>
      <c r="E30" s="3">
        <f>Tabell6[[#This Row],[Att fördela]]</f>
        <v>-7.2857142857142856</v>
      </c>
      <c r="F30">
        <f>Tabell6[[#This Row],[Pris/m3 ink.moms]]</f>
        <v>15.780000000000001</v>
      </c>
      <c r="G30" s="2">
        <f>(Tabell41011[[#This Row],[Förbrukning]]+Tabell41011[[#This Row],[Utjämning]])*Tabell41011[[#This Row],[Kr/m3]]</f>
        <v>216.41142857142862</v>
      </c>
      <c r="H30" s="2">
        <f>Tabell6[[#This Row],[Summa fast avg/hushåll]]</f>
        <v>578.16714285714284</v>
      </c>
      <c r="I30" s="2">
        <f>Tabell6[[#This Row],[Medlems avg]]/14</f>
        <v>1000</v>
      </c>
      <c r="J30" s="2"/>
      <c r="K30" s="2">
        <f>IF(Tabell41011[[#This Row],[Nuvarande]], SUM(Tabell41011[[#This Row],[Summa förbrukning]:[Lån]])+Tabell41011[[#This Row],[Korr]],0)</f>
        <v>1794.5785714285714</v>
      </c>
      <c r="L30" s="2"/>
    </row>
    <row r="31" spans="1:12" x14ac:dyDescent="0.25">
      <c r="A31" s="4">
        <v>43708</v>
      </c>
      <c r="B31">
        <v>4155</v>
      </c>
      <c r="C31">
        <f t="shared" si="2"/>
        <v>4137</v>
      </c>
      <c r="D31">
        <f t="shared" si="3"/>
        <v>18</v>
      </c>
      <c r="E31" s="3">
        <f>Tabell6[[#This Row],[Att fördela]]</f>
        <v>-3.4285714285714284</v>
      </c>
      <c r="F31">
        <f>Tabell6[[#This Row],[Pris/m3 ink.moms]]</f>
        <v>15.780000000000001</v>
      </c>
      <c r="G31" s="2">
        <f>(Tabell41011[[#This Row],[Förbrukning]]+Tabell41011[[#This Row],[Utjämning]])*Tabell41011[[#This Row],[Kr/m3]]</f>
        <v>229.93714285714287</v>
      </c>
      <c r="H31" s="2">
        <f>Tabell6[[#This Row],[Summa fast avg/hushåll]]</f>
        <v>578.16714285714284</v>
      </c>
      <c r="I31" s="2">
        <f>Tabell6[[#This Row],[Medlems avg]]/14</f>
        <v>1000</v>
      </c>
      <c r="J31" s="2"/>
      <c r="K31" s="2">
        <f>IF(Tabell41011[[#This Row],[Nuvarande]], SUM(Tabell41011[[#This Row],[Summa förbrukning]:[Lån]])+Tabell41011[[#This Row],[Korr]],0)</f>
        <v>1808.1042857142857</v>
      </c>
      <c r="L31" s="2"/>
    </row>
    <row r="32" spans="1:12" x14ac:dyDescent="0.25">
      <c r="A32" s="4">
        <v>43830</v>
      </c>
      <c r="B32">
        <v>4196</v>
      </c>
      <c r="C32">
        <f t="shared" si="2"/>
        <v>4155</v>
      </c>
      <c r="D32">
        <f t="shared" si="3"/>
        <v>41</v>
      </c>
      <c r="E32" s="3">
        <f>Tabell6[[#This Row],[Att fördela]]</f>
        <v>-3</v>
      </c>
      <c r="F32">
        <f>Tabell6[[#This Row],[Pris/m3 ink.moms]]</f>
        <v>15.780000000000001</v>
      </c>
      <c r="G32" s="2">
        <f>(Tabell41011[[#This Row],[Förbrukning]]+Tabell41011[[#This Row],[Utjämning]])*Tabell41011[[#This Row],[Kr/m3]]</f>
        <v>599.6400000000001</v>
      </c>
      <c r="H32" s="2">
        <f>Tabell6[[#This Row],[Summa fast avg/hushåll]]</f>
        <v>578.16714285714284</v>
      </c>
      <c r="I32" s="2">
        <f>Tabell6[[#This Row],[Medlems avg]]/14</f>
        <v>1000</v>
      </c>
      <c r="J32" s="2"/>
      <c r="K32" s="2">
        <f>IF(Tabell41011[[#This Row],[Nuvarande]], SUM(Tabell41011[[#This Row],[Summa förbrukning]:[Lån]])+Tabell41011[[#This Row],[Korr]],0)</f>
        <v>2177.8071428571429</v>
      </c>
      <c r="L32" s="2"/>
    </row>
    <row r="33" spans="1:12" x14ac:dyDescent="0.25">
      <c r="A33" s="4">
        <v>43951</v>
      </c>
      <c r="B33">
        <v>4221</v>
      </c>
      <c r="C33">
        <f t="shared" si="2"/>
        <v>4196</v>
      </c>
      <c r="D33">
        <f t="shared" si="3"/>
        <v>25</v>
      </c>
      <c r="E33" s="3">
        <f>Tabell6[[#This Row],[Att fördela]]</f>
        <v>-1.9285714285714286</v>
      </c>
      <c r="F33">
        <f>Tabell6[[#This Row],[Pris/m3 ink.moms]]</f>
        <v>15.780000000000001</v>
      </c>
      <c r="G33" s="2">
        <f>(Tabell41011[[#This Row],[Förbrukning]]+Tabell41011[[#This Row],[Utjämning]])*Tabell41011[[#This Row],[Kr/m3]]</f>
        <v>364.06714285714293</v>
      </c>
      <c r="H33" s="2">
        <f>Tabell6[[#This Row],[Summa fast avg/hushåll]]</f>
        <v>578.16714285714284</v>
      </c>
      <c r="I33" s="2">
        <f>Tabell6[[#This Row],[Medlems avg]]/14</f>
        <v>1000</v>
      </c>
      <c r="J33" s="2"/>
      <c r="K33" s="2">
        <f>IF(Tabell41011[[#This Row],[Nuvarande]], SUM(Tabell41011[[#This Row],[Summa förbrukning]:[Lån]])+Tabell41011[[#This Row],[Korr]],0)</f>
        <v>1942.2342857142858</v>
      </c>
      <c r="L33" s="2"/>
    </row>
    <row r="34" spans="1:12" x14ac:dyDescent="0.25">
      <c r="A34" s="4">
        <v>44074</v>
      </c>
      <c r="B34">
        <v>4242</v>
      </c>
      <c r="C34">
        <f t="shared" si="2"/>
        <v>4221</v>
      </c>
      <c r="D34">
        <f t="shared" si="3"/>
        <v>21</v>
      </c>
      <c r="E34" s="3">
        <f>Tabell6[[#This Row],[Att fördela]]</f>
        <v>-1.8571428571428572</v>
      </c>
      <c r="F34">
        <f>Tabell6[[#This Row],[Pris/m3 ink.moms]]</f>
        <v>15.780000000000001</v>
      </c>
      <c r="G34" s="2">
        <f>(Tabell41011[[#This Row],[Förbrukning]]+Tabell41011[[#This Row],[Utjämning]])*Tabell41011[[#This Row],[Kr/m3]]</f>
        <v>302.07428571428574</v>
      </c>
      <c r="H34" s="2">
        <f>Tabell6[[#This Row],[Summa fast avg/hushåll]]</f>
        <v>578.16714285714284</v>
      </c>
      <c r="I34" s="2">
        <f>Tabell6[[#This Row],[Medlems avg]]/14</f>
        <v>1000</v>
      </c>
      <c r="J34" s="2"/>
      <c r="K34" s="2">
        <f>IF(Tabell41011[[#This Row],[Nuvarande]], SUM(Tabell41011[[#This Row],[Summa förbrukning]:[Lån]])+Tabell41011[[#This Row],[Korr]],0)</f>
        <v>1880.2414285714285</v>
      </c>
      <c r="L34" s="2"/>
    </row>
    <row r="35" spans="1:12" x14ac:dyDescent="0.25">
      <c r="A35" s="4">
        <v>44196</v>
      </c>
      <c r="B35">
        <v>4265</v>
      </c>
      <c r="C35">
        <f t="shared" si="2"/>
        <v>4242</v>
      </c>
      <c r="D35">
        <f t="shared" si="3"/>
        <v>23</v>
      </c>
      <c r="E35" s="3">
        <f>Tabell6[[#This Row],[Att fördela]]</f>
        <v>-2.2142857142857144</v>
      </c>
      <c r="F35">
        <f>Tabell6[[#This Row],[Pris/m3 ink.moms]]</f>
        <v>15.780000000000001</v>
      </c>
      <c r="G35" s="2">
        <f>(Tabell41011[[#This Row],[Förbrukning]]+Tabell41011[[#This Row],[Utjämning]])*Tabell41011[[#This Row],[Kr/m3]]</f>
        <v>327.99857142857144</v>
      </c>
      <c r="H35" s="2">
        <f>Tabell6[[#This Row],[Summa fast avg/hushåll]]</f>
        <v>578.16714285714284</v>
      </c>
      <c r="I35" s="2">
        <f>Tabell6[[#This Row],[Medlems avg]]/14</f>
        <v>1000</v>
      </c>
      <c r="J35" s="2"/>
      <c r="K35" s="2">
        <f>IF(Tabell41011[[#This Row],[Nuvarande]], SUM(Tabell41011[[#This Row],[Summa förbrukning]:[Lån]])+Tabell41011[[#This Row],[Korr]],0)</f>
        <v>1906.1657142857143</v>
      </c>
      <c r="L35" s="2"/>
    </row>
    <row r="36" spans="1:12" x14ac:dyDescent="0.25">
      <c r="A36" s="4">
        <v>44316</v>
      </c>
      <c r="B36">
        <v>4286</v>
      </c>
      <c r="C36">
        <f t="shared" si="2"/>
        <v>4265</v>
      </c>
      <c r="D36">
        <f t="shared" si="3"/>
        <v>21</v>
      </c>
      <c r="E36" s="3">
        <f>Tabell6[[#This Row],[Att fördela]]</f>
        <v>-1.0714285714285714</v>
      </c>
      <c r="F36">
        <f>Tabell6[[#This Row],[Pris/m3 ink.moms]]</f>
        <v>15.780000000000001</v>
      </c>
      <c r="G36" s="2">
        <f>(Tabell41011[[#This Row],[Förbrukning]]+Tabell41011[[#This Row],[Utjämning]])*Tabell41011[[#This Row],[Kr/m3]]</f>
        <v>314.47285714285715</v>
      </c>
      <c r="H36" s="2">
        <f>Tabell6[[#This Row],[Summa fast avg/hushåll]]</f>
        <v>578.16714285714284</v>
      </c>
      <c r="I36" s="2">
        <f>Tabell6[[#This Row],[Medlems avg]]/14</f>
        <v>1000</v>
      </c>
      <c r="J36" s="2"/>
      <c r="K36" s="2">
        <f>IF(Tabell41011[[#This Row],[Nuvarande]], SUM(Tabell41011[[#This Row],[Summa förbrukning]:[Lån]])+Tabell41011[[#This Row],[Korr]],0)</f>
        <v>1892.6399999999999</v>
      </c>
      <c r="L36" s="2"/>
    </row>
    <row r="37" spans="1:12" x14ac:dyDescent="0.25">
      <c r="A37" s="4">
        <f>Tabell6[[#This Row],[Avläsnings datum]]</f>
        <v>44439</v>
      </c>
      <c r="B37">
        <v>4306</v>
      </c>
      <c r="C37">
        <f>B36</f>
        <v>4286</v>
      </c>
      <c r="D37">
        <f>IF(B37-C37&lt;0,0,B37-C37)</f>
        <v>20</v>
      </c>
      <c r="E37" s="3">
        <f>Tabell6[[#This Row],[Att fördela]]</f>
        <v>-2.4285714285714284</v>
      </c>
      <c r="F37">
        <f>Tabell6[[#This Row],[Pris/m3 ink.moms]]</f>
        <v>15.780000000000001</v>
      </c>
      <c r="G37" s="2">
        <f>(Tabell41011[[#This Row],[Förbrukning]]+Tabell41011[[#This Row],[Utjämning]])*Tabell41011[[#This Row],[Kr/m3]]</f>
        <v>277.27714285714291</v>
      </c>
      <c r="H37" s="2">
        <f>Tabell6[[#This Row],[Summa fast avg/hushåll]]</f>
        <v>578.16714285714284</v>
      </c>
      <c r="I37" s="2">
        <f>Tabell6[[#This Row],[Medlems avg]]/14</f>
        <v>1000</v>
      </c>
      <c r="J37" s="2"/>
      <c r="K37" s="2">
        <f>IF(Tabell41011[[#This Row],[Nuvarande]], SUM(Tabell41011[[#This Row],[Summa förbrukning]:[Lån]])+Tabell41011[[#This Row],[Korr]],0)</f>
        <v>1855.4442857142858</v>
      </c>
      <c r="L37" s="2"/>
    </row>
    <row r="38" spans="1:12" x14ac:dyDescent="0.25">
      <c r="A38" s="4">
        <f>Tabell6[[#This Row],[Avläsnings datum]]</f>
        <v>44561</v>
      </c>
      <c r="B38">
        <v>4329</v>
      </c>
      <c r="C38">
        <f t="shared" ref="C38:C60" si="4">B37</f>
        <v>4306</v>
      </c>
      <c r="D38">
        <f t="shared" ref="D38:D60" si="5">IF(B38-C38&lt;0,0,B38-C38)</f>
        <v>23</v>
      </c>
      <c r="E38" s="3">
        <f>Tabell6[[#This Row],[Att fördela]]</f>
        <v>-1.3571428571428572</v>
      </c>
      <c r="F38">
        <f>Tabell6[[#This Row],[Pris/m3 ink.moms]]</f>
        <v>15.780000000000001</v>
      </c>
      <c r="G38" s="2">
        <f>(Tabell41011[[#This Row],[Förbrukning]]+Tabell41011[[#This Row],[Utjämning]])*Tabell41011[[#This Row],[Kr/m3]]</f>
        <v>341.52428571428572</v>
      </c>
      <c r="H38" s="2">
        <f>Tabell6[[#This Row],[Summa fast avg/hushåll]]</f>
        <v>578.16714285714284</v>
      </c>
      <c r="I38" s="2">
        <f>Tabell6[[#This Row],[Medlems avg]]/14</f>
        <v>1000</v>
      </c>
      <c r="J38" s="2"/>
      <c r="K38" s="2">
        <f>IF(Tabell41011[[#This Row],[Nuvarande]], SUM(Tabell41011[[#This Row],[Summa förbrukning]:[Lån]])+Tabell41011[[#This Row],[Korr]],0)</f>
        <v>1919.6914285714286</v>
      </c>
      <c r="L38" s="2"/>
    </row>
    <row r="39" spans="1:12" x14ac:dyDescent="0.25">
      <c r="A39" s="4">
        <f>Tabell6[[#This Row],[Avläsnings datum]]</f>
        <v>44681</v>
      </c>
      <c r="B39">
        <v>4357</v>
      </c>
      <c r="C39">
        <f t="shared" si="4"/>
        <v>4329</v>
      </c>
      <c r="D39">
        <f t="shared" si="5"/>
        <v>28</v>
      </c>
      <c r="E39" s="3">
        <f>Tabell6[[#This Row],[Att fördela]]</f>
        <v>-2.7142857142857144</v>
      </c>
      <c r="F39">
        <f>Tabell6[[#This Row],[Pris/m3 ink.moms]]</f>
        <v>15.780000000000001</v>
      </c>
      <c r="G39" s="2">
        <f>(Tabell41011[[#This Row],[Förbrukning]]+Tabell41011[[#This Row],[Utjämning]])*Tabell41011[[#This Row],[Kr/m3]]</f>
        <v>399.00857142857143</v>
      </c>
      <c r="H39" s="2">
        <f>Tabell6[[#This Row],[Summa fast avg/hushåll]]</f>
        <v>578.16714285714284</v>
      </c>
      <c r="I39" s="2">
        <f>Tabell6[[#This Row],[Medlems avg]]/14</f>
        <v>1000</v>
      </c>
      <c r="J39" s="2"/>
      <c r="K39" s="2">
        <f>IF(Tabell41011[[#This Row],[Nuvarande]], SUM(Tabell41011[[#This Row],[Summa förbrukning]:[Lån]])+Tabell41011[[#This Row],[Korr]],0)</f>
        <v>1977.1757142857143</v>
      </c>
      <c r="L39" s="2"/>
    </row>
    <row r="40" spans="1:12" x14ac:dyDescent="0.25">
      <c r="A40" s="4">
        <f>Tabell6[[#This Row],[Avläsnings datum]]</f>
        <v>44804</v>
      </c>
      <c r="B40">
        <v>4372</v>
      </c>
      <c r="C40">
        <f t="shared" si="4"/>
        <v>4357</v>
      </c>
      <c r="D40">
        <f t="shared" si="5"/>
        <v>15</v>
      </c>
      <c r="E40" s="3">
        <f>Tabell6[[#This Row],[Att fördela]]</f>
        <v>-7.1428571428571425E-2</v>
      </c>
      <c r="F40">
        <f>Tabell6[[#This Row],[Pris/m3 ink.moms]]</f>
        <v>15.780000000000001</v>
      </c>
      <c r="G40" s="2">
        <f>(Tabell41011[[#This Row],[Förbrukning]]+Tabell41011[[#This Row],[Utjämning]])*Tabell41011[[#This Row],[Kr/m3]]</f>
        <v>235.57285714285717</v>
      </c>
      <c r="H40" s="2">
        <f>Tabell6[[#This Row],[Summa fast avg/hushåll]]</f>
        <v>578.16714285714284</v>
      </c>
      <c r="I40" s="2">
        <f>Tabell6[[#This Row],[Medlems avg]]/14</f>
        <v>1000</v>
      </c>
      <c r="J40" s="2"/>
      <c r="K40" s="2">
        <f>IF(Tabell41011[[#This Row],[Nuvarande]], SUM(Tabell41011[[#This Row],[Summa förbrukning]:[Lån]])+Tabell41011[[#This Row],[Korr]],0)</f>
        <v>1813.74</v>
      </c>
      <c r="L40" s="2"/>
    </row>
    <row r="41" spans="1:12" x14ac:dyDescent="0.25">
      <c r="A41" s="4">
        <f>Tabell6[[#This Row],[Avläsnings datum]]</f>
        <v>44926</v>
      </c>
      <c r="B41">
        <v>4395</v>
      </c>
      <c r="C41">
        <f t="shared" si="4"/>
        <v>4372</v>
      </c>
      <c r="D41">
        <f t="shared" si="5"/>
        <v>23</v>
      </c>
      <c r="E41" s="3">
        <f>Tabell6[[#This Row],[Att fördela]]</f>
        <v>0</v>
      </c>
      <c r="F41">
        <f>Tabell6[[#This Row],[Pris/m3 ink.moms]]</f>
        <v>15.780000000000001</v>
      </c>
      <c r="G41" s="2">
        <f>(Tabell41011[[#This Row],[Förbrukning]]+Tabell41011[[#This Row],[Utjämning]])*Tabell41011[[#This Row],[Kr/m3]]</f>
        <v>362.94000000000005</v>
      </c>
      <c r="H41" s="2">
        <f>Tabell6[[#This Row],[Summa fast avg/hushåll]]</f>
        <v>578.16714285714284</v>
      </c>
      <c r="I41" s="2">
        <f>Tabell6[[#This Row],[Medlems avg]]/14</f>
        <v>1000</v>
      </c>
      <c r="J41" s="2"/>
      <c r="K41" s="2">
        <f>IF(Tabell41011[[#This Row],[Nuvarande]], SUM(Tabell41011[[#This Row],[Summa förbrukning]:[Lån]])+Tabell41011[[#This Row],[Korr]],0)</f>
        <v>1941.1071428571429</v>
      </c>
      <c r="L41" s="2"/>
    </row>
    <row r="42" spans="1:12" x14ac:dyDescent="0.25">
      <c r="A42" s="4">
        <f>Tabell6[[#This Row],[Avläsnings datum]]</f>
        <v>45046</v>
      </c>
      <c r="B42">
        <v>4415</v>
      </c>
      <c r="C42">
        <f t="shared" si="4"/>
        <v>4395</v>
      </c>
      <c r="D42">
        <f t="shared" si="5"/>
        <v>20</v>
      </c>
      <c r="E42" s="3">
        <f>Tabell6[[#This Row],[Att fördela]]</f>
        <v>0.14285714285714285</v>
      </c>
      <c r="F42">
        <f>Tabell6[[#This Row],[Pris/m3 ink.moms]]</f>
        <v>17.829999999999998</v>
      </c>
      <c r="G42" s="2">
        <f>(Tabell41011[[#This Row],[Förbrukning]]+Tabell41011[[#This Row],[Utjämning]])*Tabell41011[[#This Row],[Kr/m3]]</f>
        <v>359.1471428571428</v>
      </c>
      <c r="H42" s="2">
        <f>Tabell6[[#This Row],[Summa fast avg/hushåll]]</f>
        <v>652.99952380952379</v>
      </c>
      <c r="I42" s="2">
        <f>Tabell6[[#This Row],[Medlems avg]]/14</f>
        <v>1000</v>
      </c>
      <c r="J42" s="2"/>
      <c r="K42" s="2">
        <f>IF(Tabell41011[[#This Row],[Nuvarande]], SUM(Tabell41011[[#This Row],[Summa förbrukning]:[Lån]])+Tabell41011[[#This Row],[Korr]],0)</f>
        <v>2012.1466666666665</v>
      </c>
      <c r="L42" s="2"/>
    </row>
    <row r="43" spans="1:12" x14ac:dyDescent="0.25">
      <c r="A43" s="4">
        <f>Tabell6[[#This Row],[Avläsnings datum]]</f>
        <v>45169</v>
      </c>
      <c r="B43">
        <v>4431</v>
      </c>
      <c r="C43">
        <f t="shared" si="4"/>
        <v>4415</v>
      </c>
      <c r="D43">
        <f t="shared" si="5"/>
        <v>16</v>
      </c>
      <c r="E43" s="3">
        <f>Tabell6[[#This Row],[Att fördela]]</f>
        <v>-2.2142857142857144</v>
      </c>
      <c r="F43">
        <f>Tabell6[[#This Row],[Pris/m3 ink.moms]]</f>
        <v>17.829999999999998</v>
      </c>
      <c r="G43" s="2">
        <f>(Tabell41011[[#This Row],[Förbrukning]]+Tabell41011[[#This Row],[Utjämning]])*Tabell41011[[#This Row],[Kr/m3]]</f>
        <v>245.79928571428567</v>
      </c>
      <c r="H43" s="2">
        <f>Tabell6[[#This Row],[Summa fast avg/hushåll]]</f>
        <v>652.99952380952379</v>
      </c>
      <c r="I43" s="2">
        <f>Tabell6[[#This Row],[Medlems avg]]/14</f>
        <v>1000</v>
      </c>
      <c r="J43" s="2"/>
      <c r="K43" s="2">
        <f>IF(Tabell41011[[#This Row],[Nuvarande]], SUM(Tabell41011[[#This Row],[Summa förbrukning]:[Lån]])+Tabell41011[[#This Row],[Korr]],0)</f>
        <v>1898.7988095238095</v>
      </c>
      <c r="L43" s="2"/>
    </row>
    <row r="44" spans="1:12" x14ac:dyDescent="0.25">
      <c r="A44" s="4">
        <f>Tabell6[[#This Row],[Avläsnings datum]]</f>
        <v>45291</v>
      </c>
      <c r="B44">
        <v>4452</v>
      </c>
      <c r="C44">
        <f t="shared" si="4"/>
        <v>4431</v>
      </c>
      <c r="D44">
        <f t="shared" si="5"/>
        <v>21</v>
      </c>
      <c r="E44" s="3">
        <f>Tabell6[[#This Row],[Att fördela]]</f>
        <v>-0.7857142857142857</v>
      </c>
      <c r="F44">
        <f>Tabell6[[#This Row],[Pris/m3 ink.moms]]</f>
        <v>17.829999999999998</v>
      </c>
      <c r="G44" s="2">
        <f>(Tabell41011[[#This Row],[Förbrukning]]+Tabell41011[[#This Row],[Utjämning]])*Tabell41011[[#This Row],[Kr/m3]]</f>
        <v>360.42071428571427</v>
      </c>
      <c r="H44" s="2">
        <f>Tabell6[[#This Row],[Summa fast avg/hushåll]]</f>
        <v>652.99952380952379</v>
      </c>
      <c r="I44" s="2">
        <f>Tabell6[[#This Row],[Medlems avg]]/14</f>
        <v>1000</v>
      </c>
      <c r="J44" s="2"/>
      <c r="K44" s="2">
        <f>IF(Tabell41011[[#This Row],[Nuvarande]], SUM(Tabell41011[[#This Row],[Summa förbrukning]:[Lån]])+Tabell41011[[#This Row],[Korr]],0)</f>
        <v>2013.4202380952381</v>
      </c>
      <c r="L44" s="2"/>
    </row>
    <row r="45" spans="1:12" x14ac:dyDescent="0.25">
      <c r="A45" s="4">
        <f>Tabell6[[#This Row],[Avläsnings datum]]</f>
        <v>45412</v>
      </c>
      <c r="B45">
        <v>4472</v>
      </c>
      <c r="C45">
        <f t="shared" si="4"/>
        <v>4452</v>
      </c>
      <c r="D45">
        <f t="shared" si="5"/>
        <v>20</v>
      </c>
      <c r="E45" s="3">
        <f>Tabell6[[#This Row],[Att fördela]]</f>
        <v>-7.1428571428571425E-2</v>
      </c>
      <c r="F45">
        <f>Tabell6[[#This Row],[Pris/m3 ink.moms]]</f>
        <v>17.829999999999998</v>
      </c>
      <c r="G45" s="2">
        <f>(Tabell41011[[#This Row],[Förbrukning]]+Tabell41011[[#This Row],[Utjämning]])*Tabell41011[[#This Row],[Kr/m3]]</f>
        <v>355.32642857142849</v>
      </c>
      <c r="H45" s="2">
        <f>Tabell6[[#This Row],[Summa fast avg/hushåll]]</f>
        <v>652.99952380952379</v>
      </c>
      <c r="I45" s="2">
        <f>Tabell6[[#This Row],[Medlems avg]]/14</f>
        <v>1000</v>
      </c>
      <c r="J45" s="2"/>
      <c r="K45" s="2">
        <f>IF(Tabell41011[[#This Row],[Nuvarande]], SUM(Tabell41011[[#This Row],[Summa förbrukning]:[Lån]])+Tabell41011[[#This Row],[Korr]],0)</f>
        <v>2008.3259523809522</v>
      </c>
      <c r="L45" s="2"/>
    </row>
    <row r="46" spans="1:12" x14ac:dyDescent="0.25">
      <c r="A46" s="4">
        <f>Tabell6[[#This Row],[Avläsnings datum]]</f>
        <v>45535</v>
      </c>
      <c r="B46">
        <v>4486</v>
      </c>
      <c r="C46">
        <f t="shared" si="4"/>
        <v>4472</v>
      </c>
      <c r="D46">
        <f t="shared" si="5"/>
        <v>14</v>
      </c>
      <c r="E46" s="3">
        <f>Tabell6[[#This Row],[Att fördela]]</f>
        <v>-1.3571428571428572</v>
      </c>
      <c r="F46">
        <f>Tabell6[[#This Row],[Pris/m3 ink.moms]]</f>
        <v>21</v>
      </c>
      <c r="G46" s="2">
        <f>(Tabell41011[[#This Row],[Förbrukning]]+Tabell41011[[#This Row],[Utjämning]])*Tabell41011[[#This Row],[Kr/m3]]</f>
        <v>265.5</v>
      </c>
      <c r="H46" s="2">
        <f>Tabell6[[#This Row],[Summa fast avg/hushåll]]</f>
        <v>763.97428571428566</v>
      </c>
      <c r="I46" s="2">
        <f>Tabell6[[#This Row],[Medlems avg]]/14</f>
        <v>1000</v>
      </c>
      <c r="J46" s="2"/>
      <c r="K46" s="2">
        <f>IF(Tabell41011[[#This Row],[Nuvarande]], SUM(Tabell41011[[#This Row],[Summa förbrukning]:[Lån]])+Tabell41011[[#This Row],[Korr]],0)</f>
        <v>2029.4742857142855</v>
      </c>
      <c r="L46" s="2"/>
    </row>
    <row r="47" spans="1:12" x14ac:dyDescent="0.25">
      <c r="A47" s="4">
        <f>Tabell6[[#This Row],[Avläsnings datum]]</f>
        <v>45657</v>
      </c>
      <c r="B47">
        <v>4502</v>
      </c>
      <c r="C47">
        <f t="shared" si="4"/>
        <v>4486</v>
      </c>
      <c r="D47">
        <f t="shared" si="5"/>
        <v>16</v>
      </c>
      <c r="E47" s="3">
        <f>Tabell6[[#This Row],[Att fördela]]</f>
        <v>-1.7142857142857142</v>
      </c>
      <c r="F47">
        <f>Tabell6[[#This Row],[Pris/m3 ink.moms]]</f>
        <v>21</v>
      </c>
      <c r="G47" s="2">
        <f>(Tabell41011[[#This Row],[Förbrukning]]+Tabell41011[[#This Row],[Utjämning]])*Tabell41011[[#This Row],[Kr/m3]]</f>
        <v>300</v>
      </c>
      <c r="H47" s="2">
        <f>Tabell6[[#This Row],[Summa fast avg/hushåll]]</f>
        <v>763.97428571428566</v>
      </c>
      <c r="I47" s="2">
        <f>Tabell6[[#This Row],[Medlems avg]]/14</f>
        <v>1000</v>
      </c>
      <c r="J47" s="2"/>
      <c r="K47" s="2">
        <f>IF(Tabell41011[[#This Row],[Nuvarande]], SUM(Tabell41011[[#This Row],[Summa förbrukning]:[Lån]])+Tabell41011[[#This Row],[Korr]],0)</f>
        <v>2063.9742857142855</v>
      </c>
      <c r="L47" s="2"/>
    </row>
    <row r="48" spans="1:12" x14ac:dyDescent="0.25">
      <c r="A48" s="4">
        <f>Tabell6[[#This Row],[Avläsnings datum]]</f>
        <v>45777</v>
      </c>
      <c r="B48">
        <v>4518</v>
      </c>
      <c r="C48">
        <f t="shared" si="4"/>
        <v>4502</v>
      </c>
      <c r="D48">
        <f t="shared" si="5"/>
        <v>16</v>
      </c>
      <c r="E48" s="3">
        <f>Tabell6[[#This Row],[Att fördela]]</f>
        <v>-1.5</v>
      </c>
      <c r="F48">
        <f>Tabell6[[#This Row],[Pris/m3 ink.moms]]</f>
        <v>24</v>
      </c>
      <c r="G48" s="2">
        <f>(Tabell41011[[#This Row],[Förbrukning]]+Tabell41011[[#This Row],[Utjämning]])*Tabell41011[[#This Row],[Kr/m3]]</f>
        <v>348</v>
      </c>
      <c r="H48" s="2">
        <f>Tabell6[[#This Row],[Summa fast avg/hushåll]]</f>
        <v>879.14738095238101</v>
      </c>
      <c r="I48" s="2">
        <f>Tabell6[[#This Row],[Medlems avg]]/14</f>
        <v>1000</v>
      </c>
      <c r="J48" s="2"/>
      <c r="K48" s="2">
        <f>IF(Tabell41011[[#This Row],[Nuvarande]], SUM(Tabell41011[[#This Row],[Summa förbrukning]:[Lån]])+Tabell41011[[#This Row],[Korr]],0)</f>
        <v>2227.1473809523809</v>
      </c>
      <c r="L48" s="2"/>
    </row>
    <row r="49" spans="1:12" x14ac:dyDescent="0.25">
      <c r="A49" s="4">
        <f>Tabell6[[#This Row],[Avläsnings datum]]</f>
        <v>45900</v>
      </c>
      <c r="C49">
        <f t="shared" si="4"/>
        <v>4518</v>
      </c>
      <c r="D49">
        <f t="shared" si="5"/>
        <v>0</v>
      </c>
      <c r="E49" s="3">
        <f>Tabell6[[#This Row],[Att fördela]]</f>
        <v>0</v>
      </c>
      <c r="F49">
        <f>Tabell6[[#This Row],[Pris/m3 ink.moms]]</f>
        <v>24</v>
      </c>
      <c r="G49" s="2">
        <f>(Tabell41011[[#This Row],[Förbrukning]]+Tabell41011[[#This Row],[Utjämning]])*Tabell41011[[#This Row],[Kr/m3]]</f>
        <v>0</v>
      </c>
      <c r="H49" s="2">
        <f>Tabell6[[#This Row],[Summa fast avg/hushåll]]</f>
        <v>879.14738095238101</v>
      </c>
      <c r="I49" s="2">
        <f>Tabell6[[#This Row],[Medlems avg]]/14</f>
        <v>1000</v>
      </c>
      <c r="J49" s="2"/>
      <c r="K49" s="2">
        <f>IF(Tabell41011[[#This Row],[Nuvarande]], SUM(Tabell41011[[#This Row],[Summa förbrukning]:[Lån]])+Tabell41011[[#This Row],[Korr]],0)</f>
        <v>0</v>
      </c>
      <c r="L49" s="2"/>
    </row>
    <row r="50" spans="1:12" x14ac:dyDescent="0.25">
      <c r="A50" s="4">
        <f>Tabell6[[#This Row],[Avläsnings datum]]</f>
        <v>46022</v>
      </c>
      <c r="C50">
        <f t="shared" si="4"/>
        <v>0</v>
      </c>
      <c r="D50">
        <f t="shared" si="5"/>
        <v>0</v>
      </c>
      <c r="E50" s="3">
        <f>Tabell6[[#This Row],[Att fördela]]</f>
        <v>0</v>
      </c>
      <c r="F50">
        <f>Tabell6[[#This Row],[Pris/m3 ink.moms]]</f>
        <v>24</v>
      </c>
      <c r="G50" s="2">
        <f>(Tabell41011[[#This Row],[Förbrukning]]+Tabell41011[[#This Row],[Utjämning]])*Tabell41011[[#This Row],[Kr/m3]]</f>
        <v>0</v>
      </c>
      <c r="H50" s="2">
        <f>Tabell6[[#This Row],[Summa fast avg/hushåll]]</f>
        <v>879.14738095238101</v>
      </c>
      <c r="I50" s="2">
        <f>Tabell6[[#This Row],[Medlems avg]]/14</f>
        <v>1000</v>
      </c>
      <c r="J50" s="2"/>
      <c r="K50" s="2">
        <f>IF(Tabell41011[[#This Row],[Nuvarande]], SUM(Tabell41011[[#This Row],[Summa förbrukning]:[Lån]])+Tabell41011[[#This Row],[Korr]],0)</f>
        <v>0</v>
      </c>
      <c r="L50" s="2"/>
    </row>
    <row r="51" spans="1:12" x14ac:dyDescent="0.25">
      <c r="A51" s="4">
        <f>Tabell6[[#This Row],[Avläsnings datum]]</f>
        <v>46142</v>
      </c>
      <c r="C51">
        <f t="shared" si="4"/>
        <v>0</v>
      </c>
      <c r="D51">
        <f t="shared" si="5"/>
        <v>0</v>
      </c>
      <c r="E51" s="3">
        <f>Tabell6[[#This Row],[Att fördela]]</f>
        <v>0</v>
      </c>
      <c r="F51">
        <f>Tabell6[[#This Row],[Pris/m3 ink.moms]]</f>
        <v>24</v>
      </c>
      <c r="G51" s="2">
        <f>(Tabell41011[[#This Row],[Förbrukning]]+Tabell41011[[#This Row],[Utjämning]])*Tabell41011[[#This Row],[Kr/m3]]</f>
        <v>0</v>
      </c>
      <c r="H51" s="2">
        <f>Tabell6[[#This Row],[Summa fast avg/hushåll]]</f>
        <v>879.14738095238101</v>
      </c>
      <c r="I51" s="2">
        <f>Tabell6[[#This Row],[Medlems avg]]/14</f>
        <v>1000</v>
      </c>
      <c r="J51" s="2"/>
      <c r="K51" s="2">
        <f>IF(Tabell41011[[#This Row],[Nuvarande]], SUM(Tabell41011[[#This Row],[Summa förbrukning]:[Lån]])+Tabell41011[[#This Row],[Korr]],0)</f>
        <v>0</v>
      </c>
      <c r="L51" s="2"/>
    </row>
    <row r="52" spans="1:12" x14ac:dyDescent="0.25">
      <c r="A52" s="4">
        <f>Tabell6[[#This Row],[Avläsnings datum]]</f>
        <v>46265</v>
      </c>
      <c r="C52">
        <f t="shared" si="4"/>
        <v>0</v>
      </c>
      <c r="D52">
        <f t="shared" si="5"/>
        <v>0</v>
      </c>
      <c r="E52" s="3">
        <f>Tabell6[[#This Row],[Att fördela]]</f>
        <v>0</v>
      </c>
      <c r="F52">
        <f>Tabell6[[#This Row],[Pris/m3 ink.moms]]</f>
        <v>24</v>
      </c>
      <c r="G52" s="2">
        <f>(Tabell41011[[#This Row],[Förbrukning]]+Tabell41011[[#This Row],[Utjämning]])*Tabell41011[[#This Row],[Kr/m3]]</f>
        <v>0</v>
      </c>
      <c r="H52" s="2">
        <f>Tabell6[[#This Row],[Summa fast avg/hushåll]]</f>
        <v>879.14738095238101</v>
      </c>
      <c r="I52" s="2">
        <f>Tabell6[[#This Row],[Medlems avg]]/14</f>
        <v>1000</v>
      </c>
      <c r="J52" s="2"/>
      <c r="K52" s="2">
        <f>IF(Tabell41011[[#This Row],[Nuvarande]], SUM(Tabell41011[[#This Row],[Summa förbrukning]:[Lån]])+Tabell41011[[#This Row],[Korr]],0)</f>
        <v>0</v>
      </c>
      <c r="L52" s="2"/>
    </row>
    <row r="53" spans="1:12" x14ac:dyDescent="0.25">
      <c r="A53" s="4">
        <f>Tabell6[[#This Row],[Avläsnings datum]]</f>
        <v>46387</v>
      </c>
      <c r="C53">
        <f t="shared" si="4"/>
        <v>0</v>
      </c>
      <c r="D53">
        <f t="shared" si="5"/>
        <v>0</v>
      </c>
      <c r="E53" s="3">
        <f>Tabell6[[#This Row],[Att fördela]]</f>
        <v>0</v>
      </c>
      <c r="F53">
        <f>Tabell6[[#This Row],[Pris/m3 ink.moms]]</f>
        <v>24</v>
      </c>
      <c r="G53" s="2">
        <f>(Tabell41011[[#This Row],[Förbrukning]]+Tabell41011[[#This Row],[Utjämning]])*Tabell41011[[#This Row],[Kr/m3]]</f>
        <v>0</v>
      </c>
      <c r="H53" s="2">
        <f>Tabell6[[#This Row],[Summa fast avg/hushåll]]</f>
        <v>879.14738095238101</v>
      </c>
      <c r="I53" s="2">
        <f>Tabell6[[#This Row],[Medlems avg]]/14</f>
        <v>1000</v>
      </c>
      <c r="J53" s="2"/>
      <c r="K53" s="2">
        <f>IF(Tabell41011[[#This Row],[Nuvarande]], SUM(Tabell41011[[#This Row],[Summa förbrukning]:[Lån]])+Tabell41011[[#This Row],[Korr]],0)</f>
        <v>0</v>
      </c>
      <c r="L53" s="2"/>
    </row>
    <row r="54" spans="1:12" x14ac:dyDescent="0.25">
      <c r="A54" s="4">
        <f>Tabell6[[#This Row],[Avläsnings datum]]</f>
        <v>46507</v>
      </c>
      <c r="C54">
        <f t="shared" si="4"/>
        <v>0</v>
      </c>
      <c r="D54">
        <f t="shared" si="5"/>
        <v>0</v>
      </c>
      <c r="E54" s="3">
        <f>Tabell6[[#This Row],[Att fördela]]</f>
        <v>0</v>
      </c>
      <c r="F54">
        <f>Tabell6[[#This Row],[Pris/m3 ink.moms]]</f>
        <v>24</v>
      </c>
      <c r="G54" s="2">
        <f>(Tabell41011[[#This Row],[Förbrukning]]+Tabell41011[[#This Row],[Utjämning]])*Tabell41011[[#This Row],[Kr/m3]]</f>
        <v>0</v>
      </c>
      <c r="H54" s="2">
        <f>Tabell6[[#This Row],[Summa fast avg/hushåll]]</f>
        <v>879.14738095238101</v>
      </c>
      <c r="I54" s="2">
        <f>Tabell6[[#This Row],[Medlems avg]]/14</f>
        <v>1000</v>
      </c>
      <c r="J54" s="2"/>
      <c r="K54" s="2">
        <f>IF(Tabell41011[[#This Row],[Nuvarande]], SUM(Tabell41011[[#This Row],[Summa förbrukning]:[Lån]])+Tabell41011[[#This Row],[Korr]],0)</f>
        <v>0</v>
      </c>
      <c r="L54" s="2"/>
    </row>
    <row r="55" spans="1:12" x14ac:dyDescent="0.25">
      <c r="A55" s="4">
        <f>Tabell6[[#This Row],[Avläsnings datum]]</f>
        <v>46630</v>
      </c>
      <c r="C55">
        <f t="shared" si="4"/>
        <v>0</v>
      </c>
      <c r="D55">
        <f t="shared" si="5"/>
        <v>0</v>
      </c>
      <c r="E55" s="3">
        <f>Tabell6[[#This Row],[Att fördela]]</f>
        <v>0</v>
      </c>
      <c r="F55">
        <f>Tabell6[[#This Row],[Pris/m3 ink.moms]]</f>
        <v>24</v>
      </c>
      <c r="G55" s="2">
        <f>(Tabell41011[[#This Row],[Förbrukning]]+Tabell41011[[#This Row],[Utjämning]])*Tabell41011[[#This Row],[Kr/m3]]</f>
        <v>0</v>
      </c>
      <c r="H55" s="2">
        <f>Tabell6[[#This Row],[Summa fast avg/hushåll]]</f>
        <v>879.14738095238101</v>
      </c>
      <c r="I55" s="2">
        <f>Tabell6[[#This Row],[Medlems avg]]/14</f>
        <v>1000</v>
      </c>
      <c r="J55" s="2"/>
      <c r="K55" s="2">
        <f>IF(Tabell41011[[#This Row],[Nuvarande]], SUM(Tabell41011[[#This Row],[Summa förbrukning]:[Lån]])+Tabell41011[[#This Row],[Korr]],0)</f>
        <v>0</v>
      </c>
      <c r="L55" s="2"/>
    </row>
    <row r="56" spans="1:12" x14ac:dyDescent="0.25">
      <c r="A56" s="4">
        <f>Tabell6[[#This Row],[Avläsnings datum]]</f>
        <v>46752</v>
      </c>
      <c r="C56">
        <f t="shared" si="4"/>
        <v>0</v>
      </c>
      <c r="D56">
        <f t="shared" si="5"/>
        <v>0</v>
      </c>
      <c r="E56" s="3">
        <f>Tabell6[[#This Row],[Att fördela]]</f>
        <v>0</v>
      </c>
      <c r="F56">
        <f>Tabell6[[#This Row],[Pris/m3 ink.moms]]</f>
        <v>24</v>
      </c>
      <c r="G56" s="2">
        <f>(Tabell41011[[#This Row],[Förbrukning]]+Tabell41011[[#This Row],[Utjämning]])*Tabell41011[[#This Row],[Kr/m3]]</f>
        <v>0</v>
      </c>
      <c r="H56" s="2">
        <f>Tabell6[[#This Row],[Summa fast avg/hushåll]]</f>
        <v>879.14738095238101</v>
      </c>
      <c r="I56" s="2">
        <f>Tabell6[[#This Row],[Medlems avg]]/14</f>
        <v>1000</v>
      </c>
      <c r="J56" s="2"/>
      <c r="K56" s="2">
        <f>IF(Tabell41011[[#This Row],[Nuvarande]], SUM(Tabell41011[[#This Row],[Summa förbrukning]:[Lån]])+Tabell41011[[#This Row],[Korr]],0)</f>
        <v>0</v>
      </c>
      <c r="L56" s="2"/>
    </row>
    <row r="57" spans="1:12" x14ac:dyDescent="0.25">
      <c r="A57" s="4">
        <f>Tabell6[[#This Row],[Avläsnings datum]]</f>
        <v>46873</v>
      </c>
      <c r="C57">
        <f t="shared" si="4"/>
        <v>0</v>
      </c>
      <c r="D57">
        <f t="shared" si="5"/>
        <v>0</v>
      </c>
      <c r="E57" s="3">
        <f>Tabell6[[#This Row],[Att fördela]]</f>
        <v>0</v>
      </c>
      <c r="F57">
        <f>Tabell6[[#This Row],[Pris/m3 ink.moms]]</f>
        <v>24</v>
      </c>
      <c r="G57" s="2">
        <f>(Tabell41011[[#This Row],[Förbrukning]]+Tabell41011[[#This Row],[Utjämning]])*Tabell41011[[#This Row],[Kr/m3]]</f>
        <v>0</v>
      </c>
      <c r="H57" s="2">
        <f>Tabell6[[#This Row],[Summa fast avg/hushåll]]</f>
        <v>879.14738095238101</v>
      </c>
      <c r="I57" s="2">
        <f>Tabell6[[#This Row],[Medlems avg]]/14</f>
        <v>1000</v>
      </c>
      <c r="J57" s="2"/>
      <c r="K57" s="2">
        <f>IF(Tabell41011[[#This Row],[Nuvarande]], SUM(Tabell41011[[#This Row],[Summa förbrukning]:[Lån]])+Tabell41011[[#This Row],[Korr]],0)</f>
        <v>0</v>
      </c>
      <c r="L57" s="2"/>
    </row>
    <row r="58" spans="1:12" x14ac:dyDescent="0.25">
      <c r="A58" s="4">
        <f>Tabell6[[#This Row],[Avläsnings datum]]</f>
        <v>46996</v>
      </c>
      <c r="C58">
        <f t="shared" si="4"/>
        <v>0</v>
      </c>
      <c r="D58">
        <f t="shared" si="5"/>
        <v>0</v>
      </c>
      <c r="E58" s="3">
        <f>Tabell6[[#This Row],[Att fördela]]</f>
        <v>0</v>
      </c>
      <c r="F58">
        <f>Tabell6[[#This Row],[Pris/m3 ink.moms]]</f>
        <v>24</v>
      </c>
      <c r="G58" s="2">
        <f>(Tabell41011[[#This Row],[Förbrukning]]+Tabell41011[[#This Row],[Utjämning]])*Tabell41011[[#This Row],[Kr/m3]]</f>
        <v>0</v>
      </c>
      <c r="H58" s="2">
        <f>Tabell6[[#This Row],[Summa fast avg/hushåll]]</f>
        <v>879.14738095238101</v>
      </c>
      <c r="I58" s="2">
        <f>Tabell6[[#This Row],[Medlems avg]]/14</f>
        <v>1000</v>
      </c>
      <c r="J58" s="2"/>
      <c r="K58" s="2">
        <f>IF(Tabell41011[[#This Row],[Nuvarande]], SUM(Tabell41011[[#This Row],[Summa förbrukning]:[Lån]])+Tabell41011[[#This Row],[Korr]],0)</f>
        <v>0</v>
      </c>
      <c r="L58" s="2"/>
    </row>
    <row r="59" spans="1:12" x14ac:dyDescent="0.25">
      <c r="A59" s="4">
        <f>Tabell6[[#This Row],[Avläsnings datum]]</f>
        <v>47118</v>
      </c>
      <c r="C59">
        <f t="shared" si="4"/>
        <v>0</v>
      </c>
      <c r="D59">
        <f t="shared" si="5"/>
        <v>0</v>
      </c>
      <c r="E59" s="3">
        <f>Tabell6[[#This Row],[Att fördela]]</f>
        <v>0</v>
      </c>
      <c r="F59">
        <f>Tabell6[[#This Row],[Pris/m3 ink.moms]]</f>
        <v>24</v>
      </c>
      <c r="G59" s="2">
        <f>(Tabell41011[[#This Row],[Förbrukning]]+Tabell41011[[#This Row],[Utjämning]])*Tabell41011[[#This Row],[Kr/m3]]</f>
        <v>0</v>
      </c>
      <c r="H59" s="2">
        <f>Tabell6[[#This Row],[Summa fast avg/hushåll]]</f>
        <v>879.14738095238101</v>
      </c>
      <c r="I59" s="2">
        <f>Tabell6[[#This Row],[Medlems avg]]/14</f>
        <v>1000</v>
      </c>
      <c r="J59" s="2"/>
      <c r="K59" s="2">
        <f>IF(Tabell41011[[#This Row],[Nuvarande]], SUM(Tabell41011[[#This Row],[Summa förbrukning]:[Lån]])+Tabell41011[[#This Row],[Korr]],0)</f>
        <v>0</v>
      </c>
      <c r="L59" s="2"/>
    </row>
    <row r="60" spans="1:12" x14ac:dyDescent="0.25">
      <c r="A60" s="4">
        <f>Tabell6[[#This Row],[Avläsnings datum]]</f>
        <v>47238</v>
      </c>
      <c r="C60">
        <f t="shared" si="4"/>
        <v>0</v>
      </c>
      <c r="D60">
        <f t="shared" si="5"/>
        <v>0</v>
      </c>
      <c r="E60" s="3">
        <f>Tabell6[[#This Row],[Att fördela]]</f>
        <v>0</v>
      </c>
      <c r="F60">
        <f>Tabell6[[#This Row],[Pris/m3 ink.moms]]</f>
        <v>24</v>
      </c>
      <c r="G60" s="2">
        <f>(Tabell41011[[#This Row],[Förbrukning]]+Tabell41011[[#This Row],[Utjämning]])*Tabell41011[[#This Row],[Kr/m3]]</f>
        <v>0</v>
      </c>
      <c r="H60" s="2">
        <f>Tabell6[[#This Row],[Summa fast avg/hushåll]]</f>
        <v>879.14738095238101</v>
      </c>
      <c r="I60" s="2">
        <f>Tabell6[[#This Row],[Medlems avg]]/14</f>
        <v>1000</v>
      </c>
      <c r="J60" s="2"/>
      <c r="K60" s="2">
        <f>IF(Tabell41011[[#This Row],[Nuvarande]], SUM(Tabell41011[[#This Row],[Summa förbrukning]:[Lån]])+Tabell41011[[#This Row],[Korr]],0)</f>
        <v>0</v>
      </c>
      <c r="L60" s="2"/>
    </row>
  </sheetData>
  <pageMargins left="0.7" right="0.7" top="0.75" bottom="0.75" header="0.3" footer="0.3"/>
  <pageSetup paperSize="9" orientation="portrait" r:id="rId1"/>
  <ignoredErrors>
    <ignoredError sqref="A21:A36" calculatedColumn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L60"/>
  <sheetViews>
    <sheetView workbookViewId="0">
      <selection activeCell="B49" sqref="B49"/>
    </sheetView>
  </sheetViews>
  <sheetFormatPr defaultRowHeight="15" x14ac:dyDescent="0.25"/>
  <cols>
    <col min="1" max="1" width="20.28515625" customWidth="1"/>
    <col min="2" max="2" width="13" bestFit="1" customWidth="1"/>
    <col min="3" max="3" width="13.85546875" bestFit="1" customWidth="1"/>
    <col min="4" max="5" width="15.140625" customWidth="1"/>
    <col min="6" max="6" width="11.140625" customWidth="1"/>
    <col min="7" max="7" width="21" bestFit="1" customWidth="1"/>
    <col min="8" max="8" width="10.28515625" bestFit="1" customWidth="1"/>
    <col min="9" max="9" width="15.140625" bestFit="1" customWidth="1"/>
    <col min="10" max="11" width="12" bestFit="1" customWidth="1"/>
  </cols>
  <sheetData>
    <row r="1" spans="1:12" x14ac:dyDescent="0.25">
      <c r="A1">
        <v>12</v>
      </c>
      <c r="J1" s="6" t="s">
        <v>31</v>
      </c>
    </row>
    <row r="2" spans="1:12" x14ac:dyDescent="0.25">
      <c r="J2" s="5" t="s">
        <v>42</v>
      </c>
    </row>
    <row r="3" spans="1:12" x14ac:dyDescent="0.25">
      <c r="B3">
        <f>VLOOKUP('Huvud mätare'!$A1,$A5:$K87,2)</f>
        <v>567</v>
      </c>
      <c r="C3">
        <f>VLOOKUP('Huvud mätare'!$A1,$A5:$K87,3)</f>
        <v>538</v>
      </c>
      <c r="D3">
        <f>VLOOKUP('Huvud mätare'!$A1,$A5:$K87,4)</f>
        <v>29</v>
      </c>
      <c r="E3">
        <f>VLOOKUP('Huvud mätare'!$A1,$A5:$K87,5)</f>
        <v>-1.5</v>
      </c>
      <c r="F3">
        <f>VLOOKUP('Huvud mätare'!$A1,$A5:$K87,6)</f>
        <v>24</v>
      </c>
      <c r="G3">
        <f>VLOOKUP('Huvud mätare'!$A1,$A5:$K87,7)</f>
        <v>660</v>
      </c>
      <c r="H3">
        <f>VLOOKUP('Huvud mätare'!$A1,$A5:$K87,8)</f>
        <v>879.14738095238101</v>
      </c>
      <c r="I3">
        <f>VLOOKUP('Huvud mätare'!$A1,$A5:$K87,9)</f>
        <v>1000</v>
      </c>
      <c r="J3">
        <f>VLOOKUP('Huvud mätare'!$A1,$A5:$K87,10)</f>
        <v>0</v>
      </c>
      <c r="K3">
        <f>VLOOKUP('Huvud mätare'!$A1,$A5:$K87,11)</f>
        <v>2539.1473809523809</v>
      </c>
      <c r="L3">
        <f>VLOOKUP('Huvud mätare'!$A1,$A5:$L87,12)</f>
        <v>0</v>
      </c>
    </row>
    <row r="4" spans="1:12" ht="15" customHeight="1" x14ac:dyDescent="0.25">
      <c r="A4" t="s">
        <v>12</v>
      </c>
      <c r="B4" s="1" t="s">
        <v>33</v>
      </c>
      <c r="C4" s="1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25</v>
      </c>
      <c r="I4" t="s">
        <v>30</v>
      </c>
      <c r="J4" t="s">
        <v>39</v>
      </c>
      <c r="K4" t="s">
        <v>40</v>
      </c>
      <c r="L4" t="s">
        <v>41</v>
      </c>
    </row>
    <row r="5" spans="1:12" x14ac:dyDescent="0.25">
      <c r="A5" s="4">
        <f>Tabell6[[#This Row],[Avläsnings datum]]</f>
        <v>40543</v>
      </c>
      <c r="B5">
        <v>5621</v>
      </c>
      <c r="C5">
        <v>5569</v>
      </c>
      <c r="D5">
        <f t="shared" ref="D5:D21" si="0">IF(B5-C5&lt;0,0,B5-C5)</f>
        <v>52</v>
      </c>
      <c r="E5" s="3">
        <f>Tabell6[[#This Row],[Att fördela]]</f>
        <v>0.15714285714286039</v>
      </c>
      <c r="F5">
        <f>Tabell6[[#This Row],[Pris/m3 ink.moms]]</f>
        <v>16.88</v>
      </c>
      <c r="G5" s="2">
        <f>(Tabell4101112[[#This Row],[Förbrukning]]+Tabell4101112[[#This Row],[Utjämning]])*Tabell4101112[[#This Row],[Kr/m3]]</f>
        <v>880.41257142857137</v>
      </c>
      <c r="H5" s="2">
        <f>Tabell6[[#This Row],[Summa fast avg/hushåll]]</f>
        <v>378.07142857142856</v>
      </c>
      <c r="I5" s="2">
        <f>Tabell6[[#This Row],[Medlems avg]]/14</f>
        <v>0</v>
      </c>
      <c r="J5" s="2"/>
      <c r="K5" s="2">
        <f>IF(Tabell4101112[[#This Row],[Nuvarande]], SUM(Tabell4101112[[#This Row],[Summa förbrukning]:[Lån]])+Tabell4101112[[#This Row],[Korr]],0)</f>
        <v>1258.4839999999999</v>
      </c>
      <c r="L5" s="2"/>
    </row>
    <row r="6" spans="1:12" x14ac:dyDescent="0.25">
      <c r="A6" s="4">
        <f>Tabell6[[#This Row],[Avläsnings datum]]</f>
        <v>40664</v>
      </c>
      <c r="B6">
        <v>5663</v>
      </c>
      <c r="C6">
        <f t="shared" ref="C6:C22" si="1">B5</f>
        <v>5621</v>
      </c>
      <c r="D6">
        <f t="shared" si="0"/>
        <v>42</v>
      </c>
      <c r="E6" s="3">
        <f>Tabell6[[#This Row],[Att fördela]]</f>
        <v>2.8571428571418828E-2</v>
      </c>
      <c r="F6">
        <f>Tabell6[[#This Row],[Pris/m3 ink.moms]]</f>
        <v>16.88</v>
      </c>
      <c r="G6" s="2">
        <f>(Tabell4101112[[#This Row],[Förbrukning]]+Tabell4101112[[#This Row],[Utjämning]])*Tabell4101112[[#This Row],[Kr/m3]]</f>
        <v>709.4422857142855</v>
      </c>
      <c r="H6" s="2">
        <f>Tabell6[[#This Row],[Summa fast avg/hushåll]]</f>
        <v>378.07142857142856</v>
      </c>
      <c r="I6" s="2">
        <f>Tabell6[[#This Row],[Medlems avg]]/14</f>
        <v>0</v>
      </c>
      <c r="J6" s="2"/>
      <c r="K6" s="2">
        <f>IF(Tabell4101112[[#This Row],[Nuvarande]], SUM(Tabell4101112[[#This Row],[Summa förbrukning]:[Lån]])+Tabell4101112[[#This Row],[Korr]],0)</f>
        <v>1087.5137142857141</v>
      </c>
      <c r="L6" s="2"/>
    </row>
    <row r="7" spans="1:12" x14ac:dyDescent="0.25">
      <c r="A7" s="4">
        <f>Tabell6[[#This Row],[Avläsnings datum]]</f>
        <v>40786</v>
      </c>
      <c r="B7">
        <v>5717</v>
      </c>
      <c r="C7">
        <f t="shared" si="1"/>
        <v>5663</v>
      </c>
      <c r="D7">
        <f t="shared" si="0"/>
        <v>54</v>
      </c>
      <c r="E7" s="3">
        <f>Tabell6[[#This Row],[Att fördela]]</f>
        <v>-2.8571428571426947E-2</v>
      </c>
      <c r="F7">
        <f>Tabell6[[#This Row],[Pris/m3 ink.moms]]</f>
        <v>16.88</v>
      </c>
      <c r="G7" s="2">
        <f>(Tabell4101112[[#This Row],[Förbrukning]]+Tabell4101112[[#This Row],[Utjämning]])*Tabell4101112[[#This Row],[Kr/m3]]</f>
        <v>911.03771428571429</v>
      </c>
      <c r="H7" s="2">
        <f>Tabell6[[#This Row],[Summa fast avg/hushåll]]</f>
        <v>378.07142857142856</v>
      </c>
      <c r="I7" s="2">
        <f>Tabell6[[#This Row],[Medlems avg]]/14</f>
        <v>0</v>
      </c>
      <c r="J7" s="2"/>
      <c r="K7" s="2">
        <f>IF(Tabell4101112[[#This Row],[Nuvarande]], SUM(Tabell4101112[[#This Row],[Summa förbrukning]:[Lån]])+Tabell4101112[[#This Row],[Korr]],0)</f>
        <v>1289.1091428571428</v>
      </c>
      <c r="L7" s="2"/>
    </row>
    <row r="8" spans="1:12" x14ac:dyDescent="0.25">
      <c r="A8" s="4">
        <f>Tabell6[[#This Row],[Avläsnings datum]]</f>
        <v>40908</v>
      </c>
      <c r="B8">
        <v>5764</v>
      </c>
      <c r="C8">
        <f t="shared" si="1"/>
        <v>5717</v>
      </c>
      <c r="D8">
        <f t="shared" si="0"/>
        <v>47</v>
      </c>
      <c r="E8" s="3">
        <f>Tabell6[[#This Row],[Att fördela]]</f>
        <v>-0.22857142857142371</v>
      </c>
      <c r="F8">
        <f>Tabell6[[#This Row],[Pris/m3 ink.moms]]</f>
        <v>16.825000000000003</v>
      </c>
      <c r="G8" s="2">
        <f>(Tabell4101112[[#This Row],[Förbrukning]]+Tabell4101112[[#This Row],[Utjämning]])*Tabell4101112[[#This Row],[Kr/m3]]</f>
        <v>786.92928571428592</v>
      </c>
      <c r="H8" s="2">
        <f>Tabell6[[#This Row],[Summa fast avg/hushåll]]</f>
        <v>378.07142857142856</v>
      </c>
      <c r="I8" s="2">
        <f>Tabell6[[#This Row],[Medlems avg]]/14</f>
        <v>1000</v>
      </c>
      <c r="J8" s="2">
        <v>760</v>
      </c>
      <c r="K8" s="2">
        <f>IF(Tabell4101112[[#This Row],[Nuvarande]], SUM(Tabell4101112[[#This Row],[Summa förbrukning]:[Lån]])+Tabell4101112[[#This Row],[Korr]],0)</f>
        <v>2925.0007142857144</v>
      </c>
      <c r="L8" s="2"/>
    </row>
    <row r="9" spans="1:12" x14ac:dyDescent="0.25">
      <c r="A9" s="4">
        <f>Tabell6[[#This Row],[Avläsnings datum]]</f>
        <v>41029</v>
      </c>
      <c r="B9">
        <v>5823</v>
      </c>
      <c r="C9">
        <f t="shared" si="1"/>
        <v>5764</v>
      </c>
      <c r="D9">
        <f t="shared" si="0"/>
        <v>59</v>
      </c>
      <c r="E9" s="3">
        <f>Tabell6[[#This Row],[Att fördela]]</f>
        <v>-1</v>
      </c>
      <c r="F9">
        <f>Tabell6[[#This Row],[Pris/m3 ink.moms]]</f>
        <v>16.825000000000003</v>
      </c>
      <c r="G9" s="2">
        <f>(Tabell4101112[[#This Row],[Förbrukning]]+Tabell4101112[[#This Row],[Utjämning]])*Tabell4101112[[#This Row],[Kr/m3]]</f>
        <v>975.85000000000014</v>
      </c>
      <c r="H9" s="2">
        <f>Tabell6[[#This Row],[Summa fast avg/hushåll]]</f>
        <v>378.07142857142856</v>
      </c>
      <c r="I9" s="2">
        <f>Tabell6[[#This Row],[Medlems avg]]/14</f>
        <v>1000</v>
      </c>
      <c r="J9" s="2">
        <f>Lån!D10</f>
        <v>746.28571428571433</v>
      </c>
      <c r="K9" s="2">
        <f>IF(Tabell4101112[[#This Row],[Nuvarande]], SUM(Tabell4101112[[#This Row],[Summa förbrukning]:[Lån]])+Tabell4101112[[#This Row],[Korr]],0)</f>
        <v>3100.207142857143</v>
      </c>
      <c r="L9" s="2"/>
    </row>
    <row r="10" spans="1:12" x14ac:dyDescent="0.25">
      <c r="A10" s="4">
        <f>Tabell6[[#This Row],[Avläsnings datum]]</f>
        <v>41152</v>
      </c>
      <c r="B10">
        <v>5905</v>
      </c>
      <c r="C10">
        <f t="shared" si="1"/>
        <v>5823</v>
      </c>
      <c r="D10">
        <f t="shared" si="0"/>
        <v>82</v>
      </c>
      <c r="E10" s="3">
        <f>Tabell6[[#This Row],[Att fördela]]</f>
        <v>-0.14285714285714285</v>
      </c>
      <c r="F10">
        <f>Tabell6[[#This Row],[Pris/m3 ink.moms]]</f>
        <v>16.825000000000003</v>
      </c>
      <c r="G10" s="2">
        <f>(Tabell4101112[[#This Row],[Förbrukning]]+Tabell4101112[[#This Row],[Utjämning]])*Tabell4101112[[#This Row],[Kr/m3]]</f>
        <v>1377.2464285714289</v>
      </c>
      <c r="H10" s="2">
        <f>Tabell6[[#This Row],[Summa fast avg/hushåll]]</f>
        <v>378.07142857142856</v>
      </c>
      <c r="I10" s="2">
        <f>Tabell6[[#This Row],[Medlems avg]]/14</f>
        <v>1000</v>
      </c>
      <c r="J10" s="8">
        <f>Lån!D14</f>
        <v>736.85714285714289</v>
      </c>
      <c r="K10" s="2">
        <f>IF(Tabell4101112[[#This Row],[Nuvarande]], SUM(Tabell4101112[[#This Row],[Summa förbrukning]:[Lån]])+Tabell4101112[[#This Row],[Korr]],0)</f>
        <v>3492.1750000000002</v>
      </c>
      <c r="L10" s="2"/>
    </row>
    <row r="11" spans="1:12" x14ac:dyDescent="0.25">
      <c r="A11" s="4">
        <f>Tabell6[[#This Row],[Avläsnings datum]]</f>
        <v>41274</v>
      </c>
      <c r="B11">
        <v>5993</v>
      </c>
      <c r="C11">
        <f t="shared" si="1"/>
        <v>5905</v>
      </c>
      <c r="D11">
        <f t="shared" si="0"/>
        <v>88</v>
      </c>
      <c r="E11" s="3">
        <f>Tabell6[[#This Row],[Att fördela]]</f>
        <v>-0.9285714285714286</v>
      </c>
      <c r="F11">
        <f>Tabell6[[#This Row],[Pris/m3 ink.moms]]</f>
        <v>14.8125</v>
      </c>
      <c r="G11" s="2">
        <f>(Tabell4101112[[#This Row],[Förbrukning]]+Tabell4101112[[#This Row],[Utjämning]])*Tabell4101112[[#This Row],[Kr/m3]]</f>
        <v>1289.7455357142858</v>
      </c>
      <c r="H11" s="2">
        <f>Tabell6[[#This Row],[Summa fast avg/hushåll]]</f>
        <v>542.26190476190482</v>
      </c>
      <c r="I11" s="2">
        <f>Tabell6[[#This Row],[Medlems avg]]/14</f>
        <v>1000</v>
      </c>
      <c r="J11" s="8">
        <f>Lån!D18</f>
        <v>721.57142857142856</v>
      </c>
      <c r="K11" s="2">
        <f>IF(Tabell4101112[[#This Row],[Nuvarande]], SUM(Tabell4101112[[#This Row],[Summa förbrukning]:[Lån]])+Tabell4101112[[#This Row],[Korr]],0)</f>
        <v>3553.5788690476193</v>
      </c>
      <c r="L11" s="2"/>
    </row>
    <row r="12" spans="1:12" x14ac:dyDescent="0.25">
      <c r="A12" s="4">
        <f>Tabell6[[#This Row],[Avläsnings datum]]</f>
        <v>41394</v>
      </c>
      <c r="B12">
        <v>6096</v>
      </c>
      <c r="C12">
        <f t="shared" si="1"/>
        <v>5993</v>
      </c>
      <c r="D12">
        <f t="shared" si="0"/>
        <v>103</v>
      </c>
      <c r="E12" s="3">
        <f>Tabell6[[#This Row],[Att fördela]]</f>
        <v>-1.5714285714285714</v>
      </c>
      <c r="F12">
        <f>Tabell6[[#This Row],[Pris/m3 ink.moms]]</f>
        <v>14.8125</v>
      </c>
      <c r="G12" s="2">
        <f>(Tabell4101112[[#This Row],[Förbrukning]]+Tabell4101112[[#This Row],[Utjämning]])*Tabell4101112[[#This Row],[Kr/m3]]</f>
        <v>1502.4107142857142</v>
      </c>
      <c r="H12" s="2">
        <f>Tabell6[[#This Row],[Summa fast avg/hushåll]]</f>
        <v>542.26190476190482</v>
      </c>
      <c r="I12" s="2">
        <f>Tabell6[[#This Row],[Medlems avg]]/14</f>
        <v>1000</v>
      </c>
      <c r="J12" s="8">
        <f>Lån!D22</f>
        <v>705.57142857142856</v>
      </c>
      <c r="K12" s="2">
        <f>IF(Tabell4101112[[#This Row],[Nuvarande]], SUM(Tabell4101112[[#This Row],[Summa förbrukning]:[Lån]])+Tabell4101112[[#This Row],[Korr]],0)</f>
        <v>3750.2440476190477</v>
      </c>
      <c r="L12" s="2"/>
    </row>
    <row r="13" spans="1:12" x14ac:dyDescent="0.25">
      <c r="A13" s="4">
        <f>Tabell6[[#This Row],[Avläsnings datum]]</f>
        <v>41517</v>
      </c>
      <c r="B13">
        <v>6231</v>
      </c>
      <c r="C13">
        <f t="shared" si="1"/>
        <v>6096</v>
      </c>
      <c r="D13">
        <f t="shared" si="0"/>
        <v>135</v>
      </c>
      <c r="E13" s="3">
        <f>Tabell6[[#This Row],[Att fördela]]</f>
        <v>-0.8571428571428571</v>
      </c>
      <c r="F13">
        <f>Tabell6[[#This Row],[Pris/m3 ink.moms]]</f>
        <v>14.8125</v>
      </c>
      <c r="G13" s="2">
        <f>(Tabell4101112[[#This Row],[Förbrukning]]+Tabell4101112[[#This Row],[Utjämning]])*Tabell4101112[[#This Row],[Kr/m3]]</f>
        <v>1986.9910714285713</v>
      </c>
      <c r="H13" s="2">
        <f>Tabell6[[#This Row],[Summa fast avg/hushåll]]</f>
        <v>542.26190476190482</v>
      </c>
      <c r="I13" s="2">
        <f>Tabell6[[#This Row],[Medlems avg]]/14</f>
        <v>1000</v>
      </c>
      <c r="J13" s="8">
        <f>Lån!D26</f>
        <v>696.85714285714289</v>
      </c>
      <c r="K13" s="2">
        <f>IF(Tabell4101112[[#This Row],[Nuvarande]], SUM(Tabell4101112[[#This Row],[Summa förbrukning]:[Lån]])+Tabell4101112[[#This Row],[Korr]],0)</f>
        <v>4226.1101190476193</v>
      </c>
      <c r="L13" s="2"/>
    </row>
    <row r="14" spans="1:12" x14ac:dyDescent="0.25">
      <c r="A14" s="4">
        <f>Tabell6[[#This Row],[Avläsnings datum]]</f>
        <v>41639</v>
      </c>
      <c r="B14">
        <v>6291</v>
      </c>
      <c r="C14">
        <f t="shared" si="1"/>
        <v>6231</v>
      </c>
      <c r="D14">
        <f t="shared" si="0"/>
        <v>60</v>
      </c>
      <c r="E14" s="3">
        <f>Tabell6[[#This Row],[Att fördela]]</f>
        <v>-2.5</v>
      </c>
      <c r="F14">
        <f>Tabell6[[#This Row],[Pris/m3 ink.moms]]</f>
        <v>14.8125</v>
      </c>
      <c r="G14" s="2">
        <f>(Tabell4101112[[#This Row],[Förbrukning]]+Tabell4101112[[#This Row],[Utjämning]])*Tabell4101112[[#This Row],[Kr/m3]]</f>
        <v>851.71875</v>
      </c>
      <c r="H14" s="2">
        <f>Tabell6[[#This Row],[Summa fast avg/hushåll]]</f>
        <v>547.85714285714289</v>
      </c>
      <c r="I14" s="2">
        <f>Tabell6[[#This Row],[Medlems avg]]/14</f>
        <v>1000</v>
      </c>
      <c r="J14" s="8">
        <f>Lån!D30</f>
        <v>682.28571428571433</v>
      </c>
      <c r="K14" s="2">
        <f>IF(Tabell4101112[[#This Row],[Nuvarande]], SUM(Tabell4101112[[#This Row],[Summa förbrukning]:[Lån]])+Tabell4101112[[#This Row],[Korr]],0)</f>
        <v>3081.8616071428573</v>
      </c>
      <c r="L14" s="2"/>
    </row>
    <row r="15" spans="1:12" x14ac:dyDescent="0.25">
      <c r="A15" s="4">
        <f>Tabell6[[#This Row],[Avläsnings datum]]</f>
        <v>41759</v>
      </c>
      <c r="B15">
        <v>6337</v>
      </c>
      <c r="C15">
        <f t="shared" si="1"/>
        <v>6291</v>
      </c>
      <c r="D15">
        <f t="shared" si="0"/>
        <v>46</v>
      </c>
      <c r="E15" s="3">
        <f>Tabell6[[#This Row],[Att fördela]]</f>
        <v>-1.5714285714285714</v>
      </c>
      <c r="F15">
        <f>Tabell6[[#This Row],[Pris/m3 ink.moms]]</f>
        <v>14.9625</v>
      </c>
      <c r="G15" s="2">
        <f>(Tabell4101112[[#This Row],[Förbrukning]]+Tabell4101112[[#This Row],[Utjämning]])*Tabell4101112[[#This Row],[Kr/m3]]</f>
        <v>664.76250000000005</v>
      </c>
      <c r="H15" s="2">
        <f>Tabell6[[#This Row],[Summa fast avg/hushåll]]</f>
        <v>547.85714285714289</v>
      </c>
      <c r="I15" s="2">
        <f>Tabell6[[#This Row],[Medlems avg]]/14</f>
        <v>1000</v>
      </c>
      <c r="J15" s="8">
        <v>666</v>
      </c>
      <c r="K15" s="2">
        <f>IF(Tabell4101112[[#This Row],[Nuvarande]], SUM(Tabell4101112[[#This Row],[Summa förbrukning]:[Lån]])+Tabell4101112[[#This Row],[Korr]],0)</f>
        <v>3354.4857142857145</v>
      </c>
      <c r="L15" s="2">
        <f t="shared" ref="L15" si="2">K13-K12</f>
        <v>475.86607142857156</v>
      </c>
    </row>
    <row r="16" spans="1:12" x14ac:dyDescent="0.25">
      <c r="A16" s="4">
        <f>Tabell6[[#This Row],[Avläsnings datum]]</f>
        <v>41882</v>
      </c>
      <c r="B16">
        <v>6399</v>
      </c>
      <c r="C16">
        <f t="shared" si="1"/>
        <v>6337</v>
      </c>
      <c r="D16">
        <f t="shared" si="0"/>
        <v>62</v>
      </c>
      <c r="E16" s="3">
        <f>Tabell6[[#This Row],[Att fördela]]</f>
        <v>-1.7857142857142858</v>
      </c>
      <c r="F16">
        <f>Tabell6[[#This Row],[Pris/m3 ink.moms]]</f>
        <v>14.9625</v>
      </c>
      <c r="G16" s="2">
        <f>(Tabell4101112[[#This Row],[Förbrukning]]+Tabell4101112[[#This Row],[Utjämning]])*Tabell4101112[[#This Row],[Kr/m3]]</f>
        <v>900.95625000000007</v>
      </c>
      <c r="H16" s="2">
        <f>Tabell6[[#This Row],[Summa fast avg/hushåll]]</f>
        <v>547.85714285714289</v>
      </c>
      <c r="I16" s="2">
        <f>Tabell6[[#This Row],[Medlems avg]]/14</f>
        <v>1000</v>
      </c>
      <c r="J16" s="2">
        <v>657</v>
      </c>
      <c r="K16" s="2">
        <f>IF(Tabell4101112[[#This Row],[Nuvarande]], SUM(Tabell4101112[[#This Row],[Summa förbrukning]:[Lån]])+Tabell4101112[[#This Row],[Korr]],0)</f>
        <v>3105.8133928571428</v>
      </c>
      <c r="L16" s="2"/>
    </row>
    <row r="17" spans="1:12" x14ac:dyDescent="0.25">
      <c r="A17" s="4">
        <f>Tabell6[[#This Row],[Avläsnings datum]]</f>
        <v>42004</v>
      </c>
      <c r="B17">
        <v>6449</v>
      </c>
      <c r="C17">
        <f t="shared" si="1"/>
        <v>6399</v>
      </c>
      <c r="D17">
        <f t="shared" si="0"/>
        <v>50</v>
      </c>
      <c r="E17" s="3">
        <f>Tabell6[[#This Row],[Att fördela]]</f>
        <v>-2.0714285714285716</v>
      </c>
      <c r="F17">
        <f>Tabell6[[#This Row],[Pris/m3 ink.moms]]</f>
        <v>14.9625</v>
      </c>
      <c r="G17" s="2">
        <f>(Tabell4101112[[#This Row],[Förbrukning]]+Tabell4101112[[#This Row],[Utjämning]])*Tabell4101112[[#This Row],[Kr/m3]]</f>
        <v>717.13125000000002</v>
      </c>
      <c r="H17" s="2">
        <f>Tabell6[[#This Row],[Summa fast avg/hushåll]]</f>
        <v>547.85714285714289</v>
      </c>
      <c r="I17" s="2">
        <f>Tabell6[[#This Row],[Medlems avg]]/14</f>
        <v>1000</v>
      </c>
      <c r="J17" s="2">
        <v>642</v>
      </c>
      <c r="K17" s="2">
        <f>IF(Tabell4101112[[#This Row],[Nuvarande]], SUM(Tabell4101112[[#This Row],[Summa förbrukning]:[Lån]])+Tabell4101112[[#This Row],[Korr]],0)</f>
        <v>2906.988392857143</v>
      </c>
      <c r="L17" s="2"/>
    </row>
    <row r="18" spans="1:12" x14ac:dyDescent="0.25">
      <c r="A18" s="4">
        <f>Tabell6[[#This Row],[Avläsnings datum]]</f>
        <v>42124</v>
      </c>
      <c r="B18">
        <v>6501</v>
      </c>
      <c r="C18">
        <f t="shared" si="1"/>
        <v>6449</v>
      </c>
      <c r="D18">
        <f t="shared" si="0"/>
        <v>52</v>
      </c>
      <c r="E18" s="3">
        <f>Tabell6[[#This Row],[Att fördela]]</f>
        <v>-2.5</v>
      </c>
      <c r="F18">
        <f>Tabell6[[#This Row],[Pris/m3 ink.moms]]</f>
        <v>14.9625</v>
      </c>
      <c r="G18" s="2">
        <f>(Tabell4101112[[#This Row],[Förbrukning]]+Tabell4101112[[#This Row],[Utjämning]])*Tabell4101112[[#This Row],[Kr/m3]]</f>
        <v>740.64375000000007</v>
      </c>
      <c r="H18" s="2">
        <f>Tabell6[[#This Row],[Summa fast avg/hushåll]]</f>
        <v>547.85714285714289</v>
      </c>
      <c r="I18" s="2">
        <f>Tabell6[[#This Row],[Medlems avg]]/14</f>
        <v>600</v>
      </c>
      <c r="J18" s="2">
        <f>Lån!D46</f>
        <v>627</v>
      </c>
      <c r="K18" s="2">
        <f>IF(Tabell4101112[[#This Row],[Nuvarande]], SUM(Tabell4101112[[#This Row],[Summa förbrukning]:[Lån]])+Tabell4101112[[#This Row],[Korr]],0)</f>
        <v>2515.5008928571428</v>
      </c>
      <c r="L18" s="2"/>
    </row>
    <row r="19" spans="1:12" x14ac:dyDescent="0.25">
      <c r="A19" s="4">
        <f>Tabell6[[#This Row],[Avläsnings datum]]</f>
        <v>42247</v>
      </c>
      <c r="B19">
        <v>6565</v>
      </c>
      <c r="C19">
        <f t="shared" si="1"/>
        <v>6501</v>
      </c>
      <c r="D19">
        <f t="shared" si="0"/>
        <v>64</v>
      </c>
      <c r="E19" s="3">
        <f>Tabell6[[#This Row],[Att fördela]]</f>
        <v>-2.2857142857142856</v>
      </c>
      <c r="F19">
        <f>Tabell6[[#This Row],[Pris/m3 ink.moms]]</f>
        <v>14.9625</v>
      </c>
      <c r="G19" s="2">
        <f>(Tabell4101112[[#This Row],[Förbrukning]]+Tabell4101112[[#This Row],[Utjämning]])*Tabell4101112[[#This Row],[Kr/m3]]</f>
        <v>923.40000000000009</v>
      </c>
      <c r="H19" s="2">
        <f>Tabell6[[#This Row],[Summa fast avg/hushåll]]</f>
        <v>547.85714285714289</v>
      </c>
      <c r="I19" s="2">
        <f>Tabell6[[#This Row],[Medlems avg]]/14</f>
        <v>600</v>
      </c>
      <c r="J19" s="2">
        <f>Lån!D50</f>
        <v>616.28571428571433</v>
      </c>
      <c r="K19" s="2">
        <f>IF(Tabell4101112[[#This Row],[Nuvarande]], SUM(Tabell4101112[[#This Row],[Summa förbrukning]:[Lån]])+Tabell4101112[[#This Row],[Korr]],0)</f>
        <v>2687.542857142857</v>
      </c>
      <c r="L19" s="2"/>
    </row>
    <row r="20" spans="1:12" x14ac:dyDescent="0.25">
      <c r="A20" s="4">
        <f>Tabell6[[#This Row],[Avläsnings datum]]</f>
        <v>42369</v>
      </c>
      <c r="B20">
        <v>6627</v>
      </c>
      <c r="C20">
        <f t="shared" si="1"/>
        <v>6565</v>
      </c>
      <c r="D20">
        <f t="shared" si="0"/>
        <v>62</v>
      </c>
      <c r="E20" s="3">
        <f>Tabell6[[#This Row],[Att fördela]]</f>
        <v>-2.8571428571428572</v>
      </c>
      <c r="F20">
        <f>Tabell6[[#This Row],[Pris/m3 ink.moms]]</f>
        <v>14.9625</v>
      </c>
      <c r="G20" s="2">
        <f>(Tabell4101112[[#This Row],[Förbrukning]]+Tabell4101112[[#This Row],[Utjämning]])*Tabell4101112[[#This Row],[Kr/m3]]</f>
        <v>884.92500000000007</v>
      </c>
      <c r="H20" s="2">
        <f>Tabell6[[#This Row],[Summa fast avg/hushåll]]</f>
        <v>547.85714285714289</v>
      </c>
      <c r="I20" s="2">
        <f>Tabell6[[#This Row],[Medlems avg]]/14</f>
        <v>600</v>
      </c>
      <c r="J20" s="26">
        <f>Lån!D54</f>
        <v>599.71428571428567</v>
      </c>
      <c r="K20" s="2">
        <f>IF(Tabell4101112[[#This Row],[Nuvarande]], SUM(Tabell4101112[[#This Row],[Summa förbrukning]:[Lån]])+Tabell4101112[[#This Row],[Korr]],0)</f>
        <v>2632.4964285714286</v>
      </c>
      <c r="L20" s="2"/>
    </row>
    <row r="21" spans="1:12" x14ac:dyDescent="0.25">
      <c r="A21" s="4">
        <v>42490</v>
      </c>
      <c r="B21">
        <v>6707</v>
      </c>
      <c r="C21">
        <f t="shared" si="1"/>
        <v>6627</v>
      </c>
      <c r="D21">
        <f t="shared" si="0"/>
        <v>80</v>
      </c>
      <c r="E21" s="3">
        <f>Tabell6[[#This Row],[Att fördela]]</f>
        <v>-3.5</v>
      </c>
      <c r="F21">
        <f>Tabell6[[#This Row],[Pris/m3 ink.moms]]</f>
        <v>14.9625</v>
      </c>
      <c r="G21" s="2">
        <f>(Tabell4101112[[#This Row],[Förbrukning]]+Tabell4101112[[#This Row],[Utjämning]])*Tabell4101112[[#This Row],[Kr/m3]]</f>
        <v>1144.6312500000001</v>
      </c>
      <c r="H21" s="2">
        <f>Tabell6[[#This Row],[Summa fast avg/hushåll]]</f>
        <v>547.85714285714289</v>
      </c>
      <c r="I21" s="2">
        <f>Tabell6[[#This Row],[Medlems avg]]/14</f>
        <v>600</v>
      </c>
      <c r="J21" s="26">
        <f>Lån!D58</f>
        <v>578.57142857142856</v>
      </c>
      <c r="K21" s="2">
        <f>IF(Tabell4101112[[#This Row],[Nuvarande]], SUM(Tabell4101112[[#This Row],[Summa förbrukning]:[Lån]])+Tabell4101112[[#This Row],[Korr]],0)</f>
        <v>3043.1017857142856</v>
      </c>
      <c r="L21" s="2">
        <f>K19-K18</f>
        <v>172.04196428571413</v>
      </c>
    </row>
    <row r="22" spans="1:12" x14ac:dyDescent="0.25">
      <c r="A22" s="4">
        <v>42613</v>
      </c>
      <c r="B22">
        <v>6737</v>
      </c>
      <c r="C22">
        <f t="shared" si="1"/>
        <v>6707</v>
      </c>
      <c r="D22">
        <f t="shared" ref="D22:D32" si="3">IF(B22-C22&lt;0,0,B22-C22)</f>
        <v>30</v>
      </c>
      <c r="E22" s="3">
        <f>Tabell6[[#This Row],[Att fördela]]</f>
        <v>-1.0714285714285714</v>
      </c>
      <c r="F22">
        <f>Tabell6[[#This Row],[Pris/m3 ink.moms]]</f>
        <v>14.9625</v>
      </c>
      <c r="G22" s="2">
        <f>(Tabell4101112[[#This Row],[Förbrukning]]+Tabell4101112[[#This Row],[Utjämning]])*Tabell4101112[[#This Row],[Kr/m3]]</f>
        <v>432.84375</v>
      </c>
      <c r="H22" s="2">
        <f>Tabell6[[#This Row],[Summa fast avg/hushåll]]</f>
        <v>547.85714285714289</v>
      </c>
      <c r="I22" s="2">
        <f>Tabell6[[#This Row],[Medlems avg]]/14</f>
        <v>600</v>
      </c>
      <c r="J22" s="26">
        <f>Lån!D62</f>
        <v>568.57142857142856</v>
      </c>
      <c r="K22" s="2">
        <f>IF(Tabell4101112[[#This Row],[Nuvarande]], SUM(Tabell4101112[[#This Row],[Summa förbrukning]:[Lån]])+Tabell4101112[[#This Row],[Korr]],0)</f>
        <v>2149.2723214285716</v>
      </c>
      <c r="L22" s="2"/>
    </row>
    <row r="23" spans="1:12" x14ac:dyDescent="0.25">
      <c r="A23" s="4">
        <v>42735</v>
      </c>
      <c r="B23">
        <v>6793</v>
      </c>
      <c r="C23">
        <f t="shared" ref="C23:C32" si="4">B22</f>
        <v>6737</v>
      </c>
      <c r="D23">
        <f t="shared" si="3"/>
        <v>56</v>
      </c>
      <c r="E23" s="3">
        <f>Tabell6[[#This Row],[Att fördela]]</f>
        <v>-3.7142857142857144</v>
      </c>
      <c r="F23">
        <f>Tabell6[[#This Row],[Pris/m3 ink.moms]]</f>
        <v>14.9625</v>
      </c>
      <c r="G23" s="2">
        <f>(Tabell4101112[[#This Row],[Förbrukning]]+Tabell4101112[[#This Row],[Utjämning]])*Tabell4101112[[#This Row],[Kr/m3]]</f>
        <v>782.32500000000005</v>
      </c>
      <c r="H23" s="2">
        <f>Tabell6[[#This Row],[Summa fast avg/hushåll]]</f>
        <v>547.85714285714289</v>
      </c>
      <c r="I23" s="2">
        <f>Tabell6[[#This Row],[Medlems avg]]/14</f>
        <v>600</v>
      </c>
      <c r="J23" s="26">
        <f>Lån!D66</f>
        <v>556.14285714285711</v>
      </c>
      <c r="K23" s="2">
        <f>IF(Tabell4101112[[#This Row],[Nuvarande]], SUM(Tabell4101112[[#This Row],[Summa förbrukning]:[Lån]])+Tabell4101112[[#This Row],[Korr]],0)</f>
        <v>2486.3249999999998</v>
      </c>
      <c r="L23" s="2"/>
    </row>
    <row r="24" spans="1:12" x14ac:dyDescent="0.25">
      <c r="A24" s="4">
        <v>42855</v>
      </c>
      <c r="B24">
        <v>6847</v>
      </c>
      <c r="C24">
        <f t="shared" si="4"/>
        <v>6793</v>
      </c>
      <c r="D24">
        <f t="shared" si="3"/>
        <v>54</v>
      </c>
      <c r="E24" s="3">
        <f>Tabell6[[#This Row],[Att fördela]]</f>
        <v>-2</v>
      </c>
      <c r="F24">
        <f>Tabell6[[#This Row],[Pris/m3 ink.moms]]</f>
        <v>14.9625</v>
      </c>
      <c r="G24" s="2">
        <f>(Tabell4101112[[#This Row],[Förbrukning]]+Tabell4101112[[#This Row],[Utjämning]])*Tabell4101112[[#This Row],[Kr/m3]]</f>
        <v>778.05000000000007</v>
      </c>
      <c r="H24" s="2">
        <f>Tabell6[[#This Row],[Summa fast avg/hushåll]]</f>
        <v>547.85714285714289</v>
      </c>
      <c r="I24" s="2">
        <f>Tabell6[[#This Row],[Medlems avg]]/14</f>
        <v>700</v>
      </c>
      <c r="J24" s="26">
        <f>Lån!D70</f>
        <v>543.71428571428567</v>
      </c>
      <c r="K24" s="2">
        <f>IF(Tabell4101112[[#This Row],[Nuvarande]], SUM(Tabell4101112[[#This Row],[Summa förbrukning]:[Lån]])+Tabell4101112[[#This Row],[Korr]],0)</f>
        <v>2569.6214285714286</v>
      </c>
      <c r="L24" s="2"/>
    </row>
    <row r="25" spans="1:12" x14ac:dyDescent="0.25">
      <c r="A25" s="4">
        <v>42978</v>
      </c>
      <c r="B25">
        <v>6904</v>
      </c>
      <c r="C25">
        <f t="shared" si="4"/>
        <v>6847</v>
      </c>
      <c r="D25">
        <f t="shared" si="3"/>
        <v>57</v>
      </c>
      <c r="E25" s="3">
        <f>Tabell6[[#This Row],[Att fördela]]</f>
        <v>-3.3571428571428572</v>
      </c>
      <c r="F25">
        <f>Tabell6[[#This Row],[Pris/m3 ink.moms]]</f>
        <v>14.9625</v>
      </c>
      <c r="G25" s="2">
        <f>(Tabell4101112[[#This Row],[Förbrukning]]+Tabell4101112[[#This Row],[Utjämning]])*Tabell4101112[[#This Row],[Kr/m3]]</f>
        <v>802.63125000000002</v>
      </c>
      <c r="H25" s="2">
        <f>Tabell6[[#This Row],[Summa fast avg/hushåll]]</f>
        <v>547.85714285714289</v>
      </c>
      <c r="I25" s="2">
        <f>Tabell6[[#This Row],[Medlems avg]]/14</f>
        <v>700</v>
      </c>
      <c r="J25" s="26">
        <f>Lån!D74</f>
        <v>527</v>
      </c>
      <c r="K25" s="2">
        <f>IF(Tabell4101112[[#This Row],[Nuvarande]], SUM(Tabell4101112[[#This Row],[Summa förbrukning]:[Lån]])+Tabell4101112[[#This Row],[Korr]],0)</f>
        <v>2577.488392857143</v>
      </c>
      <c r="L25" s="2"/>
    </row>
    <row r="26" spans="1:12" x14ac:dyDescent="0.25">
      <c r="A26" s="4">
        <v>43100</v>
      </c>
      <c r="B26">
        <v>6960</v>
      </c>
      <c r="C26">
        <f t="shared" si="4"/>
        <v>6904</v>
      </c>
      <c r="D26">
        <f t="shared" si="3"/>
        <v>56</v>
      </c>
      <c r="E26" s="3">
        <f>Tabell6[[#This Row],[Att fördela]]</f>
        <v>-1.8571428571428572</v>
      </c>
      <c r="F26">
        <f>Tabell6[[#This Row],[Pris/m3 ink.moms]]</f>
        <v>14.9625</v>
      </c>
      <c r="G26" s="2">
        <f>(Tabell4101112[[#This Row],[Förbrukning]]+Tabell4101112[[#This Row],[Utjämning]])*Tabell4101112[[#This Row],[Kr/m3]]</f>
        <v>810.11250000000007</v>
      </c>
      <c r="H26" s="2">
        <f>Tabell6[[#This Row],[Summa fast avg/hushåll]]</f>
        <v>547.85714285714289</v>
      </c>
      <c r="I26" s="2">
        <f>Tabell6[[#This Row],[Medlems avg]]/14</f>
        <v>700</v>
      </c>
      <c r="J26" s="26">
        <f>Lån!D78</f>
        <v>387.57142857142856</v>
      </c>
      <c r="K26" s="2">
        <f>IF(Tabell4101112[[#This Row],[Nuvarande]], SUM(Tabell4101112[[#This Row],[Summa förbrukning]:[Lån]])+Tabell4101112[[#This Row],[Korr]],0)</f>
        <v>2445.5410714285713</v>
      </c>
      <c r="L26" s="2"/>
    </row>
    <row r="27" spans="1:12" x14ac:dyDescent="0.25">
      <c r="A27" s="4">
        <v>43220</v>
      </c>
      <c r="B27">
        <v>6992</v>
      </c>
      <c r="C27">
        <f t="shared" si="4"/>
        <v>6960</v>
      </c>
      <c r="D27">
        <f t="shared" si="3"/>
        <v>32</v>
      </c>
      <c r="E27" s="3">
        <f>Tabell6[[#This Row],[Att fördela]]</f>
        <v>-2.5714285714285716</v>
      </c>
      <c r="F27">
        <f>Tabell6[[#This Row],[Pris/m3 ink.moms]]</f>
        <v>14.9625</v>
      </c>
      <c r="G27" s="2">
        <f>(Tabell4101112[[#This Row],[Förbrukning]]+Tabell4101112[[#This Row],[Utjämning]])*Tabell4101112[[#This Row],[Kr/m3]]</f>
        <v>440.32499999999999</v>
      </c>
      <c r="H27" s="2">
        <f>Tabell6[[#This Row],[Summa fast avg/hushåll]]</f>
        <v>547.85714285714289</v>
      </c>
      <c r="I27" s="2">
        <f>Tabell6[[#This Row],[Medlems avg]]/14</f>
        <v>1000</v>
      </c>
      <c r="J27" s="2"/>
      <c r="K27" s="2">
        <f>IF(Tabell4101112[[#This Row],[Nuvarande]], SUM(Tabell4101112[[#This Row],[Summa förbrukning]:[Lån]])+Tabell4101112[[#This Row],[Korr]],0)</f>
        <v>1988.1821428571429</v>
      </c>
      <c r="L27" s="2"/>
    </row>
    <row r="28" spans="1:12" x14ac:dyDescent="0.25">
      <c r="A28" s="4">
        <v>43343</v>
      </c>
      <c r="B28">
        <v>7046</v>
      </c>
      <c r="C28">
        <f t="shared" si="4"/>
        <v>6992</v>
      </c>
      <c r="D28">
        <f t="shared" si="3"/>
        <v>54</v>
      </c>
      <c r="E28" s="3">
        <f>Tabell6[[#This Row],[Att fördela]]</f>
        <v>-2.2142857142857144</v>
      </c>
      <c r="F28">
        <f>Tabell6[[#This Row],[Pris/m3 ink.moms]]</f>
        <v>14.9625</v>
      </c>
      <c r="G28" s="2">
        <f>(Tabell4101112[[#This Row],[Förbrukning]]+Tabell4101112[[#This Row],[Utjämning]])*Tabell4101112[[#This Row],[Kr/m3]]</f>
        <v>774.84375</v>
      </c>
      <c r="H28" s="2">
        <f>Tabell6[[#This Row],[Summa fast avg/hushåll]]</f>
        <v>547.85714285714289</v>
      </c>
      <c r="I28" s="2">
        <f>Tabell6[[#This Row],[Medlems avg]]/14</f>
        <v>1000</v>
      </c>
      <c r="J28" s="2"/>
      <c r="K28" s="2">
        <f>IF(Tabell4101112[[#This Row],[Nuvarande]], SUM(Tabell4101112[[#This Row],[Summa förbrukning]:[Lån]])+Tabell4101112[[#This Row],[Korr]],0)</f>
        <v>2322.7008928571431</v>
      </c>
      <c r="L28" s="2"/>
    </row>
    <row r="29" spans="1:12" x14ac:dyDescent="0.25">
      <c r="A29" s="4">
        <v>43465</v>
      </c>
      <c r="B29">
        <v>7060</v>
      </c>
      <c r="C29">
        <f t="shared" si="4"/>
        <v>7046</v>
      </c>
      <c r="D29">
        <f t="shared" si="3"/>
        <v>14</v>
      </c>
      <c r="E29" s="3">
        <f>Tabell6[[#This Row],[Att fördela]]</f>
        <v>-1.5</v>
      </c>
      <c r="F29">
        <f>Tabell6[[#This Row],[Pris/m3 ink.moms]]</f>
        <v>15.780000000000001</v>
      </c>
      <c r="G29" s="2">
        <f>(Tabell4101112[[#This Row],[Förbrukning]]+Tabell4101112[[#This Row],[Utjämning]])*Tabell4101112[[#This Row],[Kr/m3]]</f>
        <v>197.25</v>
      </c>
      <c r="H29" s="2">
        <f>Tabell6[[#This Row],[Summa fast avg/hushåll]]</f>
        <v>547.85714285714289</v>
      </c>
      <c r="I29" s="2">
        <f>Tabell6[[#This Row],[Medlems avg]]/14</f>
        <v>1000</v>
      </c>
      <c r="J29" s="2"/>
      <c r="K29" s="2">
        <f>IF(Tabell4101112[[#This Row],[Nuvarande]], SUM(Tabell4101112[[#This Row],[Summa förbrukning]:[Lån]])+Tabell4101112[[#This Row],[Korr]],0)</f>
        <v>1745.1071428571429</v>
      </c>
      <c r="L29" s="2"/>
    </row>
    <row r="30" spans="1:12" x14ac:dyDescent="0.25">
      <c r="A30" s="4">
        <v>43585</v>
      </c>
      <c r="B30">
        <v>7160</v>
      </c>
      <c r="C30">
        <f t="shared" si="4"/>
        <v>7060</v>
      </c>
      <c r="D30">
        <f t="shared" si="3"/>
        <v>100</v>
      </c>
      <c r="E30" s="3">
        <f>Tabell6[[#This Row],[Att fördela]]</f>
        <v>-7.2857142857142856</v>
      </c>
      <c r="F30">
        <f>Tabell6[[#This Row],[Pris/m3 ink.moms]]</f>
        <v>15.780000000000001</v>
      </c>
      <c r="G30" s="2">
        <f>(Tabell4101112[[#This Row],[Förbrukning]]+Tabell4101112[[#This Row],[Utjämning]])*Tabell4101112[[#This Row],[Kr/m3]]</f>
        <v>1463.0314285714285</v>
      </c>
      <c r="H30" s="2">
        <f>Tabell6[[#This Row],[Summa fast avg/hushåll]]</f>
        <v>578.16714285714284</v>
      </c>
      <c r="I30" s="2">
        <f>Tabell6[[#This Row],[Medlems avg]]/14</f>
        <v>1000</v>
      </c>
      <c r="J30" s="2"/>
      <c r="K30" s="2">
        <f>IF(Tabell4101112[[#This Row],[Nuvarande]], SUM(Tabell4101112[[#This Row],[Summa förbrukning]:[Lån]])+Tabell4101112[[#This Row],[Korr]],0)</f>
        <v>3041.1985714285711</v>
      </c>
      <c r="L30" s="2"/>
    </row>
    <row r="31" spans="1:12" x14ac:dyDescent="0.25">
      <c r="A31" s="4">
        <v>43708</v>
      </c>
      <c r="B31">
        <v>0</v>
      </c>
      <c r="C31">
        <v>0</v>
      </c>
      <c r="D31">
        <v>54</v>
      </c>
      <c r="E31" s="3">
        <f>Tabell6[[#This Row],[Att fördela]]</f>
        <v>-3.4285714285714284</v>
      </c>
      <c r="F31">
        <f>Tabell6[[#This Row],[Pris/m3 ink.moms]]</f>
        <v>15.780000000000001</v>
      </c>
      <c r="G31" s="2">
        <f>(Tabell4101112[[#This Row],[Förbrukning]]+Tabell4101112[[#This Row],[Utjämning]])*Tabell4101112[[#This Row],[Kr/m3]]</f>
        <v>798.01714285714286</v>
      </c>
      <c r="H31" s="2">
        <f>Tabell6[[#This Row],[Summa fast avg/hushåll]]</f>
        <v>578.16714285714284</v>
      </c>
      <c r="I31" s="2">
        <f>Tabell6[[#This Row],[Medlems avg]]/14</f>
        <v>1000</v>
      </c>
      <c r="J31" s="2"/>
      <c r="K31" s="2">
        <f>IF(Tabell4101112[[#This Row],[Nuvarande]], SUM(Tabell4101112[[#This Row],[Summa förbrukning]:[Lån]])+Tabell4101112[[#This Row],[Korr]],0)</f>
        <v>0</v>
      </c>
      <c r="L31" s="2"/>
    </row>
    <row r="32" spans="1:12" x14ac:dyDescent="0.25">
      <c r="A32" s="4">
        <v>43830</v>
      </c>
      <c r="B32">
        <v>29</v>
      </c>
      <c r="C32">
        <f t="shared" si="4"/>
        <v>0</v>
      </c>
      <c r="D32">
        <f t="shared" si="3"/>
        <v>29</v>
      </c>
      <c r="E32" s="3">
        <f>Tabell6[[#This Row],[Att fördela]]</f>
        <v>-3</v>
      </c>
      <c r="F32">
        <f>Tabell6[[#This Row],[Pris/m3 ink.moms]]</f>
        <v>15.780000000000001</v>
      </c>
      <c r="G32" s="2">
        <f>(Tabell4101112[[#This Row],[Förbrukning]]+Tabell4101112[[#This Row],[Utjämning]])*Tabell4101112[[#This Row],[Kr/m3]]</f>
        <v>410.28000000000003</v>
      </c>
      <c r="H32" s="2">
        <f>Tabell6[[#This Row],[Summa fast avg/hushåll]]</f>
        <v>578.16714285714284</v>
      </c>
      <c r="I32" s="2">
        <f>Tabell6[[#This Row],[Medlems avg]]/14</f>
        <v>1000</v>
      </c>
      <c r="J32" s="2"/>
      <c r="K32" s="2">
        <f>IF(Tabell4101112[[#This Row],[Nuvarande]], SUM(Tabell4101112[[#This Row],[Summa förbrukning]:[Lån]])+Tabell4101112[[#This Row],[Korr]],0)</f>
        <v>1988.4471428571428</v>
      </c>
      <c r="L32" s="2"/>
    </row>
    <row r="33" spans="1:12" x14ac:dyDescent="0.25">
      <c r="A33" s="4">
        <f>Tabell6[[#This Row],[Avläsnings datum]]</f>
        <v>43951</v>
      </c>
      <c r="B33">
        <v>57</v>
      </c>
      <c r="C33">
        <f t="shared" ref="C33:C60" si="5">B32</f>
        <v>29</v>
      </c>
      <c r="D33">
        <f t="shared" ref="D33:D60" si="6">IF(B33-C33&lt;0,0,B33-C33)</f>
        <v>28</v>
      </c>
      <c r="E33" s="3">
        <f>Tabell6[[#This Row],[Att fördela]]</f>
        <v>-1.9285714285714286</v>
      </c>
      <c r="F33">
        <f>Tabell6[[#This Row],[Pris/m3 ink.moms]]</f>
        <v>15.780000000000001</v>
      </c>
      <c r="G33" s="2">
        <f>(Tabell4101112[[#This Row],[Förbrukning]]+Tabell4101112[[#This Row],[Utjämning]])*Tabell4101112[[#This Row],[Kr/m3]]</f>
        <v>411.4071428571429</v>
      </c>
      <c r="H33" s="2">
        <f>Tabell6[[#This Row],[Summa fast avg/hushåll]]</f>
        <v>578.16714285714284</v>
      </c>
      <c r="I33" s="2">
        <f>Tabell6[[#This Row],[Medlems avg]]/14</f>
        <v>1000</v>
      </c>
      <c r="J33" s="2"/>
      <c r="K33" s="2">
        <f>IF(Tabell4101112[[#This Row],[Nuvarande]], SUM(Tabell4101112[[#This Row],[Summa förbrukning]:[Lån]])+Tabell4101112[[#This Row],[Korr]],0)</f>
        <v>1989.5742857142857</v>
      </c>
      <c r="L33" s="2"/>
    </row>
    <row r="34" spans="1:12" x14ac:dyDescent="0.25">
      <c r="A34" s="4">
        <f>Tabell6[[#This Row],[Avläsnings datum]]</f>
        <v>44074</v>
      </c>
      <c r="B34">
        <v>98</v>
      </c>
      <c r="C34">
        <f t="shared" si="5"/>
        <v>57</v>
      </c>
      <c r="D34">
        <f t="shared" si="6"/>
        <v>41</v>
      </c>
      <c r="E34" s="3">
        <f>Tabell6[[#This Row],[Att fördela]]</f>
        <v>-1.8571428571428572</v>
      </c>
      <c r="F34">
        <f>Tabell6[[#This Row],[Pris/m3 ink.moms]]</f>
        <v>15.780000000000001</v>
      </c>
      <c r="G34" s="2">
        <f>(Tabell4101112[[#This Row],[Förbrukning]]+Tabell4101112[[#This Row],[Utjämning]])*Tabell4101112[[#This Row],[Kr/m3]]</f>
        <v>617.67428571428582</v>
      </c>
      <c r="H34" s="2">
        <f>Tabell6[[#This Row],[Summa fast avg/hushåll]]</f>
        <v>578.16714285714284</v>
      </c>
      <c r="I34" s="2">
        <f>Tabell6[[#This Row],[Medlems avg]]/14</f>
        <v>1000</v>
      </c>
      <c r="J34" s="2"/>
      <c r="K34" s="2">
        <f>IF(Tabell4101112[[#This Row],[Nuvarande]], SUM(Tabell4101112[[#This Row],[Summa förbrukning]:[Lån]])+Tabell4101112[[#This Row],[Korr]],0)</f>
        <v>2195.8414285714289</v>
      </c>
      <c r="L34" s="2"/>
    </row>
    <row r="35" spans="1:12" x14ac:dyDescent="0.25">
      <c r="A35" s="4">
        <f>Tabell6[[#This Row],[Avläsnings datum]]</f>
        <v>44196</v>
      </c>
      <c r="B35">
        <v>139</v>
      </c>
      <c r="C35">
        <f t="shared" si="5"/>
        <v>98</v>
      </c>
      <c r="D35">
        <f t="shared" si="6"/>
        <v>41</v>
      </c>
      <c r="E35" s="3">
        <f>Tabell6[[#This Row],[Att fördela]]</f>
        <v>-2.2142857142857144</v>
      </c>
      <c r="F35">
        <f>Tabell6[[#This Row],[Pris/m3 ink.moms]]</f>
        <v>15.780000000000001</v>
      </c>
      <c r="G35" s="2">
        <f>(Tabell4101112[[#This Row],[Förbrukning]]+Tabell4101112[[#This Row],[Utjämning]])*Tabell4101112[[#This Row],[Kr/m3]]</f>
        <v>612.03857142857146</v>
      </c>
      <c r="H35" s="2">
        <f>Tabell6[[#This Row],[Summa fast avg/hushåll]]</f>
        <v>578.16714285714284</v>
      </c>
      <c r="I35" s="2">
        <f>Tabell6[[#This Row],[Medlems avg]]/14</f>
        <v>1000</v>
      </c>
      <c r="J35" s="2"/>
      <c r="K35" s="2">
        <f>IF(Tabell4101112[[#This Row],[Nuvarande]], SUM(Tabell4101112[[#This Row],[Summa förbrukning]:[Lån]])+Tabell4101112[[#This Row],[Korr]],0)</f>
        <v>2190.2057142857143</v>
      </c>
      <c r="L35" s="2"/>
    </row>
    <row r="36" spans="1:12" x14ac:dyDescent="0.25">
      <c r="A36" s="4">
        <f>Tabell6[[#This Row],[Avläsnings datum]]</f>
        <v>44316</v>
      </c>
      <c r="B36">
        <v>173</v>
      </c>
      <c r="C36">
        <f t="shared" si="5"/>
        <v>139</v>
      </c>
      <c r="D36">
        <f t="shared" si="6"/>
        <v>34</v>
      </c>
      <c r="E36" s="3">
        <f>Tabell6[[#This Row],[Att fördela]]</f>
        <v>-1.0714285714285714</v>
      </c>
      <c r="F36">
        <f>Tabell6[[#This Row],[Pris/m3 ink.moms]]</f>
        <v>15.780000000000001</v>
      </c>
      <c r="G36" s="2">
        <f>(Tabell4101112[[#This Row],[Förbrukning]]+Tabell4101112[[#This Row],[Utjämning]])*Tabell4101112[[#This Row],[Kr/m3]]</f>
        <v>519.61285714285725</v>
      </c>
      <c r="H36" s="2">
        <f>Tabell6[[#This Row],[Summa fast avg/hushåll]]</f>
        <v>578.16714285714284</v>
      </c>
      <c r="I36" s="2">
        <f>Tabell6[[#This Row],[Medlems avg]]/14</f>
        <v>1000</v>
      </c>
      <c r="J36" s="2"/>
      <c r="K36" s="2">
        <f>IF(Tabell4101112[[#This Row],[Nuvarande]], SUM(Tabell4101112[[#This Row],[Summa förbrukning]:[Lån]])+Tabell4101112[[#This Row],[Korr]],0)</f>
        <v>2097.7800000000002</v>
      </c>
      <c r="L36" s="2"/>
    </row>
    <row r="37" spans="1:12" x14ac:dyDescent="0.25">
      <c r="A37" s="4">
        <f>Tabell6[[#This Row],[Avläsnings datum]]</f>
        <v>44439</v>
      </c>
      <c r="B37">
        <v>221</v>
      </c>
      <c r="C37">
        <f t="shared" si="5"/>
        <v>173</v>
      </c>
      <c r="D37">
        <f t="shared" si="6"/>
        <v>48</v>
      </c>
      <c r="E37" s="3">
        <f>Tabell6[[#This Row],[Att fördela]]</f>
        <v>-2.4285714285714284</v>
      </c>
      <c r="F37">
        <f>Tabell6[[#This Row],[Pris/m3 ink.moms]]</f>
        <v>15.780000000000001</v>
      </c>
      <c r="G37" s="2">
        <f>(Tabell4101112[[#This Row],[Förbrukning]]+Tabell4101112[[#This Row],[Utjämning]])*Tabell4101112[[#This Row],[Kr/m3]]</f>
        <v>719.11714285714288</v>
      </c>
      <c r="H37" s="2">
        <f>Tabell6[[#This Row],[Summa fast avg/hushåll]]</f>
        <v>578.16714285714284</v>
      </c>
      <c r="I37" s="2">
        <f>Tabell6[[#This Row],[Medlems avg]]/14</f>
        <v>1000</v>
      </c>
      <c r="J37" s="2"/>
      <c r="K37" s="2">
        <f>IF(Tabell4101112[[#This Row],[Nuvarande]], SUM(Tabell4101112[[#This Row],[Summa förbrukning]:[Lån]])+Tabell4101112[[#This Row],[Korr]],0)</f>
        <v>2297.2842857142859</v>
      </c>
      <c r="L37" s="2"/>
    </row>
    <row r="38" spans="1:12" x14ac:dyDescent="0.25">
      <c r="A38" s="4">
        <f>Tabell6[[#This Row],[Avläsnings datum]]</f>
        <v>44561</v>
      </c>
      <c r="B38">
        <v>259</v>
      </c>
      <c r="C38">
        <f t="shared" si="5"/>
        <v>221</v>
      </c>
      <c r="D38">
        <f t="shared" si="6"/>
        <v>38</v>
      </c>
      <c r="E38" s="3">
        <f>Tabell6[[#This Row],[Att fördela]]</f>
        <v>-1.3571428571428572</v>
      </c>
      <c r="F38">
        <f>Tabell6[[#This Row],[Pris/m3 ink.moms]]</f>
        <v>15.780000000000001</v>
      </c>
      <c r="G38" s="2">
        <f>(Tabell4101112[[#This Row],[Förbrukning]]+Tabell4101112[[#This Row],[Utjämning]])*Tabell4101112[[#This Row],[Kr/m3]]</f>
        <v>578.22428571428577</v>
      </c>
      <c r="H38" s="2">
        <f>Tabell6[[#This Row],[Summa fast avg/hushåll]]</f>
        <v>578.16714285714284</v>
      </c>
      <c r="I38" s="2">
        <f>Tabell6[[#This Row],[Medlems avg]]/14</f>
        <v>1000</v>
      </c>
      <c r="J38" s="2"/>
      <c r="K38" s="2">
        <f>IF(Tabell4101112[[#This Row],[Nuvarande]], SUM(Tabell4101112[[#This Row],[Summa förbrukning]:[Lån]])+Tabell4101112[[#This Row],[Korr]],0)</f>
        <v>2156.3914285714286</v>
      </c>
      <c r="L38" s="2"/>
    </row>
    <row r="39" spans="1:12" x14ac:dyDescent="0.25">
      <c r="A39" s="4">
        <f>Tabell6[[#This Row],[Avläsnings datum]]</f>
        <v>44681</v>
      </c>
      <c r="B39">
        <v>296</v>
      </c>
      <c r="C39">
        <f t="shared" si="5"/>
        <v>259</v>
      </c>
      <c r="D39">
        <f t="shared" si="6"/>
        <v>37</v>
      </c>
      <c r="E39" s="3">
        <f>Tabell6[[#This Row],[Att fördela]]</f>
        <v>-2.7142857142857144</v>
      </c>
      <c r="F39">
        <f>Tabell6[[#This Row],[Pris/m3 ink.moms]]</f>
        <v>15.780000000000001</v>
      </c>
      <c r="G39" s="2">
        <f>(Tabell4101112[[#This Row],[Förbrukning]]+Tabell4101112[[#This Row],[Utjämning]])*Tabell4101112[[#This Row],[Kr/m3]]</f>
        <v>541.02857142857147</v>
      </c>
      <c r="H39" s="2">
        <f>Tabell6[[#This Row],[Summa fast avg/hushåll]]</f>
        <v>578.16714285714284</v>
      </c>
      <c r="I39" s="2">
        <f>Tabell6[[#This Row],[Medlems avg]]/14</f>
        <v>1000</v>
      </c>
      <c r="J39" s="2"/>
      <c r="K39" s="2">
        <f>IF(Tabell4101112[[#This Row],[Nuvarande]], SUM(Tabell4101112[[#This Row],[Summa förbrukning]:[Lån]])+Tabell4101112[[#This Row],[Korr]],0)</f>
        <v>2119.1957142857145</v>
      </c>
      <c r="L39" s="2"/>
    </row>
    <row r="40" spans="1:12" x14ac:dyDescent="0.25">
      <c r="A40" s="4">
        <f>Tabell6[[#This Row],[Avläsnings datum]]</f>
        <v>44804</v>
      </c>
      <c r="B40">
        <v>332</v>
      </c>
      <c r="C40">
        <f t="shared" si="5"/>
        <v>296</v>
      </c>
      <c r="D40">
        <f t="shared" si="6"/>
        <v>36</v>
      </c>
      <c r="E40" s="3">
        <f>Tabell6[[#This Row],[Att fördela]]</f>
        <v>-7.1428571428571425E-2</v>
      </c>
      <c r="F40">
        <f>Tabell6[[#This Row],[Pris/m3 ink.moms]]</f>
        <v>15.780000000000001</v>
      </c>
      <c r="G40" s="2">
        <f>(Tabell4101112[[#This Row],[Förbrukning]]+Tabell4101112[[#This Row],[Utjämning]])*Tabell4101112[[#This Row],[Kr/m3]]</f>
        <v>566.95285714285717</v>
      </c>
      <c r="H40" s="2">
        <f>Tabell6[[#This Row],[Summa fast avg/hushåll]]</f>
        <v>578.16714285714284</v>
      </c>
      <c r="I40" s="2">
        <f>Tabell6[[#This Row],[Medlems avg]]/14</f>
        <v>1000</v>
      </c>
      <c r="J40" s="2"/>
      <c r="K40" s="2">
        <f>IF(Tabell4101112[[#This Row],[Nuvarande]], SUM(Tabell4101112[[#This Row],[Summa förbrukning]:[Lån]])+Tabell4101112[[#This Row],[Korr]],0)</f>
        <v>2145.12</v>
      </c>
      <c r="L40" s="2"/>
    </row>
    <row r="41" spans="1:12" x14ac:dyDescent="0.25">
      <c r="A41" s="4">
        <f>Tabell6[[#This Row],[Avläsnings datum]]</f>
        <v>44926</v>
      </c>
      <c r="B41">
        <v>361</v>
      </c>
      <c r="C41">
        <f t="shared" si="5"/>
        <v>332</v>
      </c>
      <c r="D41">
        <f t="shared" si="6"/>
        <v>29</v>
      </c>
      <c r="E41" s="3">
        <f>Tabell6[[#This Row],[Att fördela]]</f>
        <v>0</v>
      </c>
      <c r="F41">
        <f>Tabell6[[#This Row],[Pris/m3 ink.moms]]</f>
        <v>15.780000000000001</v>
      </c>
      <c r="G41" s="2">
        <f>(Tabell4101112[[#This Row],[Förbrukning]]+Tabell4101112[[#This Row],[Utjämning]])*Tabell4101112[[#This Row],[Kr/m3]]</f>
        <v>457.62</v>
      </c>
      <c r="H41" s="2">
        <f>Tabell6[[#This Row],[Summa fast avg/hushåll]]</f>
        <v>578.16714285714284</v>
      </c>
      <c r="I41" s="2">
        <f>Tabell6[[#This Row],[Medlems avg]]/14</f>
        <v>1000</v>
      </c>
      <c r="J41" s="2"/>
      <c r="K41" s="2">
        <f>IF(Tabell4101112[[#This Row],[Nuvarande]], SUM(Tabell4101112[[#This Row],[Summa förbrukning]:[Lån]])+Tabell4101112[[#This Row],[Korr]],0)</f>
        <v>2035.787142857143</v>
      </c>
      <c r="L41" s="2"/>
    </row>
    <row r="42" spans="1:12" x14ac:dyDescent="0.25">
      <c r="A42" s="4">
        <f>Tabell6[[#This Row],[Avläsnings datum]]</f>
        <v>45046</v>
      </c>
      <c r="B42">
        <v>386</v>
      </c>
      <c r="C42">
        <f t="shared" si="5"/>
        <v>361</v>
      </c>
      <c r="D42">
        <f t="shared" si="6"/>
        <v>25</v>
      </c>
      <c r="E42" s="3">
        <f>Tabell6[[#This Row],[Att fördela]]</f>
        <v>0.14285714285714285</v>
      </c>
      <c r="F42">
        <f>Tabell6[[#This Row],[Pris/m3 ink.moms]]</f>
        <v>17.829999999999998</v>
      </c>
      <c r="G42" s="2">
        <f>(Tabell4101112[[#This Row],[Förbrukning]]+Tabell4101112[[#This Row],[Utjämning]])*Tabell4101112[[#This Row],[Kr/m3]]</f>
        <v>448.29714285714283</v>
      </c>
      <c r="H42" s="2">
        <f>Tabell6[[#This Row],[Summa fast avg/hushåll]]</f>
        <v>652.99952380952379</v>
      </c>
      <c r="I42" s="2">
        <f>Tabell6[[#This Row],[Medlems avg]]/14</f>
        <v>1000</v>
      </c>
      <c r="J42" s="2"/>
      <c r="K42" s="2">
        <f>IF(Tabell4101112[[#This Row],[Nuvarande]], SUM(Tabell4101112[[#This Row],[Summa förbrukning]:[Lån]])+Tabell4101112[[#This Row],[Korr]],0)</f>
        <v>2101.2966666666666</v>
      </c>
      <c r="L42" s="2"/>
    </row>
    <row r="43" spans="1:12" x14ac:dyDescent="0.25">
      <c r="A43" s="4">
        <f>Tabell6[[#This Row],[Avläsnings datum]]</f>
        <v>45169</v>
      </c>
      <c r="B43">
        <v>420</v>
      </c>
      <c r="C43">
        <f t="shared" si="5"/>
        <v>386</v>
      </c>
      <c r="D43">
        <f t="shared" si="6"/>
        <v>34</v>
      </c>
      <c r="E43" s="3">
        <f>Tabell6[[#This Row],[Att fördela]]</f>
        <v>-2.2142857142857144</v>
      </c>
      <c r="F43">
        <f>Tabell6[[#This Row],[Pris/m3 ink.moms]]</f>
        <v>17.829999999999998</v>
      </c>
      <c r="G43" s="2">
        <f>(Tabell4101112[[#This Row],[Förbrukning]]+Tabell4101112[[#This Row],[Utjämning]])*Tabell4101112[[#This Row],[Kr/m3]]</f>
        <v>566.73928571428564</v>
      </c>
      <c r="H43" s="2">
        <f>Tabell6[[#This Row],[Summa fast avg/hushåll]]</f>
        <v>652.99952380952379</v>
      </c>
      <c r="I43" s="2">
        <f>Tabell6[[#This Row],[Medlems avg]]/14</f>
        <v>1000</v>
      </c>
      <c r="J43" s="2"/>
      <c r="K43" s="2">
        <f>IF(Tabell4101112[[#This Row],[Nuvarande]], SUM(Tabell4101112[[#This Row],[Summa förbrukning]:[Lån]])+Tabell4101112[[#This Row],[Korr]],0)</f>
        <v>2219.7388095238093</v>
      </c>
      <c r="L43" s="2"/>
    </row>
    <row r="44" spans="1:12" x14ac:dyDescent="0.25">
      <c r="A44" s="4">
        <f>Tabell6[[#This Row],[Avläsnings datum]]</f>
        <v>45291</v>
      </c>
      <c r="B44">
        <v>447</v>
      </c>
      <c r="C44">
        <f t="shared" si="5"/>
        <v>420</v>
      </c>
      <c r="D44">
        <f t="shared" si="6"/>
        <v>27</v>
      </c>
      <c r="E44" s="3">
        <f>Tabell6[[#This Row],[Att fördela]]</f>
        <v>-0.7857142857142857</v>
      </c>
      <c r="F44">
        <f>Tabell6[[#This Row],[Pris/m3 ink.moms]]</f>
        <v>17.829999999999998</v>
      </c>
      <c r="G44" s="2">
        <f>(Tabell4101112[[#This Row],[Förbrukning]]+Tabell4101112[[#This Row],[Utjämning]])*Tabell4101112[[#This Row],[Kr/m3]]</f>
        <v>467.40071428571429</v>
      </c>
      <c r="H44" s="2">
        <f>Tabell6[[#This Row],[Summa fast avg/hushåll]]</f>
        <v>652.99952380952379</v>
      </c>
      <c r="I44" s="2">
        <f>Tabell6[[#This Row],[Medlems avg]]/14</f>
        <v>1000</v>
      </c>
      <c r="J44" s="2"/>
      <c r="K44" s="2">
        <f>IF(Tabell4101112[[#This Row],[Nuvarande]], SUM(Tabell4101112[[#This Row],[Summa förbrukning]:[Lån]])+Tabell4101112[[#This Row],[Korr]],0)</f>
        <v>2120.4002380952379</v>
      </c>
      <c r="L44" s="2"/>
    </row>
    <row r="45" spans="1:12" x14ac:dyDescent="0.25">
      <c r="A45" s="4">
        <f>Tabell6[[#This Row],[Avläsnings datum]]</f>
        <v>45412</v>
      </c>
      <c r="B45">
        <v>473</v>
      </c>
      <c r="C45">
        <f t="shared" si="5"/>
        <v>447</v>
      </c>
      <c r="D45">
        <f t="shared" si="6"/>
        <v>26</v>
      </c>
      <c r="E45" s="3">
        <f>Tabell6[[#This Row],[Att fördela]]</f>
        <v>-7.1428571428571425E-2</v>
      </c>
      <c r="F45">
        <f>Tabell6[[#This Row],[Pris/m3 ink.moms]]</f>
        <v>17.829999999999998</v>
      </c>
      <c r="G45" s="2">
        <f>(Tabell4101112[[#This Row],[Förbrukning]]+Tabell4101112[[#This Row],[Utjämning]])*Tabell4101112[[#This Row],[Kr/m3]]</f>
        <v>462.30642857142851</v>
      </c>
      <c r="H45" s="2">
        <f>Tabell6[[#This Row],[Summa fast avg/hushåll]]</f>
        <v>652.99952380952379</v>
      </c>
      <c r="I45" s="2">
        <f>Tabell6[[#This Row],[Medlems avg]]/14</f>
        <v>1000</v>
      </c>
      <c r="J45" s="2"/>
      <c r="K45" s="2">
        <f>IF(Tabell4101112[[#This Row],[Nuvarande]], SUM(Tabell4101112[[#This Row],[Summa förbrukning]:[Lån]])+Tabell4101112[[#This Row],[Korr]],0)</f>
        <v>2115.3059523809525</v>
      </c>
      <c r="L45" s="2"/>
    </row>
    <row r="46" spans="1:12" x14ac:dyDescent="0.25">
      <c r="A46" s="4">
        <f>Tabell6[[#This Row],[Avläsnings datum]]</f>
        <v>45535</v>
      </c>
      <c r="B46">
        <v>509</v>
      </c>
      <c r="C46">
        <f t="shared" si="5"/>
        <v>473</v>
      </c>
      <c r="D46">
        <f t="shared" si="6"/>
        <v>36</v>
      </c>
      <c r="E46" s="3">
        <f>Tabell6[[#This Row],[Att fördela]]</f>
        <v>-1.3571428571428572</v>
      </c>
      <c r="F46">
        <f>Tabell6[[#This Row],[Pris/m3 ink.moms]]</f>
        <v>21</v>
      </c>
      <c r="G46" s="2">
        <f>(Tabell4101112[[#This Row],[Förbrukning]]+Tabell4101112[[#This Row],[Utjämning]])*Tabell4101112[[#This Row],[Kr/m3]]</f>
        <v>727.50000000000011</v>
      </c>
      <c r="H46" s="2">
        <f>Tabell6[[#This Row],[Summa fast avg/hushåll]]</f>
        <v>763.97428571428566</v>
      </c>
      <c r="I46" s="2">
        <f>Tabell6[[#This Row],[Medlems avg]]/14</f>
        <v>1000</v>
      </c>
      <c r="J46" s="2"/>
      <c r="K46" s="2">
        <f>IF(Tabell4101112[[#This Row],[Nuvarande]], SUM(Tabell4101112[[#This Row],[Summa förbrukning]:[Lån]])+Tabell4101112[[#This Row],[Korr]],0)</f>
        <v>2491.4742857142855</v>
      </c>
      <c r="L46" s="2"/>
    </row>
    <row r="47" spans="1:12" x14ac:dyDescent="0.25">
      <c r="A47" s="4">
        <f>Tabell6[[#This Row],[Avläsnings datum]]</f>
        <v>45657</v>
      </c>
      <c r="B47">
        <v>538</v>
      </c>
      <c r="C47">
        <f t="shared" si="5"/>
        <v>509</v>
      </c>
      <c r="D47">
        <f t="shared" si="6"/>
        <v>29</v>
      </c>
      <c r="E47" s="3">
        <f>Tabell6[[#This Row],[Att fördela]]</f>
        <v>-1.7142857142857142</v>
      </c>
      <c r="F47">
        <f>Tabell6[[#This Row],[Pris/m3 ink.moms]]</f>
        <v>21</v>
      </c>
      <c r="G47" s="2">
        <f>(Tabell4101112[[#This Row],[Förbrukning]]+Tabell4101112[[#This Row],[Utjämning]])*Tabell4101112[[#This Row],[Kr/m3]]</f>
        <v>573</v>
      </c>
      <c r="H47" s="2">
        <f>Tabell6[[#This Row],[Summa fast avg/hushåll]]</f>
        <v>763.97428571428566</v>
      </c>
      <c r="I47" s="2">
        <f>Tabell6[[#This Row],[Medlems avg]]/14</f>
        <v>1000</v>
      </c>
      <c r="J47" s="2"/>
      <c r="K47" s="2">
        <f>IF(Tabell4101112[[#This Row],[Nuvarande]], SUM(Tabell4101112[[#This Row],[Summa förbrukning]:[Lån]])+Tabell4101112[[#This Row],[Korr]],0)</f>
        <v>2336.9742857142855</v>
      </c>
      <c r="L47" s="2"/>
    </row>
    <row r="48" spans="1:12" x14ac:dyDescent="0.25">
      <c r="A48" s="4">
        <f>Tabell6[[#This Row],[Avläsnings datum]]</f>
        <v>45777</v>
      </c>
      <c r="B48">
        <v>567</v>
      </c>
      <c r="C48">
        <f t="shared" si="5"/>
        <v>538</v>
      </c>
      <c r="D48">
        <f t="shared" si="6"/>
        <v>29</v>
      </c>
      <c r="E48" s="3">
        <f>Tabell6[[#This Row],[Att fördela]]</f>
        <v>-1.5</v>
      </c>
      <c r="F48">
        <f>Tabell6[[#This Row],[Pris/m3 ink.moms]]</f>
        <v>24</v>
      </c>
      <c r="G48" s="2">
        <f>(Tabell4101112[[#This Row],[Förbrukning]]+Tabell4101112[[#This Row],[Utjämning]])*Tabell4101112[[#This Row],[Kr/m3]]</f>
        <v>660</v>
      </c>
      <c r="H48" s="2">
        <f>Tabell6[[#This Row],[Summa fast avg/hushåll]]</f>
        <v>879.14738095238101</v>
      </c>
      <c r="I48" s="2">
        <f>Tabell6[[#This Row],[Medlems avg]]/14</f>
        <v>1000</v>
      </c>
      <c r="J48" s="2"/>
      <c r="K48" s="2">
        <f>IF(Tabell4101112[[#This Row],[Nuvarande]], SUM(Tabell4101112[[#This Row],[Summa förbrukning]:[Lån]])+Tabell4101112[[#This Row],[Korr]],0)</f>
        <v>2539.1473809523809</v>
      </c>
      <c r="L48" s="2"/>
    </row>
    <row r="49" spans="1:12" x14ac:dyDescent="0.25">
      <c r="A49" s="4">
        <f>Tabell6[[#This Row],[Avläsnings datum]]</f>
        <v>45900</v>
      </c>
      <c r="C49">
        <f t="shared" si="5"/>
        <v>567</v>
      </c>
      <c r="D49">
        <f t="shared" si="6"/>
        <v>0</v>
      </c>
      <c r="E49" s="3">
        <f>Tabell6[[#This Row],[Att fördela]]</f>
        <v>0</v>
      </c>
      <c r="F49">
        <f>Tabell6[[#This Row],[Pris/m3 ink.moms]]</f>
        <v>24</v>
      </c>
      <c r="G49" s="2">
        <f>(Tabell4101112[[#This Row],[Förbrukning]]+Tabell4101112[[#This Row],[Utjämning]])*Tabell4101112[[#This Row],[Kr/m3]]</f>
        <v>0</v>
      </c>
      <c r="H49" s="2">
        <f>Tabell6[[#This Row],[Summa fast avg/hushåll]]</f>
        <v>879.14738095238101</v>
      </c>
      <c r="I49" s="2">
        <f>Tabell6[[#This Row],[Medlems avg]]/14</f>
        <v>1000</v>
      </c>
      <c r="J49" s="2"/>
      <c r="K49" s="2">
        <f>IF(Tabell4101112[[#This Row],[Nuvarande]], SUM(Tabell4101112[[#This Row],[Summa förbrukning]:[Lån]])+Tabell4101112[[#This Row],[Korr]],0)</f>
        <v>0</v>
      </c>
      <c r="L49" s="2"/>
    </row>
    <row r="50" spans="1:12" x14ac:dyDescent="0.25">
      <c r="A50" s="4">
        <f>Tabell6[[#This Row],[Avläsnings datum]]</f>
        <v>46022</v>
      </c>
      <c r="C50">
        <f t="shared" si="5"/>
        <v>0</v>
      </c>
      <c r="D50">
        <f t="shared" si="6"/>
        <v>0</v>
      </c>
      <c r="E50" s="3">
        <f>Tabell6[[#This Row],[Att fördela]]</f>
        <v>0</v>
      </c>
      <c r="F50">
        <f>Tabell6[[#This Row],[Pris/m3 ink.moms]]</f>
        <v>24</v>
      </c>
      <c r="G50" s="2">
        <f>(Tabell4101112[[#This Row],[Förbrukning]]+Tabell4101112[[#This Row],[Utjämning]])*Tabell4101112[[#This Row],[Kr/m3]]</f>
        <v>0</v>
      </c>
      <c r="H50" s="2">
        <f>Tabell6[[#This Row],[Summa fast avg/hushåll]]</f>
        <v>879.14738095238101</v>
      </c>
      <c r="I50" s="2">
        <f>Tabell6[[#This Row],[Medlems avg]]/14</f>
        <v>1000</v>
      </c>
      <c r="J50" s="2"/>
      <c r="K50" s="2">
        <f>IF(Tabell4101112[[#This Row],[Nuvarande]], SUM(Tabell4101112[[#This Row],[Summa förbrukning]:[Lån]])+Tabell4101112[[#This Row],[Korr]],0)</f>
        <v>0</v>
      </c>
      <c r="L50" s="2"/>
    </row>
    <row r="51" spans="1:12" x14ac:dyDescent="0.25">
      <c r="A51" s="4">
        <f>Tabell6[[#This Row],[Avläsnings datum]]</f>
        <v>46142</v>
      </c>
      <c r="C51">
        <f t="shared" si="5"/>
        <v>0</v>
      </c>
      <c r="D51">
        <f t="shared" si="6"/>
        <v>0</v>
      </c>
      <c r="E51" s="3">
        <f>Tabell6[[#This Row],[Att fördela]]</f>
        <v>0</v>
      </c>
      <c r="F51">
        <f>Tabell6[[#This Row],[Pris/m3 ink.moms]]</f>
        <v>24</v>
      </c>
      <c r="G51" s="2">
        <f>(Tabell4101112[[#This Row],[Förbrukning]]+Tabell4101112[[#This Row],[Utjämning]])*Tabell4101112[[#This Row],[Kr/m3]]</f>
        <v>0</v>
      </c>
      <c r="H51" s="2">
        <f>Tabell6[[#This Row],[Summa fast avg/hushåll]]</f>
        <v>879.14738095238101</v>
      </c>
      <c r="I51" s="2">
        <f>Tabell6[[#This Row],[Medlems avg]]/14</f>
        <v>1000</v>
      </c>
      <c r="J51" s="2"/>
      <c r="K51" s="2">
        <f>IF(Tabell4101112[[#This Row],[Nuvarande]], SUM(Tabell4101112[[#This Row],[Summa förbrukning]:[Lån]])+Tabell4101112[[#This Row],[Korr]],0)</f>
        <v>0</v>
      </c>
      <c r="L51" s="2"/>
    </row>
    <row r="52" spans="1:12" x14ac:dyDescent="0.25">
      <c r="A52" s="4">
        <f>Tabell6[[#This Row],[Avläsnings datum]]</f>
        <v>46265</v>
      </c>
      <c r="C52">
        <f t="shared" si="5"/>
        <v>0</v>
      </c>
      <c r="D52">
        <f t="shared" si="6"/>
        <v>0</v>
      </c>
      <c r="E52" s="3">
        <f>Tabell6[[#This Row],[Att fördela]]</f>
        <v>0</v>
      </c>
      <c r="F52">
        <f>Tabell6[[#This Row],[Pris/m3 ink.moms]]</f>
        <v>24</v>
      </c>
      <c r="G52" s="2">
        <f>(Tabell4101112[[#This Row],[Förbrukning]]+Tabell4101112[[#This Row],[Utjämning]])*Tabell4101112[[#This Row],[Kr/m3]]</f>
        <v>0</v>
      </c>
      <c r="H52" s="2">
        <f>Tabell6[[#This Row],[Summa fast avg/hushåll]]</f>
        <v>879.14738095238101</v>
      </c>
      <c r="I52" s="2">
        <f>Tabell6[[#This Row],[Medlems avg]]/14</f>
        <v>1000</v>
      </c>
      <c r="J52" s="2"/>
      <c r="K52" s="2">
        <f>IF(Tabell4101112[[#This Row],[Nuvarande]], SUM(Tabell4101112[[#This Row],[Summa förbrukning]:[Lån]])+Tabell4101112[[#This Row],[Korr]],0)</f>
        <v>0</v>
      </c>
      <c r="L52" s="2"/>
    </row>
    <row r="53" spans="1:12" x14ac:dyDescent="0.25">
      <c r="A53" s="4">
        <f>Tabell6[[#This Row],[Avläsnings datum]]</f>
        <v>46387</v>
      </c>
      <c r="C53">
        <f t="shared" si="5"/>
        <v>0</v>
      </c>
      <c r="D53">
        <f t="shared" si="6"/>
        <v>0</v>
      </c>
      <c r="E53" s="3">
        <f>Tabell6[[#This Row],[Att fördela]]</f>
        <v>0</v>
      </c>
      <c r="F53">
        <f>Tabell6[[#This Row],[Pris/m3 ink.moms]]</f>
        <v>24</v>
      </c>
      <c r="G53" s="2">
        <f>(Tabell4101112[[#This Row],[Förbrukning]]+Tabell4101112[[#This Row],[Utjämning]])*Tabell4101112[[#This Row],[Kr/m3]]</f>
        <v>0</v>
      </c>
      <c r="H53" s="2">
        <f>Tabell6[[#This Row],[Summa fast avg/hushåll]]</f>
        <v>879.14738095238101</v>
      </c>
      <c r="I53" s="2">
        <f>Tabell6[[#This Row],[Medlems avg]]/14</f>
        <v>1000</v>
      </c>
      <c r="J53" s="2"/>
      <c r="K53" s="2">
        <f>IF(Tabell4101112[[#This Row],[Nuvarande]], SUM(Tabell4101112[[#This Row],[Summa förbrukning]:[Lån]])+Tabell4101112[[#This Row],[Korr]],0)</f>
        <v>0</v>
      </c>
      <c r="L53" s="2"/>
    </row>
    <row r="54" spans="1:12" x14ac:dyDescent="0.25">
      <c r="A54" s="4">
        <f>Tabell6[[#This Row],[Avläsnings datum]]</f>
        <v>46507</v>
      </c>
      <c r="C54">
        <f t="shared" si="5"/>
        <v>0</v>
      </c>
      <c r="D54">
        <f t="shared" si="6"/>
        <v>0</v>
      </c>
      <c r="E54" s="3">
        <f>Tabell6[[#This Row],[Att fördela]]</f>
        <v>0</v>
      </c>
      <c r="F54">
        <f>Tabell6[[#This Row],[Pris/m3 ink.moms]]</f>
        <v>24</v>
      </c>
      <c r="G54" s="2">
        <f>(Tabell4101112[[#This Row],[Förbrukning]]+Tabell4101112[[#This Row],[Utjämning]])*Tabell4101112[[#This Row],[Kr/m3]]</f>
        <v>0</v>
      </c>
      <c r="H54" s="2">
        <f>Tabell6[[#This Row],[Summa fast avg/hushåll]]</f>
        <v>879.14738095238101</v>
      </c>
      <c r="I54" s="2">
        <f>Tabell6[[#This Row],[Medlems avg]]/14</f>
        <v>1000</v>
      </c>
      <c r="J54" s="2"/>
      <c r="K54" s="2">
        <f>IF(Tabell4101112[[#This Row],[Nuvarande]], SUM(Tabell4101112[[#This Row],[Summa förbrukning]:[Lån]])+Tabell4101112[[#This Row],[Korr]],0)</f>
        <v>0</v>
      </c>
      <c r="L54" s="2"/>
    </row>
    <row r="55" spans="1:12" x14ac:dyDescent="0.25">
      <c r="A55" s="4">
        <f>Tabell6[[#This Row],[Avläsnings datum]]</f>
        <v>46630</v>
      </c>
      <c r="C55">
        <f t="shared" si="5"/>
        <v>0</v>
      </c>
      <c r="D55">
        <f t="shared" si="6"/>
        <v>0</v>
      </c>
      <c r="E55" s="3">
        <f>Tabell6[[#This Row],[Att fördela]]</f>
        <v>0</v>
      </c>
      <c r="F55">
        <f>Tabell6[[#This Row],[Pris/m3 ink.moms]]</f>
        <v>24</v>
      </c>
      <c r="G55" s="2">
        <f>(Tabell4101112[[#This Row],[Förbrukning]]+Tabell4101112[[#This Row],[Utjämning]])*Tabell4101112[[#This Row],[Kr/m3]]</f>
        <v>0</v>
      </c>
      <c r="H55" s="2">
        <f>Tabell6[[#This Row],[Summa fast avg/hushåll]]</f>
        <v>879.14738095238101</v>
      </c>
      <c r="I55" s="2">
        <f>Tabell6[[#This Row],[Medlems avg]]/14</f>
        <v>1000</v>
      </c>
      <c r="J55" s="2"/>
      <c r="K55" s="2">
        <f>IF(Tabell4101112[[#This Row],[Nuvarande]], SUM(Tabell4101112[[#This Row],[Summa förbrukning]:[Lån]])+Tabell4101112[[#This Row],[Korr]],0)</f>
        <v>0</v>
      </c>
      <c r="L55" s="2"/>
    </row>
    <row r="56" spans="1:12" x14ac:dyDescent="0.25">
      <c r="A56" s="4">
        <f>Tabell6[[#This Row],[Avläsnings datum]]</f>
        <v>46752</v>
      </c>
      <c r="C56">
        <f t="shared" si="5"/>
        <v>0</v>
      </c>
      <c r="D56">
        <f t="shared" si="6"/>
        <v>0</v>
      </c>
      <c r="E56" s="3">
        <f>Tabell6[[#This Row],[Att fördela]]</f>
        <v>0</v>
      </c>
      <c r="F56">
        <f>Tabell6[[#This Row],[Pris/m3 ink.moms]]</f>
        <v>24</v>
      </c>
      <c r="G56" s="2">
        <f>(Tabell4101112[[#This Row],[Förbrukning]]+Tabell4101112[[#This Row],[Utjämning]])*Tabell4101112[[#This Row],[Kr/m3]]</f>
        <v>0</v>
      </c>
      <c r="H56" s="2">
        <f>Tabell6[[#This Row],[Summa fast avg/hushåll]]</f>
        <v>879.14738095238101</v>
      </c>
      <c r="I56" s="2">
        <f>Tabell6[[#This Row],[Medlems avg]]/14</f>
        <v>1000</v>
      </c>
      <c r="J56" s="2"/>
      <c r="K56" s="2">
        <f>IF(Tabell4101112[[#This Row],[Nuvarande]], SUM(Tabell4101112[[#This Row],[Summa förbrukning]:[Lån]])+Tabell4101112[[#This Row],[Korr]],0)</f>
        <v>0</v>
      </c>
      <c r="L56" s="2"/>
    </row>
    <row r="57" spans="1:12" x14ac:dyDescent="0.25">
      <c r="A57" s="4">
        <f>Tabell6[[#This Row],[Avläsnings datum]]</f>
        <v>46873</v>
      </c>
      <c r="C57">
        <f t="shared" si="5"/>
        <v>0</v>
      </c>
      <c r="D57">
        <f t="shared" si="6"/>
        <v>0</v>
      </c>
      <c r="E57" s="3">
        <f>Tabell6[[#This Row],[Att fördela]]</f>
        <v>0</v>
      </c>
      <c r="F57">
        <f>Tabell6[[#This Row],[Pris/m3 ink.moms]]</f>
        <v>24</v>
      </c>
      <c r="G57" s="2">
        <f>(Tabell4101112[[#This Row],[Förbrukning]]+Tabell4101112[[#This Row],[Utjämning]])*Tabell4101112[[#This Row],[Kr/m3]]</f>
        <v>0</v>
      </c>
      <c r="H57" s="2">
        <f>Tabell6[[#This Row],[Summa fast avg/hushåll]]</f>
        <v>879.14738095238101</v>
      </c>
      <c r="I57" s="2">
        <f>Tabell6[[#This Row],[Medlems avg]]/14</f>
        <v>1000</v>
      </c>
      <c r="J57" s="2"/>
      <c r="K57" s="2">
        <f>IF(Tabell4101112[[#This Row],[Nuvarande]], SUM(Tabell4101112[[#This Row],[Summa förbrukning]:[Lån]])+Tabell4101112[[#This Row],[Korr]],0)</f>
        <v>0</v>
      </c>
      <c r="L57" s="2"/>
    </row>
    <row r="58" spans="1:12" x14ac:dyDescent="0.25">
      <c r="A58" s="4">
        <f>Tabell6[[#This Row],[Avläsnings datum]]</f>
        <v>46996</v>
      </c>
      <c r="C58">
        <f t="shared" si="5"/>
        <v>0</v>
      </c>
      <c r="D58">
        <f t="shared" si="6"/>
        <v>0</v>
      </c>
      <c r="E58" s="3">
        <f>Tabell6[[#This Row],[Att fördela]]</f>
        <v>0</v>
      </c>
      <c r="F58">
        <f>Tabell6[[#This Row],[Pris/m3 ink.moms]]</f>
        <v>24</v>
      </c>
      <c r="G58" s="2">
        <f>(Tabell4101112[[#This Row],[Förbrukning]]+Tabell4101112[[#This Row],[Utjämning]])*Tabell4101112[[#This Row],[Kr/m3]]</f>
        <v>0</v>
      </c>
      <c r="H58" s="2">
        <f>Tabell6[[#This Row],[Summa fast avg/hushåll]]</f>
        <v>879.14738095238101</v>
      </c>
      <c r="I58" s="2">
        <f>Tabell6[[#This Row],[Medlems avg]]/14</f>
        <v>1000</v>
      </c>
      <c r="J58" s="2"/>
      <c r="K58" s="2">
        <f>IF(Tabell4101112[[#This Row],[Nuvarande]], SUM(Tabell4101112[[#This Row],[Summa förbrukning]:[Lån]])+Tabell4101112[[#This Row],[Korr]],0)</f>
        <v>0</v>
      </c>
      <c r="L58" s="2"/>
    </row>
    <row r="59" spans="1:12" x14ac:dyDescent="0.25">
      <c r="A59" s="4">
        <f>Tabell6[[#This Row],[Avläsnings datum]]</f>
        <v>47118</v>
      </c>
      <c r="C59">
        <f t="shared" si="5"/>
        <v>0</v>
      </c>
      <c r="D59">
        <f t="shared" si="6"/>
        <v>0</v>
      </c>
      <c r="E59" s="3">
        <f>Tabell6[[#This Row],[Att fördela]]</f>
        <v>0</v>
      </c>
      <c r="F59">
        <f>Tabell6[[#This Row],[Pris/m3 ink.moms]]</f>
        <v>24</v>
      </c>
      <c r="G59" s="2">
        <f>(Tabell4101112[[#This Row],[Förbrukning]]+Tabell4101112[[#This Row],[Utjämning]])*Tabell4101112[[#This Row],[Kr/m3]]</f>
        <v>0</v>
      </c>
      <c r="H59" s="2">
        <f>Tabell6[[#This Row],[Summa fast avg/hushåll]]</f>
        <v>879.14738095238101</v>
      </c>
      <c r="I59" s="2">
        <f>Tabell6[[#This Row],[Medlems avg]]/14</f>
        <v>1000</v>
      </c>
      <c r="J59" s="2"/>
      <c r="K59" s="2">
        <f>IF(Tabell4101112[[#This Row],[Nuvarande]], SUM(Tabell4101112[[#This Row],[Summa förbrukning]:[Lån]])+Tabell4101112[[#This Row],[Korr]],0)</f>
        <v>0</v>
      </c>
      <c r="L59" s="2"/>
    </row>
    <row r="60" spans="1:12" x14ac:dyDescent="0.25">
      <c r="A60" s="4">
        <f>Tabell6[[#This Row],[Avläsnings datum]]</f>
        <v>47238</v>
      </c>
      <c r="C60">
        <f t="shared" si="5"/>
        <v>0</v>
      </c>
      <c r="D60">
        <f t="shared" si="6"/>
        <v>0</v>
      </c>
      <c r="E60" s="3">
        <f>Tabell6[[#This Row],[Att fördela]]</f>
        <v>0</v>
      </c>
      <c r="F60">
        <f>Tabell6[[#This Row],[Pris/m3 ink.moms]]</f>
        <v>24</v>
      </c>
      <c r="G60" s="2">
        <f>(Tabell4101112[[#This Row],[Förbrukning]]+Tabell4101112[[#This Row],[Utjämning]])*Tabell4101112[[#This Row],[Kr/m3]]</f>
        <v>0</v>
      </c>
      <c r="H60" s="2">
        <f>Tabell6[[#This Row],[Summa fast avg/hushåll]]</f>
        <v>879.14738095238101</v>
      </c>
      <c r="I60" s="2">
        <f>Tabell6[[#This Row],[Medlems avg]]/14</f>
        <v>1000</v>
      </c>
      <c r="J60" s="2"/>
      <c r="K60" s="2">
        <f>IF(Tabell4101112[[#This Row],[Nuvarande]], SUM(Tabell4101112[[#This Row],[Summa förbrukning]:[Lån]])+Tabell4101112[[#This Row],[Korr]],0)</f>
        <v>0</v>
      </c>
      <c r="L60" s="2"/>
    </row>
  </sheetData>
  <pageMargins left="0.7" right="0.7" top="0.75" bottom="0.75" header="0.3" footer="0.3"/>
  <pageSetup paperSize="9" orientation="portrait" r:id="rId1"/>
  <ignoredErrors>
    <ignoredError sqref="A21:A32" calculatedColumn="1"/>
  </ignoredError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lad7"/>
  <dimension ref="A1:L60"/>
  <sheetViews>
    <sheetView workbookViewId="0">
      <selection activeCell="B49" sqref="B49"/>
    </sheetView>
  </sheetViews>
  <sheetFormatPr defaultRowHeight="15" x14ac:dyDescent="0.25"/>
  <cols>
    <col min="1" max="1" width="20.28515625" customWidth="1"/>
    <col min="2" max="2" width="13" bestFit="1" customWidth="1"/>
    <col min="3" max="3" width="13.85546875" bestFit="1" customWidth="1"/>
    <col min="4" max="5" width="15.140625" customWidth="1"/>
    <col min="6" max="6" width="11.140625" customWidth="1"/>
    <col min="7" max="7" width="21" bestFit="1" customWidth="1"/>
    <col min="8" max="8" width="10.28515625" bestFit="1" customWidth="1"/>
    <col min="9" max="9" width="15.140625" bestFit="1" customWidth="1"/>
    <col min="10" max="11" width="12" bestFit="1" customWidth="1"/>
  </cols>
  <sheetData>
    <row r="1" spans="1:12" x14ac:dyDescent="0.25">
      <c r="A1">
        <v>14</v>
      </c>
      <c r="J1" s="6" t="s">
        <v>31</v>
      </c>
    </row>
    <row r="2" spans="1:12" x14ac:dyDescent="0.25">
      <c r="J2" s="5" t="s">
        <v>42</v>
      </c>
    </row>
    <row r="3" spans="1:12" x14ac:dyDescent="0.25">
      <c r="B3">
        <f>VLOOKUP('Huvud mätare'!$A1,$A5:$K87,2)</f>
        <v>2738</v>
      </c>
      <c r="C3">
        <f>VLOOKUP('Huvud mätare'!$A1,$A5:$K87,3)</f>
        <v>2717</v>
      </c>
      <c r="D3">
        <f>VLOOKUP('Huvud mätare'!$A1,$A5:$K87,4)</f>
        <v>21</v>
      </c>
      <c r="E3">
        <f>VLOOKUP('Huvud mätare'!$A1,$A5:$K87,5)</f>
        <v>-1.5</v>
      </c>
      <c r="F3">
        <f>VLOOKUP('Huvud mätare'!$A1,$A5:$K87,6)</f>
        <v>24</v>
      </c>
      <c r="G3">
        <f>VLOOKUP('Huvud mätare'!$A1,$A5:$K87,7)</f>
        <v>468</v>
      </c>
      <c r="H3">
        <f>VLOOKUP('Huvud mätare'!$A1,$A5:$K87,8)</f>
        <v>879.14738095238101</v>
      </c>
      <c r="I3">
        <f>VLOOKUP('Huvud mätare'!$A1,$A5:$K87,9)</f>
        <v>1000</v>
      </c>
      <c r="J3">
        <f>VLOOKUP('Huvud mätare'!$A1,$A5:$K87,10)</f>
        <v>0</v>
      </c>
      <c r="K3">
        <f>VLOOKUP('Huvud mätare'!$A1,$A5:$K87,11)</f>
        <v>2347.1473809523809</v>
      </c>
      <c r="L3">
        <f>VLOOKUP('Huvud mätare'!$A1,$A5:$L87,12)</f>
        <v>0</v>
      </c>
    </row>
    <row r="4" spans="1:12" ht="15" customHeight="1" x14ac:dyDescent="0.25">
      <c r="A4" t="s">
        <v>12</v>
      </c>
      <c r="B4" s="1" t="s">
        <v>33</v>
      </c>
      <c r="C4" s="1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25</v>
      </c>
      <c r="I4" t="s">
        <v>30</v>
      </c>
      <c r="J4" t="s">
        <v>39</v>
      </c>
      <c r="K4" t="s">
        <v>40</v>
      </c>
      <c r="L4" t="s">
        <v>41</v>
      </c>
    </row>
    <row r="5" spans="1:12" x14ac:dyDescent="0.25">
      <c r="A5" s="4">
        <f>Tabell6[[#This Row],[Avläsnings datum]]</f>
        <v>40543</v>
      </c>
      <c r="B5">
        <v>1476</v>
      </c>
      <c r="C5">
        <v>1428</v>
      </c>
      <c r="D5">
        <f t="shared" ref="D5:D21" si="0">IF(B5-C5&lt;0,0,B5-C5)</f>
        <v>48</v>
      </c>
      <c r="E5" s="3">
        <f>Tabell6[[#This Row],[Att fördela]]</f>
        <v>0.15714285714286039</v>
      </c>
      <c r="F5">
        <f>Tabell6[[#This Row],[Pris/m3 ink.moms]]</f>
        <v>16.88</v>
      </c>
      <c r="G5" s="2">
        <f>(Tabell410111213[[#This Row],[Förbrukning]]+Tabell410111213[[#This Row],[Utjämning]])*Tabell410111213[[#This Row],[Kr/m3]]</f>
        <v>812.89257142857139</v>
      </c>
      <c r="H5" s="2">
        <f>Tabell6[[#This Row],[Summa fast avg/hushåll]]</f>
        <v>378.07142857142856</v>
      </c>
      <c r="I5" s="2">
        <f>Tabell6[[#This Row],[Medlems avg]]/14</f>
        <v>0</v>
      </c>
      <c r="J5" s="2"/>
      <c r="K5" s="2">
        <f>IF(Tabell410111213[[#This Row],[Nuvarande]], SUM(Tabell410111213[[#This Row],[Summa förbrukning]:[Lån]])+Tabell410111213[[#This Row],[Korr]],0)</f>
        <v>1190.9639999999999</v>
      </c>
      <c r="L5" s="2"/>
    </row>
    <row r="6" spans="1:12" x14ac:dyDescent="0.25">
      <c r="A6" s="4">
        <f>Tabell6[[#This Row],[Avläsnings datum]]</f>
        <v>40664</v>
      </c>
      <c r="B6">
        <v>1514</v>
      </c>
      <c r="C6">
        <f t="shared" ref="C6:C21" si="1">B5</f>
        <v>1476</v>
      </c>
      <c r="D6">
        <f t="shared" si="0"/>
        <v>38</v>
      </c>
      <c r="E6" s="3">
        <f>Tabell6[[#This Row],[Att fördela]]</f>
        <v>2.8571428571418828E-2</v>
      </c>
      <c r="F6">
        <f>Tabell6[[#This Row],[Pris/m3 ink.moms]]</f>
        <v>16.88</v>
      </c>
      <c r="G6" s="2">
        <f>(Tabell410111213[[#This Row],[Förbrukning]]+Tabell410111213[[#This Row],[Utjämning]])*Tabell410111213[[#This Row],[Kr/m3]]</f>
        <v>641.92228571428552</v>
      </c>
      <c r="H6" s="2">
        <f>Tabell6[[#This Row],[Summa fast avg/hushåll]]</f>
        <v>378.07142857142856</v>
      </c>
      <c r="I6" s="2">
        <f>Tabell6[[#This Row],[Medlems avg]]/14</f>
        <v>0</v>
      </c>
      <c r="J6" s="2"/>
      <c r="K6" s="2">
        <f>IF(Tabell410111213[[#This Row],[Nuvarande]], SUM(Tabell410111213[[#This Row],[Summa förbrukning]:[Lån]])+Tabell410111213[[#This Row],[Korr]],0)</f>
        <v>1019.9937142857141</v>
      </c>
      <c r="L6" s="2"/>
    </row>
    <row r="7" spans="1:12" x14ac:dyDescent="0.25">
      <c r="A7" s="4">
        <f>Tabell6[[#This Row],[Avläsnings datum]]</f>
        <v>40786</v>
      </c>
      <c r="B7">
        <v>1553</v>
      </c>
      <c r="C7">
        <f t="shared" si="1"/>
        <v>1514</v>
      </c>
      <c r="D7">
        <f t="shared" si="0"/>
        <v>39</v>
      </c>
      <c r="E7" s="3">
        <f>Tabell6[[#This Row],[Att fördela]]</f>
        <v>-2.8571428571426947E-2</v>
      </c>
      <c r="F7">
        <f>Tabell6[[#This Row],[Pris/m3 ink.moms]]</f>
        <v>16.88</v>
      </c>
      <c r="G7" s="2">
        <f>(Tabell410111213[[#This Row],[Förbrukning]]+Tabell410111213[[#This Row],[Utjämning]])*Tabell410111213[[#This Row],[Kr/m3]]</f>
        <v>657.83771428571436</v>
      </c>
      <c r="H7" s="2">
        <f>Tabell6[[#This Row],[Summa fast avg/hushåll]]</f>
        <v>378.07142857142856</v>
      </c>
      <c r="I7" s="2">
        <f>Tabell6[[#This Row],[Medlems avg]]/14</f>
        <v>0</v>
      </c>
      <c r="J7" s="2"/>
      <c r="K7" s="2">
        <f>IF(Tabell410111213[[#This Row],[Nuvarande]], SUM(Tabell410111213[[#This Row],[Summa förbrukning]:[Lån]])+Tabell410111213[[#This Row],[Korr]],0)</f>
        <v>1035.9091428571428</v>
      </c>
      <c r="L7" s="2"/>
    </row>
    <row r="8" spans="1:12" x14ac:dyDescent="0.25">
      <c r="A8" s="4">
        <f>Tabell6[[#This Row],[Avläsnings datum]]</f>
        <v>40908</v>
      </c>
      <c r="B8">
        <v>1589</v>
      </c>
      <c r="C8">
        <f t="shared" si="1"/>
        <v>1553</v>
      </c>
      <c r="D8">
        <f t="shared" si="0"/>
        <v>36</v>
      </c>
      <c r="E8" s="3">
        <f>Tabell6[[#This Row],[Att fördela]]</f>
        <v>-0.22857142857142371</v>
      </c>
      <c r="F8">
        <f>Tabell6[[#This Row],[Pris/m3 ink.moms]]</f>
        <v>16.825000000000003</v>
      </c>
      <c r="G8" s="2">
        <f>(Tabell410111213[[#This Row],[Förbrukning]]+Tabell410111213[[#This Row],[Utjämning]])*Tabell410111213[[#This Row],[Kr/m3]]</f>
        <v>601.85428571428599</v>
      </c>
      <c r="H8" s="2">
        <f>Tabell6[[#This Row],[Summa fast avg/hushåll]]</f>
        <v>378.07142857142856</v>
      </c>
      <c r="I8" s="2">
        <f>Tabell6[[#This Row],[Medlems avg]]/14</f>
        <v>1000</v>
      </c>
      <c r="J8" s="2">
        <v>760</v>
      </c>
      <c r="K8" s="2">
        <f>IF(Tabell410111213[[#This Row],[Nuvarande]], SUM(Tabell410111213[[#This Row],[Summa förbrukning]:[Lån]])+Tabell410111213[[#This Row],[Korr]],0)</f>
        <v>2739.9257142857145</v>
      </c>
      <c r="L8" s="2"/>
    </row>
    <row r="9" spans="1:12" x14ac:dyDescent="0.25">
      <c r="A9" s="4">
        <f>Tabell6[[#This Row],[Avläsnings datum]]</f>
        <v>41029</v>
      </c>
      <c r="B9">
        <v>1621</v>
      </c>
      <c r="C9">
        <f t="shared" si="1"/>
        <v>1589</v>
      </c>
      <c r="D9">
        <f t="shared" si="0"/>
        <v>32</v>
      </c>
      <c r="E9" s="3">
        <f>Tabell6[[#This Row],[Att fördela]]</f>
        <v>-1</v>
      </c>
      <c r="F9">
        <f>Tabell6[[#This Row],[Pris/m3 ink.moms]]</f>
        <v>16.825000000000003</v>
      </c>
      <c r="G9" s="2">
        <f>(Tabell410111213[[#This Row],[Förbrukning]]+Tabell410111213[[#This Row],[Utjämning]])*Tabell410111213[[#This Row],[Kr/m3]]</f>
        <v>521.57500000000005</v>
      </c>
      <c r="H9" s="2">
        <f>Tabell6[[#This Row],[Summa fast avg/hushåll]]</f>
        <v>378.07142857142856</v>
      </c>
      <c r="I9" s="2">
        <f>Tabell6[[#This Row],[Medlems avg]]/14</f>
        <v>1000</v>
      </c>
      <c r="J9" s="2">
        <f>Lån!D10</f>
        <v>746.28571428571433</v>
      </c>
      <c r="K9" s="2">
        <f>IF(Tabell410111213[[#This Row],[Nuvarande]], SUM(Tabell410111213[[#This Row],[Summa förbrukning]:[Lån]])+Tabell410111213[[#This Row],[Korr]],0)</f>
        <v>2645.9321428571429</v>
      </c>
      <c r="L9" s="2"/>
    </row>
    <row r="10" spans="1:12" x14ac:dyDescent="0.25">
      <c r="A10" s="4">
        <f>Tabell6[[#This Row],[Avläsnings datum]]</f>
        <v>41152</v>
      </c>
      <c r="B10">
        <v>1659</v>
      </c>
      <c r="C10">
        <f t="shared" si="1"/>
        <v>1621</v>
      </c>
      <c r="D10">
        <f t="shared" si="0"/>
        <v>38</v>
      </c>
      <c r="E10" s="3">
        <f>Tabell6[[#This Row],[Att fördela]]</f>
        <v>-0.14285714285714285</v>
      </c>
      <c r="F10">
        <f>Tabell6[[#This Row],[Pris/m3 ink.moms]]</f>
        <v>16.825000000000003</v>
      </c>
      <c r="G10" s="2">
        <f>(Tabell410111213[[#This Row],[Förbrukning]]+Tabell410111213[[#This Row],[Utjämning]])*Tabell410111213[[#This Row],[Kr/m3]]</f>
        <v>636.94642857142867</v>
      </c>
      <c r="H10" s="2">
        <f>Tabell6[[#This Row],[Summa fast avg/hushåll]]</f>
        <v>378.07142857142856</v>
      </c>
      <c r="I10" s="2">
        <f>Tabell6[[#This Row],[Medlems avg]]/14</f>
        <v>1000</v>
      </c>
      <c r="J10" s="8">
        <f>Lån!D14</f>
        <v>736.85714285714289</v>
      </c>
      <c r="K10" s="2">
        <f>IF(Tabell410111213[[#This Row],[Nuvarande]], SUM(Tabell410111213[[#This Row],[Summa förbrukning]:[Lån]])+Tabell410111213[[#This Row],[Korr]],0)</f>
        <v>2751.875</v>
      </c>
      <c r="L10" s="2"/>
    </row>
    <row r="11" spans="1:12" x14ac:dyDescent="0.25">
      <c r="A11" s="4">
        <f>Tabell6[[#This Row],[Avläsnings datum]]</f>
        <v>41274</v>
      </c>
      <c r="B11">
        <v>1699</v>
      </c>
      <c r="C11">
        <f t="shared" si="1"/>
        <v>1659</v>
      </c>
      <c r="D11">
        <f t="shared" si="0"/>
        <v>40</v>
      </c>
      <c r="E11" s="3">
        <f>Tabell6[[#This Row],[Att fördela]]</f>
        <v>-0.9285714285714286</v>
      </c>
      <c r="F11">
        <f>Tabell6[[#This Row],[Pris/m3 ink.moms]]</f>
        <v>14.8125</v>
      </c>
      <c r="G11" s="2">
        <f>(Tabell410111213[[#This Row],[Förbrukning]]+Tabell410111213[[#This Row],[Utjämning]])*Tabell410111213[[#This Row],[Kr/m3]]</f>
        <v>578.74553571428567</v>
      </c>
      <c r="H11" s="2">
        <f>Tabell6[[#This Row],[Summa fast avg/hushåll]]</f>
        <v>542.26190476190482</v>
      </c>
      <c r="I11" s="2">
        <f>Tabell6[[#This Row],[Medlems avg]]/14</f>
        <v>1000</v>
      </c>
      <c r="J11" s="8">
        <f>Lån!D18</f>
        <v>721.57142857142856</v>
      </c>
      <c r="K11" s="2">
        <f>IF(Tabell410111213[[#This Row],[Nuvarande]], SUM(Tabell410111213[[#This Row],[Summa förbrukning]:[Lån]])+Tabell410111213[[#This Row],[Korr]],0)</f>
        <v>2842.5788690476188</v>
      </c>
      <c r="L11" s="2"/>
    </row>
    <row r="12" spans="1:12" x14ac:dyDescent="0.25">
      <c r="A12" s="4">
        <f>Tabell6[[#This Row],[Avläsnings datum]]</f>
        <v>41394</v>
      </c>
      <c r="B12">
        <v>1737</v>
      </c>
      <c r="C12">
        <f t="shared" si="1"/>
        <v>1699</v>
      </c>
      <c r="D12">
        <f t="shared" si="0"/>
        <v>38</v>
      </c>
      <c r="E12" s="3">
        <f>Tabell6[[#This Row],[Att fördela]]</f>
        <v>-1.5714285714285714</v>
      </c>
      <c r="F12">
        <f>Tabell6[[#This Row],[Pris/m3 ink.moms]]</f>
        <v>14.8125</v>
      </c>
      <c r="G12" s="2">
        <f>(Tabell410111213[[#This Row],[Förbrukning]]+Tabell410111213[[#This Row],[Utjämning]])*Tabell410111213[[#This Row],[Kr/m3]]</f>
        <v>539.59821428571433</v>
      </c>
      <c r="H12" s="2">
        <f>Tabell6[[#This Row],[Summa fast avg/hushåll]]</f>
        <v>542.26190476190482</v>
      </c>
      <c r="I12" s="2">
        <f>Tabell6[[#This Row],[Medlems avg]]/14</f>
        <v>1000</v>
      </c>
      <c r="J12" s="8">
        <f>Lån!D22</f>
        <v>705.57142857142856</v>
      </c>
      <c r="K12" s="2">
        <f>IF(Tabell410111213[[#This Row],[Nuvarande]], SUM(Tabell410111213[[#This Row],[Summa förbrukning]:[Lån]])+Tabell410111213[[#This Row],[Korr]],0)</f>
        <v>2787.4315476190477</v>
      </c>
      <c r="L12" s="2"/>
    </row>
    <row r="13" spans="1:12" x14ac:dyDescent="0.25">
      <c r="A13" s="4">
        <f>Tabell6[[#This Row],[Avläsnings datum]]</f>
        <v>41517</v>
      </c>
      <c r="B13">
        <v>1774</v>
      </c>
      <c r="C13">
        <f t="shared" si="1"/>
        <v>1737</v>
      </c>
      <c r="D13">
        <f t="shared" si="0"/>
        <v>37</v>
      </c>
      <c r="E13" s="3">
        <f>Tabell6[[#This Row],[Att fördela]]</f>
        <v>-0.8571428571428571</v>
      </c>
      <c r="F13">
        <f>Tabell6[[#This Row],[Pris/m3 ink.moms]]</f>
        <v>14.8125</v>
      </c>
      <c r="G13" s="2">
        <f>(Tabell410111213[[#This Row],[Förbrukning]]+Tabell410111213[[#This Row],[Utjämning]])*Tabell410111213[[#This Row],[Kr/m3]]</f>
        <v>535.36607142857144</v>
      </c>
      <c r="H13" s="2">
        <f>Tabell6[[#This Row],[Summa fast avg/hushåll]]</f>
        <v>542.26190476190482</v>
      </c>
      <c r="I13" s="2">
        <f>Tabell6[[#This Row],[Medlems avg]]/14</f>
        <v>1000</v>
      </c>
      <c r="J13" s="8">
        <f>Lån!D26</f>
        <v>696.85714285714289</v>
      </c>
      <c r="K13" s="2">
        <f>IF(Tabell410111213[[#This Row],[Nuvarande]], SUM(Tabell410111213[[#This Row],[Summa förbrukning]:[Lån]])+Tabell410111213[[#This Row],[Korr]],0)</f>
        <v>2774.4851190476193</v>
      </c>
      <c r="L13" s="2"/>
    </row>
    <row r="14" spans="1:12" x14ac:dyDescent="0.25">
      <c r="A14" s="4">
        <f>Tabell6[[#This Row],[Avläsnings datum]]</f>
        <v>41639</v>
      </c>
      <c r="B14">
        <v>1810</v>
      </c>
      <c r="C14">
        <f t="shared" si="1"/>
        <v>1774</v>
      </c>
      <c r="D14">
        <f t="shared" si="0"/>
        <v>36</v>
      </c>
      <c r="E14" s="3">
        <f>Tabell6[[#This Row],[Att fördela]]</f>
        <v>-2.5</v>
      </c>
      <c r="F14">
        <f>Tabell6[[#This Row],[Pris/m3 ink.moms]]</f>
        <v>14.8125</v>
      </c>
      <c r="G14" s="2">
        <f>(Tabell410111213[[#This Row],[Förbrukning]]+Tabell410111213[[#This Row],[Utjämning]])*Tabell410111213[[#This Row],[Kr/m3]]</f>
        <v>496.21875</v>
      </c>
      <c r="H14" s="2">
        <f>Tabell6[[#This Row],[Summa fast avg/hushåll]]</f>
        <v>547.85714285714289</v>
      </c>
      <c r="I14" s="2">
        <f>Tabell6[[#This Row],[Medlems avg]]/14</f>
        <v>1000</v>
      </c>
      <c r="J14" s="8">
        <f>Lån!D30</f>
        <v>682.28571428571433</v>
      </c>
      <c r="K14" s="2">
        <f>IF(Tabell410111213[[#This Row],[Nuvarande]], SUM(Tabell410111213[[#This Row],[Summa förbrukning]:[Lån]])+Tabell410111213[[#This Row],[Korr]],0)</f>
        <v>2726.3616071428573</v>
      </c>
      <c r="L14" s="2"/>
    </row>
    <row r="15" spans="1:12" x14ac:dyDescent="0.25">
      <c r="A15" s="4">
        <f>Tabell6[[#This Row],[Avläsnings datum]]</f>
        <v>41759</v>
      </c>
      <c r="B15">
        <v>1845</v>
      </c>
      <c r="C15">
        <f t="shared" si="1"/>
        <v>1810</v>
      </c>
      <c r="D15">
        <f t="shared" si="0"/>
        <v>35</v>
      </c>
      <c r="E15" s="3">
        <f>Tabell6[[#This Row],[Att fördela]]</f>
        <v>-1.5714285714285714</v>
      </c>
      <c r="F15">
        <f>Tabell6[[#This Row],[Pris/m3 ink.moms]]</f>
        <v>14.9625</v>
      </c>
      <c r="G15" s="2">
        <f>(Tabell410111213[[#This Row],[Förbrukning]]+Tabell410111213[[#This Row],[Utjämning]])*Tabell410111213[[#This Row],[Kr/m3]]</f>
        <v>500.17500000000007</v>
      </c>
      <c r="H15" s="2">
        <f>Tabell6[[#This Row],[Summa fast avg/hushåll]]</f>
        <v>547.85714285714289</v>
      </c>
      <c r="I15" s="2">
        <f>Tabell6[[#This Row],[Medlems avg]]/14</f>
        <v>1000</v>
      </c>
      <c r="J15" s="2">
        <v>666</v>
      </c>
      <c r="K15" s="2">
        <f>IF(Tabell410111213[[#This Row],[Nuvarande]], SUM(Tabell410111213[[#This Row],[Summa förbrukning]:[Lån]])+Tabell410111213[[#This Row],[Korr]],0)</f>
        <v>2701.0857142857144</v>
      </c>
      <c r="L15" s="2">
        <f t="shared" ref="L15" si="2">K13-K12</f>
        <v>-12.946428571428442</v>
      </c>
    </row>
    <row r="16" spans="1:12" x14ac:dyDescent="0.25">
      <c r="A16" s="4">
        <f>Tabell6[[#This Row],[Avläsnings datum]]</f>
        <v>41882</v>
      </c>
      <c r="B16">
        <v>1879</v>
      </c>
      <c r="C16">
        <f t="shared" si="1"/>
        <v>1845</v>
      </c>
      <c r="D16">
        <f t="shared" si="0"/>
        <v>34</v>
      </c>
      <c r="E16" s="3">
        <f>Tabell6[[#This Row],[Att fördela]]</f>
        <v>-1.7857142857142858</v>
      </c>
      <c r="F16">
        <f>Tabell6[[#This Row],[Pris/m3 ink.moms]]</f>
        <v>14.9625</v>
      </c>
      <c r="G16" s="2">
        <f>(Tabell410111213[[#This Row],[Förbrukning]]+Tabell410111213[[#This Row],[Utjämning]])*Tabell410111213[[#This Row],[Kr/m3]]</f>
        <v>482.00625000000002</v>
      </c>
      <c r="H16" s="2">
        <f>Tabell6[[#This Row],[Summa fast avg/hushåll]]</f>
        <v>547.85714285714289</v>
      </c>
      <c r="I16" s="2">
        <f>Tabell6[[#This Row],[Medlems avg]]/14</f>
        <v>1000</v>
      </c>
      <c r="J16" s="2">
        <v>657</v>
      </c>
      <c r="K16" s="2">
        <f>IF(Tabell410111213[[#This Row],[Nuvarande]], SUM(Tabell410111213[[#This Row],[Summa förbrukning]:[Lån]])+Tabell410111213[[#This Row],[Korr]],0)</f>
        <v>2686.863392857143</v>
      </c>
      <c r="L16" s="2"/>
    </row>
    <row r="17" spans="1:12" x14ac:dyDescent="0.25">
      <c r="A17" s="4">
        <f>Tabell6[[#This Row],[Avläsnings datum]]</f>
        <v>42004</v>
      </c>
      <c r="B17">
        <v>1911</v>
      </c>
      <c r="C17">
        <f t="shared" si="1"/>
        <v>1879</v>
      </c>
      <c r="D17">
        <f t="shared" si="0"/>
        <v>32</v>
      </c>
      <c r="E17" s="3">
        <f>Tabell6[[#This Row],[Att fördela]]</f>
        <v>-2.0714285714285716</v>
      </c>
      <c r="F17">
        <f>Tabell6[[#This Row],[Pris/m3 ink.moms]]</f>
        <v>14.9625</v>
      </c>
      <c r="G17" s="2">
        <f>(Tabell410111213[[#This Row],[Förbrukning]]+Tabell410111213[[#This Row],[Utjämning]])*Tabell410111213[[#This Row],[Kr/m3]]</f>
        <v>447.80624999999998</v>
      </c>
      <c r="H17" s="2">
        <f>Tabell6[[#This Row],[Summa fast avg/hushåll]]</f>
        <v>547.85714285714289</v>
      </c>
      <c r="I17" s="2">
        <f>Tabell6[[#This Row],[Medlems avg]]/14</f>
        <v>1000</v>
      </c>
      <c r="J17" s="2">
        <v>642</v>
      </c>
      <c r="K17" s="2">
        <f>IF(Tabell410111213[[#This Row],[Nuvarande]], SUM(Tabell410111213[[#This Row],[Summa förbrukning]:[Lån]])+Tabell410111213[[#This Row],[Korr]],0)</f>
        <v>2637.6633928571428</v>
      </c>
      <c r="L17" s="2"/>
    </row>
    <row r="18" spans="1:12" x14ac:dyDescent="0.25">
      <c r="A18" s="4">
        <f>Tabell6[[#This Row],[Avläsnings datum]]</f>
        <v>42124</v>
      </c>
      <c r="B18">
        <v>1945</v>
      </c>
      <c r="C18">
        <f t="shared" si="1"/>
        <v>1911</v>
      </c>
      <c r="D18">
        <f t="shared" si="0"/>
        <v>34</v>
      </c>
      <c r="E18" s="3">
        <f>Tabell6[[#This Row],[Att fördela]]</f>
        <v>-2.5</v>
      </c>
      <c r="F18">
        <f>Tabell6[[#This Row],[Pris/m3 ink.moms]]</f>
        <v>14.9625</v>
      </c>
      <c r="G18" s="2">
        <f>(Tabell410111213[[#This Row],[Förbrukning]]+Tabell410111213[[#This Row],[Utjämning]])*Tabell410111213[[#This Row],[Kr/m3]]</f>
        <v>471.31875000000002</v>
      </c>
      <c r="H18" s="2">
        <f>Tabell6[[#This Row],[Summa fast avg/hushåll]]</f>
        <v>547.85714285714289</v>
      </c>
      <c r="I18" s="2">
        <f>Tabell6[[#This Row],[Medlems avg]]/14</f>
        <v>600</v>
      </c>
      <c r="J18" s="2">
        <f>Lån!D46</f>
        <v>627</v>
      </c>
      <c r="K18" s="2">
        <f>IF(Tabell410111213[[#This Row],[Nuvarande]], SUM(Tabell410111213[[#This Row],[Summa förbrukning]:[Lån]])+Tabell410111213[[#This Row],[Korr]],0)</f>
        <v>2246.175892857143</v>
      </c>
      <c r="L18" s="2"/>
    </row>
    <row r="19" spans="1:12" x14ac:dyDescent="0.25">
      <c r="A19" s="4">
        <f>Tabell6[[#This Row],[Avläsnings datum]]</f>
        <v>42247</v>
      </c>
      <c r="B19">
        <v>1980</v>
      </c>
      <c r="C19">
        <f t="shared" si="1"/>
        <v>1945</v>
      </c>
      <c r="D19">
        <f t="shared" si="0"/>
        <v>35</v>
      </c>
      <c r="E19" s="3">
        <f>Tabell6[[#This Row],[Att fördela]]</f>
        <v>-2.2857142857142856</v>
      </c>
      <c r="F19">
        <f>Tabell6[[#This Row],[Pris/m3 ink.moms]]</f>
        <v>14.9625</v>
      </c>
      <c r="G19" s="2">
        <f>(Tabell410111213[[#This Row],[Förbrukning]]+Tabell410111213[[#This Row],[Utjämning]])*Tabell410111213[[#This Row],[Kr/m3]]</f>
        <v>489.48750000000001</v>
      </c>
      <c r="H19" s="2">
        <f>Tabell6[[#This Row],[Summa fast avg/hushåll]]</f>
        <v>547.85714285714289</v>
      </c>
      <c r="I19" s="2">
        <f>Tabell6[[#This Row],[Medlems avg]]/14</f>
        <v>600</v>
      </c>
      <c r="J19" s="2">
        <f>Lån!D50</f>
        <v>616.28571428571433</v>
      </c>
      <c r="K19" s="2">
        <f>IF(Tabell410111213[[#This Row],[Nuvarande]], SUM(Tabell410111213[[#This Row],[Summa förbrukning]:[Lån]])+Tabell410111213[[#This Row],[Korr]],0)</f>
        <v>2253.6303571428571</v>
      </c>
      <c r="L19" s="2"/>
    </row>
    <row r="20" spans="1:12" x14ac:dyDescent="0.25">
      <c r="A20" s="4">
        <f>Tabell6[[#This Row],[Avläsnings datum]]</f>
        <v>42369</v>
      </c>
      <c r="B20">
        <v>2020</v>
      </c>
      <c r="C20">
        <f t="shared" si="1"/>
        <v>1980</v>
      </c>
      <c r="D20">
        <f t="shared" si="0"/>
        <v>40</v>
      </c>
      <c r="E20" s="3">
        <f>Tabell6[[#This Row],[Att fördela]]</f>
        <v>-2.8571428571428572</v>
      </c>
      <c r="F20">
        <f>Tabell6[[#This Row],[Pris/m3 ink.moms]]</f>
        <v>14.9625</v>
      </c>
      <c r="G20" s="2">
        <f>(Tabell410111213[[#This Row],[Förbrukning]]+Tabell410111213[[#This Row],[Utjämning]])*Tabell410111213[[#This Row],[Kr/m3]]</f>
        <v>555.75000000000011</v>
      </c>
      <c r="H20" s="2">
        <f>Tabell6[[#This Row],[Summa fast avg/hushåll]]</f>
        <v>547.85714285714289</v>
      </c>
      <c r="I20" s="2">
        <f>Tabell6[[#This Row],[Medlems avg]]/14</f>
        <v>600</v>
      </c>
      <c r="J20" s="26">
        <f>Lån!D54</f>
        <v>599.71428571428567</v>
      </c>
      <c r="K20" s="2">
        <f>IF(Tabell410111213[[#This Row],[Nuvarande]], SUM(Tabell410111213[[#This Row],[Summa förbrukning]:[Lån]])+Tabell410111213[[#This Row],[Korr]],0)</f>
        <v>2303.3214285714289</v>
      </c>
      <c r="L20" s="2"/>
    </row>
    <row r="21" spans="1:12" x14ac:dyDescent="0.25">
      <c r="A21" s="4">
        <v>42490</v>
      </c>
      <c r="B21">
        <v>2069</v>
      </c>
      <c r="C21">
        <f t="shared" si="1"/>
        <v>2020</v>
      </c>
      <c r="D21">
        <f t="shared" si="0"/>
        <v>49</v>
      </c>
      <c r="E21" s="3">
        <f>Tabell6[[#This Row],[Att fördela]]</f>
        <v>-3.5</v>
      </c>
      <c r="F21">
        <f>Tabell6[[#This Row],[Pris/m3 ink.moms]]</f>
        <v>14.9625</v>
      </c>
      <c r="G21" s="2">
        <f>(Tabell410111213[[#This Row],[Förbrukning]]+Tabell410111213[[#This Row],[Utjämning]])*Tabell410111213[[#This Row],[Kr/m3]]</f>
        <v>680.79375000000005</v>
      </c>
      <c r="H21" s="2">
        <f>Tabell6[[#This Row],[Summa fast avg/hushåll]]</f>
        <v>547.85714285714289</v>
      </c>
      <c r="I21" s="2">
        <f>Tabell6[[#This Row],[Medlems avg]]/14</f>
        <v>600</v>
      </c>
      <c r="J21" s="26"/>
      <c r="K21" s="2">
        <f>IF(Tabell410111213[[#This Row],[Nuvarande]], SUM(Tabell410111213[[#This Row],[Summa förbrukning]:[Lån]])+Tabell410111213[[#This Row],[Korr]],0)</f>
        <v>1836.105357142857</v>
      </c>
      <c r="L21" s="2">
        <f>K19-K18</f>
        <v>7.4544642857140389</v>
      </c>
    </row>
    <row r="22" spans="1:12" x14ac:dyDescent="0.25">
      <c r="A22" s="4">
        <v>42613</v>
      </c>
      <c r="B22">
        <v>2087</v>
      </c>
      <c r="C22">
        <f t="shared" ref="C22:C36" si="3">B21</f>
        <v>2069</v>
      </c>
      <c r="D22">
        <f t="shared" ref="D22:D36" si="4">IF(B22-C22&lt;0,0,B22-C22)</f>
        <v>18</v>
      </c>
      <c r="E22" s="3">
        <f>Tabell6[[#This Row],[Att fördela]]</f>
        <v>-1.0714285714285714</v>
      </c>
      <c r="F22">
        <f>Tabell6[[#This Row],[Pris/m3 ink.moms]]</f>
        <v>14.9625</v>
      </c>
      <c r="G22" s="2">
        <f>(Tabell410111213[[#This Row],[Förbrukning]]+Tabell410111213[[#This Row],[Utjämning]])*Tabell410111213[[#This Row],[Kr/m3]]</f>
        <v>253.29374999999999</v>
      </c>
      <c r="H22" s="2">
        <f>Tabell6[[#This Row],[Summa fast avg/hushåll]]</f>
        <v>547.85714285714289</v>
      </c>
      <c r="I22" s="2">
        <f>Tabell6[[#This Row],[Medlems avg]]/14</f>
        <v>600</v>
      </c>
      <c r="J22" s="26">
        <f>Lån!D62+579</f>
        <v>1147.5714285714284</v>
      </c>
      <c r="K22" s="2">
        <f>IF(Tabell410111213[[#This Row],[Nuvarande]], SUM(Tabell410111213[[#This Row],[Summa förbrukning]:[Lån]])+Tabell410111213[[#This Row],[Korr]],0)</f>
        <v>2548.7223214285714</v>
      </c>
      <c r="L22" s="2"/>
    </row>
    <row r="23" spans="1:12" x14ac:dyDescent="0.25">
      <c r="A23" s="4">
        <v>42735</v>
      </c>
      <c r="B23">
        <v>2125</v>
      </c>
      <c r="C23">
        <f t="shared" si="3"/>
        <v>2087</v>
      </c>
      <c r="D23">
        <f t="shared" si="4"/>
        <v>38</v>
      </c>
      <c r="E23" s="3">
        <f>Tabell6[[#This Row],[Att fördela]]</f>
        <v>-3.7142857142857144</v>
      </c>
      <c r="F23">
        <f>Tabell6[[#This Row],[Pris/m3 ink.moms]]</f>
        <v>14.9625</v>
      </c>
      <c r="G23" s="2">
        <f>(Tabell410111213[[#This Row],[Förbrukning]]+Tabell410111213[[#This Row],[Utjämning]])*Tabell410111213[[#This Row],[Kr/m3]]</f>
        <v>513</v>
      </c>
      <c r="H23" s="2">
        <f>Tabell6[[#This Row],[Summa fast avg/hushåll]]</f>
        <v>547.85714285714289</v>
      </c>
      <c r="I23" s="2">
        <f>Tabell6[[#This Row],[Medlems avg]]/14</f>
        <v>600</v>
      </c>
      <c r="J23" s="26">
        <f>Lån!D66</f>
        <v>556.14285714285711</v>
      </c>
      <c r="K23" s="2">
        <f>IF(Tabell410111213[[#This Row],[Nuvarande]], SUM(Tabell410111213[[#This Row],[Summa förbrukning]:[Lån]])+Tabell410111213[[#This Row],[Korr]],0)</f>
        <v>2217</v>
      </c>
      <c r="L23" s="2"/>
    </row>
    <row r="24" spans="1:12" x14ac:dyDescent="0.25">
      <c r="A24" s="4">
        <v>42855</v>
      </c>
      <c r="B24">
        <v>2158</v>
      </c>
      <c r="C24">
        <f t="shared" si="3"/>
        <v>2125</v>
      </c>
      <c r="D24">
        <f t="shared" si="4"/>
        <v>33</v>
      </c>
      <c r="E24" s="3">
        <f>Tabell6[[#This Row],[Att fördela]]</f>
        <v>-2</v>
      </c>
      <c r="F24">
        <f>Tabell6[[#This Row],[Pris/m3 ink.moms]]</f>
        <v>14.9625</v>
      </c>
      <c r="G24" s="2">
        <f>(Tabell410111213[[#This Row],[Förbrukning]]+Tabell410111213[[#This Row],[Utjämning]])*Tabell410111213[[#This Row],[Kr/m3]]</f>
        <v>463.83750000000003</v>
      </c>
      <c r="H24" s="2">
        <f>Tabell6[[#This Row],[Summa fast avg/hushåll]]</f>
        <v>547.85714285714289</v>
      </c>
      <c r="I24" s="2">
        <f>Tabell6[[#This Row],[Medlems avg]]/14</f>
        <v>700</v>
      </c>
      <c r="J24" s="26">
        <f>Lån!D70</f>
        <v>543.71428571428567</v>
      </c>
      <c r="K24" s="2">
        <f>IF(Tabell410111213[[#This Row],[Nuvarande]], SUM(Tabell410111213[[#This Row],[Summa förbrukning]:[Lån]])+Tabell410111213[[#This Row],[Korr]],0)</f>
        <v>2255.4089285714285</v>
      </c>
      <c r="L24" s="2"/>
    </row>
    <row r="25" spans="1:12" x14ac:dyDescent="0.25">
      <c r="A25" s="4">
        <v>42978</v>
      </c>
      <c r="B25">
        <v>2191</v>
      </c>
      <c r="C25">
        <f t="shared" si="3"/>
        <v>2158</v>
      </c>
      <c r="D25">
        <f t="shared" si="4"/>
        <v>33</v>
      </c>
      <c r="E25" s="3">
        <f>Tabell6[[#This Row],[Att fördela]]</f>
        <v>-3.3571428571428572</v>
      </c>
      <c r="F25">
        <f>Tabell6[[#This Row],[Pris/m3 ink.moms]]</f>
        <v>14.9625</v>
      </c>
      <c r="G25" s="2">
        <f>(Tabell410111213[[#This Row],[Förbrukning]]+Tabell410111213[[#This Row],[Utjämning]])*Tabell410111213[[#This Row],[Kr/m3]]</f>
        <v>443.53125</v>
      </c>
      <c r="H25" s="2">
        <f>Tabell6[[#This Row],[Summa fast avg/hushåll]]</f>
        <v>547.85714285714289</v>
      </c>
      <c r="I25" s="2">
        <f>Tabell6[[#This Row],[Medlems avg]]/14</f>
        <v>700</v>
      </c>
      <c r="J25" s="26">
        <f>Lån!D74</f>
        <v>527</v>
      </c>
      <c r="K25" s="2">
        <f>IF(Tabell410111213[[#This Row],[Nuvarande]], SUM(Tabell410111213[[#This Row],[Summa förbrukning]:[Lån]])+Tabell410111213[[#This Row],[Korr]],0)</f>
        <v>2218.3883928571431</v>
      </c>
      <c r="L25" s="2"/>
    </row>
    <row r="26" spans="1:12" x14ac:dyDescent="0.25">
      <c r="A26" s="4">
        <v>43100</v>
      </c>
      <c r="B26">
        <v>2228</v>
      </c>
      <c r="C26">
        <f t="shared" si="3"/>
        <v>2191</v>
      </c>
      <c r="D26">
        <f t="shared" si="4"/>
        <v>37</v>
      </c>
      <c r="E26" s="3">
        <f>Tabell6[[#This Row],[Att fördela]]</f>
        <v>-1.8571428571428572</v>
      </c>
      <c r="F26">
        <f>Tabell6[[#This Row],[Pris/m3 ink.moms]]</f>
        <v>14.9625</v>
      </c>
      <c r="G26" s="2">
        <f>(Tabell410111213[[#This Row],[Förbrukning]]+Tabell410111213[[#This Row],[Utjämning]])*Tabell410111213[[#This Row],[Kr/m3]]</f>
        <v>525.82500000000005</v>
      </c>
      <c r="H26" s="2">
        <f>Tabell6[[#This Row],[Summa fast avg/hushåll]]</f>
        <v>547.85714285714289</v>
      </c>
      <c r="I26" s="2">
        <f>Tabell6[[#This Row],[Medlems avg]]/14</f>
        <v>700</v>
      </c>
      <c r="J26" s="26">
        <f>Lån!D78</f>
        <v>387.57142857142856</v>
      </c>
      <c r="K26" s="2">
        <f>IF(Tabell410111213[[#This Row],[Nuvarande]], SUM(Tabell410111213[[#This Row],[Summa förbrukning]:[Lån]])+Tabell410111213[[#This Row],[Korr]],0)</f>
        <v>2161.2535714285714</v>
      </c>
      <c r="L26" s="2"/>
    </row>
    <row r="27" spans="1:12" x14ac:dyDescent="0.25">
      <c r="A27" s="4">
        <v>43220</v>
      </c>
      <c r="B27">
        <v>2256</v>
      </c>
      <c r="C27">
        <f t="shared" si="3"/>
        <v>2228</v>
      </c>
      <c r="D27">
        <f t="shared" si="4"/>
        <v>28</v>
      </c>
      <c r="E27" s="3">
        <f>Tabell6[[#This Row],[Att fördela]]</f>
        <v>-2.5714285714285716</v>
      </c>
      <c r="F27">
        <f>Tabell6[[#This Row],[Pris/m3 ink.moms]]</f>
        <v>14.9625</v>
      </c>
      <c r="G27" s="2">
        <f>(Tabell410111213[[#This Row],[Förbrukning]]+Tabell410111213[[#This Row],[Utjämning]])*Tabell410111213[[#This Row],[Kr/m3]]</f>
        <v>380.47499999999997</v>
      </c>
      <c r="H27" s="2">
        <f>Tabell6[[#This Row],[Summa fast avg/hushåll]]</f>
        <v>547.85714285714289</v>
      </c>
      <c r="I27" s="2">
        <f>Tabell6[[#This Row],[Medlems avg]]/14</f>
        <v>1000</v>
      </c>
      <c r="J27" s="2"/>
      <c r="K27" s="2">
        <f>IF(Tabell410111213[[#This Row],[Nuvarande]], SUM(Tabell410111213[[#This Row],[Summa förbrukning]:[Lån]])+Tabell410111213[[#This Row],[Korr]],0)</f>
        <v>1928.3321428571428</v>
      </c>
      <c r="L27" s="2"/>
    </row>
    <row r="28" spans="1:12" x14ac:dyDescent="0.25">
      <c r="A28" s="4">
        <v>43343</v>
      </c>
      <c r="B28">
        <v>2278</v>
      </c>
      <c r="C28">
        <f t="shared" si="3"/>
        <v>2256</v>
      </c>
      <c r="D28">
        <f t="shared" si="4"/>
        <v>22</v>
      </c>
      <c r="E28" s="3">
        <f>Tabell6[[#This Row],[Att fördela]]</f>
        <v>-2.2142857142857144</v>
      </c>
      <c r="F28">
        <f>Tabell6[[#This Row],[Pris/m3 ink.moms]]</f>
        <v>14.9625</v>
      </c>
      <c r="G28" s="2">
        <f>(Tabell410111213[[#This Row],[Förbrukning]]+Tabell410111213[[#This Row],[Utjämning]])*Tabell410111213[[#This Row],[Kr/m3]]</f>
        <v>296.04374999999999</v>
      </c>
      <c r="H28" s="2">
        <f>Tabell6[[#This Row],[Summa fast avg/hushåll]]</f>
        <v>547.85714285714289</v>
      </c>
      <c r="I28" s="2">
        <f>Tabell6[[#This Row],[Medlems avg]]/14</f>
        <v>1000</v>
      </c>
      <c r="J28" s="2"/>
      <c r="K28" s="2">
        <f>IF(Tabell410111213[[#This Row],[Nuvarande]], SUM(Tabell410111213[[#This Row],[Summa förbrukning]:[Lån]])+Tabell410111213[[#This Row],[Korr]],0)</f>
        <v>1843.9008928571429</v>
      </c>
      <c r="L28" s="2"/>
    </row>
    <row r="29" spans="1:12" x14ac:dyDescent="0.25">
      <c r="A29" s="4">
        <v>43465</v>
      </c>
      <c r="B29">
        <v>2305</v>
      </c>
      <c r="C29">
        <f t="shared" si="3"/>
        <v>2278</v>
      </c>
      <c r="D29">
        <f t="shared" si="4"/>
        <v>27</v>
      </c>
      <c r="E29" s="3">
        <f>Tabell6[[#This Row],[Att fördela]]</f>
        <v>-1.5</v>
      </c>
      <c r="F29">
        <f>Tabell6[[#This Row],[Pris/m3 ink.moms]]</f>
        <v>15.780000000000001</v>
      </c>
      <c r="G29" s="2">
        <f>(Tabell410111213[[#This Row],[Förbrukning]]+Tabell410111213[[#This Row],[Utjämning]])*Tabell410111213[[#This Row],[Kr/m3]]</f>
        <v>402.39000000000004</v>
      </c>
      <c r="H29" s="2">
        <f>Tabell6[[#This Row],[Summa fast avg/hushåll]]</f>
        <v>547.85714285714289</v>
      </c>
      <c r="I29" s="2">
        <f>Tabell6[[#This Row],[Medlems avg]]/14</f>
        <v>1000</v>
      </c>
      <c r="J29" s="2"/>
      <c r="K29" s="2">
        <f>IF(Tabell410111213[[#This Row],[Nuvarande]], SUM(Tabell410111213[[#This Row],[Summa förbrukning]:[Lån]])+Tabell410111213[[#This Row],[Korr]],0)</f>
        <v>1950.247142857143</v>
      </c>
      <c r="L29" s="2"/>
    </row>
    <row r="30" spans="1:12" x14ac:dyDescent="0.25">
      <c r="A30" s="4">
        <v>43585</v>
      </c>
      <c r="B30">
        <v>2323</v>
      </c>
      <c r="C30">
        <f t="shared" si="3"/>
        <v>2305</v>
      </c>
      <c r="D30">
        <f t="shared" si="4"/>
        <v>18</v>
      </c>
      <c r="E30" s="3">
        <f>Tabell6[[#This Row],[Att fördela]]</f>
        <v>-7.2857142857142856</v>
      </c>
      <c r="F30">
        <f>Tabell6[[#This Row],[Pris/m3 ink.moms]]</f>
        <v>15.780000000000001</v>
      </c>
      <c r="G30" s="2">
        <f>(Tabell410111213[[#This Row],[Förbrukning]]+Tabell410111213[[#This Row],[Utjämning]])*Tabell410111213[[#This Row],[Kr/m3]]</f>
        <v>169.07142857142861</v>
      </c>
      <c r="H30" s="2">
        <f>Tabell6[[#This Row],[Summa fast avg/hushåll]]</f>
        <v>578.16714285714284</v>
      </c>
      <c r="I30" s="2">
        <f>Tabell6[[#This Row],[Medlems avg]]/14</f>
        <v>1000</v>
      </c>
      <c r="J30" s="2"/>
      <c r="K30" s="2">
        <f>IF(Tabell410111213[[#This Row],[Nuvarande]], SUM(Tabell410111213[[#This Row],[Summa förbrukning]:[Lån]])+Tabell410111213[[#This Row],[Korr]],0)</f>
        <v>1747.2385714285715</v>
      </c>
      <c r="L30" s="2"/>
    </row>
    <row r="31" spans="1:12" x14ac:dyDescent="0.25">
      <c r="A31" s="4">
        <v>43708</v>
      </c>
      <c r="B31">
        <v>2343</v>
      </c>
      <c r="C31">
        <f t="shared" si="3"/>
        <v>2323</v>
      </c>
      <c r="D31">
        <f t="shared" si="4"/>
        <v>20</v>
      </c>
      <c r="E31" s="3">
        <f>Tabell6[[#This Row],[Att fördela]]</f>
        <v>-3.4285714285714284</v>
      </c>
      <c r="F31">
        <f>Tabell6[[#This Row],[Pris/m3 ink.moms]]</f>
        <v>15.780000000000001</v>
      </c>
      <c r="G31" s="2">
        <f>(Tabell410111213[[#This Row],[Förbrukning]]+Tabell410111213[[#This Row],[Utjämning]])*Tabell410111213[[#This Row],[Kr/m3]]</f>
        <v>261.49714285714288</v>
      </c>
      <c r="H31" s="2">
        <f>Tabell6[[#This Row],[Summa fast avg/hushåll]]</f>
        <v>578.16714285714284</v>
      </c>
      <c r="I31" s="2">
        <f>Tabell6[[#This Row],[Medlems avg]]/14</f>
        <v>1000</v>
      </c>
      <c r="J31" s="2"/>
      <c r="K31" s="2">
        <f>IF(Tabell410111213[[#This Row],[Nuvarande]], SUM(Tabell410111213[[#This Row],[Summa förbrukning]:[Lån]])+Tabell410111213[[#This Row],[Korr]],0)</f>
        <v>1839.6642857142856</v>
      </c>
      <c r="L31" s="2"/>
    </row>
    <row r="32" spans="1:12" x14ac:dyDescent="0.25">
      <c r="A32" s="4">
        <v>43830</v>
      </c>
      <c r="B32">
        <v>2368</v>
      </c>
      <c r="C32">
        <f t="shared" si="3"/>
        <v>2343</v>
      </c>
      <c r="D32">
        <f t="shared" si="4"/>
        <v>25</v>
      </c>
      <c r="E32" s="3">
        <f>Tabell6[[#This Row],[Att fördela]]</f>
        <v>-3</v>
      </c>
      <c r="F32">
        <f>Tabell6[[#This Row],[Pris/m3 ink.moms]]</f>
        <v>15.780000000000001</v>
      </c>
      <c r="G32" s="2">
        <f>(Tabell410111213[[#This Row],[Förbrukning]]+Tabell410111213[[#This Row],[Utjämning]])*Tabell410111213[[#This Row],[Kr/m3]]</f>
        <v>347.16</v>
      </c>
      <c r="H32" s="2">
        <f>Tabell6[[#This Row],[Summa fast avg/hushåll]]</f>
        <v>578.16714285714284</v>
      </c>
      <c r="I32" s="2">
        <f>Tabell6[[#This Row],[Medlems avg]]/14</f>
        <v>1000</v>
      </c>
      <c r="J32" s="2"/>
      <c r="K32" s="2">
        <f>IF(Tabell410111213[[#This Row],[Nuvarande]], SUM(Tabell410111213[[#This Row],[Summa förbrukning]:[Lån]])+Tabell410111213[[#This Row],[Korr]],0)</f>
        <v>1925.3271428571429</v>
      </c>
      <c r="L32" s="2"/>
    </row>
    <row r="33" spans="1:12" x14ac:dyDescent="0.25">
      <c r="A33" s="4">
        <v>43951</v>
      </c>
      <c r="B33">
        <v>2392</v>
      </c>
      <c r="C33">
        <f t="shared" si="3"/>
        <v>2368</v>
      </c>
      <c r="D33">
        <f t="shared" si="4"/>
        <v>24</v>
      </c>
      <c r="E33" s="3">
        <f>Tabell6[[#This Row],[Att fördela]]</f>
        <v>-1.9285714285714286</v>
      </c>
      <c r="F33">
        <f>Tabell6[[#This Row],[Pris/m3 ink.moms]]</f>
        <v>15.780000000000001</v>
      </c>
      <c r="G33" s="2">
        <f>(Tabell410111213[[#This Row],[Förbrukning]]+Tabell410111213[[#This Row],[Utjämning]])*Tabell410111213[[#This Row],[Kr/m3]]</f>
        <v>348.2871428571429</v>
      </c>
      <c r="H33" s="2">
        <f>Tabell6[[#This Row],[Summa fast avg/hushåll]]</f>
        <v>578.16714285714284</v>
      </c>
      <c r="I33" s="2">
        <f>Tabell6[[#This Row],[Medlems avg]]/14</f>
        <v>1000</v>
      </c>
      <c r="J33" s="2"/>
      <c r="K33" s="2">
        <f>IF(Tabell410111213[[#This Row],[Nuvarande]], SUM(Tabell410111213[[#This Row],[Summa förbrukning]:[Lån]])+Tabell410111213[[#This Row],[Korr]],0)</f>
        <v>1926.4542857142858</v>
      </c>
      <c r="L33" s="2"/>
    </row>
    <row r="34" spans="1:12" x14ac:dyDescent="0.25">
      <c r="A34" s="4">
        <v>44074</v>
      </c>
      <c r="B34">
        <v>2415</v>
      </c>
      <c r="C34">
        <f t="shared" si="3"/>
        <v>2392</v>
      </c>
      <c r="D34">
        <f t="shared" si="4"/>
        <v>23</v>
      </c>
      <c r="E34" s="3">
        <f>Tabell6[[#This Row],[Att fördela]]</f>
        <v>-1.8571428571428572</v>
      </c>
      <c r="F34">
        <f>Tabell6[[#This Row],[Pris/m3 ink.moms]]</f>
        <v>15.780000000000001</v>
      </c>
      <c r="G34" s="2">
        <f>(Tabell410111213[[#This Row],[Förbrukning]]+Tabell410111213[[#This Row],[Utjämning]])*Tabell410111213[[#This Row],[Kr/m3]]</f>
        <v>333.63428571428574</v>
      </c>
      <c r="H34" s="2">
        <f>Tabell6[[#This Row],[Summa fast avg/hushåll]]</f>
        <v>578.16714285714284</v>
      </c>
      <c r="I34" s="2">
        <f>Tabell6[[#This Row],[Medlems avg]]/14</f>
        <v>1000</v>
      </c>
      <c r="J34" s="2"/>
      <c r="K34" s="2">
        <f>IF(Tabell410111213[[#This Row],[Nuvarande]], SUM(Tabell410111213[[#This Row],[Summa förbrukning]:[Lån]])+Tabell410111213[[#This Row],[Korr]],0)</f>
        <v>1911.8014285714285</v>
      </c>
      <c r="L34" s="2"/>
    </row>
    <row r="35" spans="1:12" x14ac:dyDescent="0.25">
      <c r="A35" s="4">
        <v>44196</v>
      </c>
      <c r="B35">
        <v>2444</v>
      </c>
      <c r="C35">
        <f t="shared" si="3"/>
        <v>2415</v>
      </c>
      <c r="D35">
        <f t="shared" si="4"/>
        <v>29</v>
      </c>
      <c r="E35" s="3">
        <f>Tabell6[[#This Row],[Att fördela]]</f>
        <v>-2.2142857142857144</v>
      </c>
      <c r="F35">
        <f>Tabell6[[#This Row],[Pris/m3 ink.moms]]</f>
        <v>15.780000000000001</v>
      </c>
      <c r="G35" s="2">
        <f>(Tabell410111213[[#This Row],[Förbrukning]]+Tabell410111213[[#This Row],[Utjämning]])*Tabell410111213[[#This Row],[Kr/m3]]</f>
        <v>422.67857142857144</v>
      </c>
      <c r="H35" s="2">
        <f>Tabell6[[#This Row],[Summa fast avg/hushåll]]</f>
        <v>578.16714285714284</v>
      </c>
      <c r="I35" s="2">
        <f>Tabell6[[#This Row],[Medlems avg]]/14</f>
        <v>1000</v>
      </c>
      <c r="J35" s="2"/>
      <c r="K35" s="2">
        <f>IF(Tabell410111213[[#This Row],[Nuvarande]], SUM(Tabell410111213[[#This Row],[Summa förbrukning]:[Lån]])+Tabell410111213[[#This Row],[Korr]],0)</f>
        <v>2000.8457142857142</v>
      </c>
      <c r="L35" s="2"/>
    </row>
    <row r="36" spans="1:12" x14ac:dyDescent="0.25">
      <c r="A36" s="4">
        <v>44316</v>
      </c>
      <c r="B36">
        <v>2472</v>
      </c>
      <c r="C36">
        <f t="shared" si="3"/>
        <v>2444</v>
      </c>
      <c r="D36">
        <f t="shared" si="4"/>
        <v>28</v>
      </c>
      <c r="E36" s="3">
        <f>Tabell6[[#This Row],[Att fördela]]</f>
        <v>-1.0714285714285714</v>
      </c>
      <c r="F36">
        <f>Tabell6[[#This Row],[Pris/m3 ink.moms]]</f>
        <v>15.780000000000001</v>
      </c>
      <c r="G36" s="2">
        <f>(Tabell410111213[[#This Row],[Förbrukning]]+Tabell410111213[[#This Row],[Utjämning]])*Tabell410111213[[#This Row],[Kr/m3]]</f>
        <v>424.93285714285713</v>
      </c>
      <c r="H36" s="2">
        <f>Tabell6[[#This Row],[Summa fast avg/hushåll]]</f>
        <v>578.16714285714284</v>
      </c>
      <c r="I36" s="2">
        <f>Tabell6[[#This Row],[Medlems avg]]/14</f>
        <v>1000</v>
      </c>
      <c r="J36" s="2"/>
      <c r="K36" s="2">
        <f>IF(Tabell410111213[[#This Row],[Nuvarande]], SUM(Tabell410111213[[#This Row],[Summa förbrukning]:[Lån]])+Tabell410111213[[#This Row],[Korr]],0)</f>
        <v>2003.1</v>
      </c>
      <c r="L36" s="2"/>
    </row>
    <row r="37" spans="1:12" x14ac:dyDescent="0.25">
      <c r="A37" s="4">
        <f>Tabell6[[#This Row],[Avläsnings datum]]</f>
        <v>44439</v>
      </c>
      <c r="B37">
        <v>2495</v>
      </c>
      <c r="C37">
        <f t="shared" ref="C37:C60" si="5">B36</f>
        <v>2472</v>
      </c>
      <c r="D37">
        <f t="shared" ref="D37:D60" si="6">IF(B37-C37&lt;0,0,B37-C37)</f>
        <v>23</v>
      </c>
      <c r="E37" s="3">
        <f>Tabell6[[#This Row],[Att fördela]]</f>
        <v>-2.4285714285714284</v>
      </c>
      <c r="F37">
        <f>Tabell6[[#This Row],[Pris/m3 ink.moms]]</f>
        <v>15.780000000000001</v>
      </c>
      <c r="G37" s="2">
        <f>(Tabell410111213[[#This Row],[Förbrukning]]+Tabell410111213[[#This Row],[Utjämning]])*Tabell410111213[[#This Row],[Kr/m3]]</f>
        <v>324.61714285714288</v>
      </c>
      <c r="H37" s="2">
        <f>Tabell6[[#This Row],[Summa fast avg/hushåll]]</f>
        <v>578.16714285714284</v>
      </c>
      <c r="I37" s="2">
        <f>Tabell6[[#This Row],[Medlems avg]]/14</f>
        <v>1000</v>
      </c>
      <c r="J37" s="2"/>
      <c r="K37" s="2">
        <f>IF(Tabell410111213[[#This Row],[Nuvarande]], SUM(Tabell410111213[[#This Row],[Summa förbrukning]:[Lån]])+Tabell410111213[[#This Row],[Korr]],0)</f>
        <v>1902.7842857142857</v>
      </c>
      <c r="L37" s="2"/>
    </row>
    <row r="38" spans="1:12" x14ac:dyDescent="0.25">
      <c r="A38" s="4">
        <f>Tabell6[[#This Row],[Avläsnings datum]]</f>
        <v>44561</v>
      </c>
      <c r="B38">
        <v>2522</v>
      </c>
      <c r="C38">
        <f t="shared" si="5"/>
        <v>2495</v>
      </c>
      <c r="D38">
        <f t="shared" si="6"/>
        <v>27</v>
      </c>
      <c r="E38" s="3">
        <f>Tabell6[[#This Row],[Att fördela]]</f>
        <v>-1.3571428571428572</v>
      </c>
      <c r="F38">
        <f>Tabell6[[#This Row],[Pris/m3 ink.moms]]</f>
        <v>15.780000000000001</v>
      </c>
      <c r="G38" s="2">
        <f>(Tabell410111213[[#This Row],[Förbrukning]]+Tabell410111213[[#This Row],[Utjämning]])*Tabell410111213[[#This Row],[Kr/m3]]</f>
        <v>404.64428571428573</v>
      </c>
      <c r="H38" s="2">
        <f>Tabell6[[#This Row],[Summa fast avg/hushåll]]</f>
        <v>578.16714285714284</v>
      </c>
      <c r="I38" s="2">
        <f>Tabell6[[#This Row],[Medlems avg]]/14</f>
        <v>1000</v>
      </c>
      <c r="J38" s="2"/>
      <c r="K38" s="2">
        <f>IF(Tabell410111213[[#This Row],[Nuvarande]], SUM(Tabell410111213[[#This Row],[Summa förbrukning]:[Lån]])+Tabell410111213[[#This Row],[Korr]],0)</f>
        <v>1982.8114285714287</v>
      </c>
      <c r="L38" s="2"/>
    </row>
    <row r="39" spans="1:12" x14ac:dyDescent="0.25">
      <c r="A39" s="4">
        <f>Tabell6[[#This Row],[Avläsnings datum]]</f>
        <v>44681</v>
      </c>
      <c r="B39">
        <v>2548</v>
      </c>
      <c r="C39">
        <f t="shared" si="5"/>
        <v>2522</v>
      </c>
      <c r="D39">
        <f t="shared" si="6"/>
        <v>26</v>
      </c>
      <c r="E39" s="3">
        <f>Tabell6[[#This Row],[Att fördela]]</f>
        <v>-2.7142857142857144</v>
      </c>
      <c r="F39">
        <f>Tabell6[[#This Row],[Pris/m3 ink.moms]]</f>
        <v>15.780000000000001</v>
      </c>
      <c r="G39" s="2">
        <f>(Tabell410111213[[#This Row],[Förbrukning]]+Tabell410111213[[#This Row],[Utjämning]])*Tabell410111213[[#This Row],[Kr/m3]]</f>
        <v>367.44857142857143</v>
      </c>
      <c r="H39" s="2">
        <f>Tabell6[[#This Row],[Summa fast avg/hushåll]]</f>
        <v>578.16714285714284</v>
      </c>
      <c r="I39" s="2">
        <f>Tabell6[[#This Row],[Medlems avg]]/14</f>
        <v>1000</v>
      </c>
      <c r="J39" s="2"/>
      <c r="K39" s="2">
        <f>IF(Tabell410111213[[#This Row],[Nuvarande]], SUM(Tabell410111213[[#This Row],[Summa förbrukning]:[Lån]])+Tabell410111213[[#This Row],[Korr]],0)</f>
        <v>1945.6157142857141</v>
      </c>
      <c r="L39" s="2"/>
    </row>
    <row r="40" spans="1:12" x14ac:dyDescent="0.25">
      <c r="A40" s="4">
        <f>Tabell6[[#This Row],[Avläsnings datum]]</f>
        <v>44804</v>
      </c>
      <c r="B40">
        <v>2574</v>
      </c>
      <c r="C40">
        <f t="shared" si="5"/>
        <v>2548</v>
      </c>
      <c r="D40">
        <f t="shared" si="6"/>
        <v>26</v>
      </c>
      <c r="E40" s="3">
        <f>Tabell6[[#This Row],[Att fördela]]</f>
        <v>-7.1428571428571425E-2</v>
      </c>
      <c r="F40">
        <f>Tabell6[[#This Row],[Pris/m3 ink.moms]]</f>
        <v>15.780000000000001</v>
      </c>
      <c r="G40" s="2">
        <f>(Tabell410111213[[#This Row],[Förbrukning]]+Tabell410111213[[#This Row],[Utjämning]])*Tabell410111213[[#This Row],[Kr/m3]]</f>
        <v>409.15285714285716</v>
      </c>
      <c r="H40" s="2">
        <f>Tabell6[[#This Row],[Summa fast avg/hushåll]]</f>
        <v>578.16714285714284</v>
      </c>
      <c r="I40" s="2">
        <f>Tabell6[[#This Row],[Medlems avg]]/14</f>
        <v>1000</v>
      </c>
      <c r="J40" s="2"/>
      <c r="K40" s="2">
        <f>IF(Tabell410111213[[#This Row],[Nuvarande]], SUM(Tabell410111213[[#This Row],[Summa förbrukning]:[Lån]])+Tabell410111213[[#This Row],[Korr]],0)</f>
        <v>1987.32</v>
      </c>
      <c r="L40" s="2"/>
    </row>
    <row r="41" spans="1:12" x14ac:dyDescent="0.25">
      <c r="A41" s="4">
        <f>Tabell6[[#This Row],[Avläsnings datum]]</f>
        <v>44926</v>
      </c>
      <c r="B41">
        <v>2600</v>
      </c>
      <c r="C41">
        <f t="shared" si="5"/>
        <v>2574</v>
      </c>
      <c r="D41">
        <f t="shared" si="6"/>
        <v>26</v>
      </c>
      <c r="E41" s="3">
        <f>Tabell6[[#This Row],[Att fördela]]</f>
        <v>0</v>
      </c>
      <c r="F41">
        <f>Tabell6[[#This Row],[Pris/m3 ink.moms]]</f>
        <v>15.780000000000001</v>
      </c>
      <c r="G41" s="2">
        <f>(Tabell410111213[[#This Row],[Förbrukning]]+Tabell410111213[[#This Row],[Utjämning]])*Tabell410111213[[#This Row],[Kr/m3]]</f>
        <v>410.28000000000003</v>
      </c>
      <c r="H41" s="2">
        <f>Tabell6[[#This Row],[Summa fast avg/hushåll]]</f>
        <v>578.16714285714284</v>
      </c>
      <c r="I41" s="2">
        <f>Tabell6[[#This Row],[Medlems avg]]/14</f>
        <v>1000</v>
      </c>
      <c r="J41" s="2"/>
      <c r="K41" s="2">
        <f>IF(Tabell410111213[[#This Row],[Nuvarande]], SUM(Tabell410111213[[#This Row],[Summa förbrukning]:[Lån]])+Tabell410111213[[#This Row],[Korr]],0)</f>
        <v>1988.4471428571428</v>
      </c>
      <c r="L41" s="2"/>
    </row>
    <row r="42" spans="1:12" x14ac:dyDescent="0.25">
      <c r="A42" s="4">
        <f>Tabell6[[#This Row],[Avläsnings datum]]</f>
        <v>45046</v>
      </c>
      <c r="B42">
        <v>2624</v>
      </c>
      <c r="C42">
        <f t="shared" si="5"/>
        <v>2600</v>
      </c>
      <c r="D42">
        <f t="shared" si="6"/>
        <v>24</v>
      </c>
      <c r="E42" s="3">
        <f>Tabell6[[#This Row],[Att fördela]]</f>
        <v>0.14285714285714285</v>
      </c>
      <c r="F42">
        <f>Tabell6[[#This Row],[Pris/m3 ink.moms]]</f>
        <v>17.829999999999998</v>
      </c>
      <c r="G42" s="2">
        <f>(Tabell410111213[[#This Row],[Förbrukning]]+Tabell410111213[[#This Row],[Utjämning]])*Tabell410111213[[#This Row],[Kr/m3]]</f>
        <v>430.46714285714279</v>
      </c>
      <c r="H42" s="2">
        <f>Tabell6[[#This Row],[Summa fast avg/hushåll]]</f>
        <v>652.99952380952379</v>
      </c>
      <c r="I42" s="2">
        <f>Tabell6[[#This Row],[Medlems avg]]/14</f>
        <v>1000</v>
      </c>
      <c r="J42" s="2"/>
      <c r="K42" s="2">
        <f>IF(Tabell410111213[[#This Row],[Nuvarande]], SUM(Tabell410111213[[#This Row],[Summa förbrukning]:[Lån]])+Tabell410111213[[#This Row],[Korr]],0)</f>
        <v>2083.4666666666667</v>
      </c>
      <c r="L42" s="2"/>
    </row>
    <row r="43" spans="1:12" x14ac:dyDescent="0.25">
      <c r="A43" s="4">
        <f>Tabell6[[#This Row],[Avläsnings datum]]</f>
        <v>45169</v>
      </c>
      <c r="B43">
        <v>2646</v>
      </c>
      <c r="C43">
        <f t="shared" si="5"/>
        <v>2624</v>
      </c>
      <c r="D43">
        <f t="shared" si="6"/>
        <v>22</v>
      </c>
      <c r="E43" s="3">
        <f>Tabell6[[#This Row],[Att fördela]]</f>
        <v>-2.2142857142857144</v>
      </c>
      <c r="F43">
        <f>Tabell6[[#This Row],[Pris/m3 ink.moms]]</f>
        <v>17.829999999999998</v>
      </c>
      <c r="G43" s="2">
        <f>(Tabell410111213[[#This Row],[Förbrukning]]+Tabell410111213[[#This Row],[Utjämning]])*Tabell410111213[[#This Row],[Kr/m3]]</f>
        <v>352.77928571428566</v>
      </c>
      <c r="H43" s="2">
        <f>Tabell6[[#This Row],[Summa fast avg/hushåll]]</f>
        <v>652.99952380952379</v>
      </c>
      <c r="I43" s="2">
        <f>Tabell6[[#This Row],[Medlems avg]]/14</f>
        <v>1000</v>
      </c>
      <c r="J43" s="2"/>
      <c r="K43" s="2">
        <f>IF(Tabell410111213[[#This Row],[Nuvarande]], SUM(Tabell410111213[[#This Row],[Summa förbrukning]:[Lån]])+Tabell410111213[[#This Row],[Korr]],0)</f>
        <v>2005.7788095238095</v>
      </c>
      <c r="L43" s="2"/>
    </row>
    <row r="44" spans="1:12" x14ac:dyDescent="0.25">
      <c r="A44" s="4">
        <f>Tabell6[[#This Row],[Avläsnings datum]]</f>
        <v>45291</v>
      </c>
      <c r="B44">
        <v>2666</v>
      </c>
      <c r="C44">
        <f t="shared" si="5"/>
        <v>2646</v>
      </c>
      <c r="D44">
        <f t="shared" si="6"/>
        <v>20</v>
      </c>
      <c r="E44" s="3">
        <f>Tabell6[[#This Row],[Att fördela]]</f>
        <v>-0.7857142857142857</v>
      </c>
      <c r="F44">
        <f>Tabell6[[#This Row],[Pris/m3 ink.moms]]</f>
        <v>17.829999999999998</v>
      </c>
      <c r="G44" s="2">
        <f>(Tabell410111213[[#This Row],[Förbrukning]]+Tabell410111213[[#This Row],[Utjämning]])*Tabell410111213[[#This Row],[Kr/m3]]</f>
        <v>342.59071428571428</v>
      </c>
      <c r="H44" s="2">
        <f>Tabell6[[#This Row],[Summa fast avg/hushåll]]</f>
        <v>652.99952380952379</v>
      </c>
      <c r="I44" s="2">
        <f>Tabell6[[#This Row],[Medlems avg]]/14</f>
        <v>1000</v>
      </c>
      <c r="J44" s="2"/>
      <c r="K44" s="2">
        <f>IF(Tabell410111213[[#This Row],[Nuvarande]], SUM(Tabell410111213[[#This Row],[Summa förbrukning]:[Lån]])+Tabell410111213[[#This Row],[Korr]],0)</f>
        <v>1995.590238095238</v>
      </c>
      <c r="L44" s="2"/>
    </row>
    <row r="45" spans="1:12" x14ac:dyDescent="0.25">
      <c r="A45" s="4">
        <f>Tabell6[[#This Row],[Avläsnings datum]]</f>
        <v>45412</v>
      </c>
      <c r="B45">
        <v>2686</v>
      </c>
      <c r="C45">
        <f t="shared" si="5"/>
        <v>2666</v>
      </c>
      <c r="D45">
        <f t="shared" si="6"/>
        <v>20</v>
      </c>
      <c r="E45" s="3">
        <f>Tabell6[[#This Row],[Att fördela]]</f>
        <v>-7.1428571428571425E-2</v>
      </c>
      <c r="F45">
        <f>Tabell6[[#This Row],[Pris/m3 ink.moms]]</f>
        <v>17.829999999999998</v>
      </c>
      <c r="G45" s="2">
        <f>(Tabell410111213[[#This Row],[Förbrukning]]+Tabell410111213[[#This Row],[Utjämning]])*Tabell410111213[[#This Row],[Kr/m3]]</f>
        <v>355.32642857142849</v>
      </c>
      <c r="H45" s="2">
        <f>Tabell6[[#This Row],[Summa fast avg/hushåll]]</f>
        <v>652.99952380952379</v>
      </c>
      <c r="I45" s="2">
        <f>Tabell6[[#This Row],[Medlems avg]]/14</f>
        <v>1000</v>
      </c>
      <c r="J45" s="2"/>
      <c r="K45" s="2">
        <f>IF(Tabell410111213[[#This Row],[Nuvarande]], SUM(Tabell410111213[[#This Row],[Summa förbrukning]:[Lån]])+Tabell410111213[[#This Row],[Korr]],0)</f>
        <v>2008.3259523809522</v>
      </c>
      <c r="L45" s="2"/>
    </row>
    <row r="46" spans="1:12" x14ac:dyDescent="0.25">
      <c r="A46" s="4">
        <f>Tabell6[[#This Row],[Avläsnings datum]]</f>
        <v>45535</v>
      </c>
      <c r="B46">
        <v>2702</v>
      </c>
      <c r="C46">
        <f t="shared" si="5"/>
        <v>2686</v>
      </c>
      <c r="D46">
        <f t="shared" si="6"/>
        <v>16</v>
      </c>
      <c r="E46" s="3">
        <f>Tabell6[[#This Row],[Att fördela]]</f>
        <v>-1.3571428571428572</v>
      </c>
      <c r="F46">
        <f>Tabell6[[#This Row],[Pris/m3 ink.moms]]</f>
        <v>21</v>
      </c>
      <c r="G46" s="2">
        <f>(Tabell410111213[[#This Row],[Förbrukning]]+Tabell410111213[[#This Row],[Utjämning]])*Tabell410111213[[#This Row],[Kr/m3]]</f>
        <v>307.5</v>
      </c>
      <c r="H46" s="2">
        <f>Tabell6[[#This Row],[Summa fast avg/hushåll]]</f>
        <v>763.97428571428566</v>
      </c>
      <c r="I46" s="2">
        <f>Tabell6[[#This Row],[Medlems avg]]/14</f>
        <v>1000</v>
      </c>
      <c r="J46" s="2"/>
      <c r="K46" s="2">
        <f>IF(Tabell410111213[[#This Row],[Nuvarande]], SUM(Tabell410111213[[#This Row],[Summa förbrukning]:[Lån]])+Tabell410111213[[#This Row],[Korr]],0)</f>
        <v>2071.4742857142855</v>
      </c>
      <c r="L46" s="2"/>
    </row>
    <row r="47" spans="1:12" x14ac:dyDescent="0.25">
      <c r="A47" s="4">
        <f>Tabell6[[#This Row],[Avläsnings datum]]</f>
        <v>45657</v>
      </c>
      <c r="B47">
        <v>2717</v>
      </c>
      <c r="C47">
        <f t="shared" si="5"/>
        <v>2702</v>
      </c>
      <c r="D47">
        <f t="shared" si="6"/>
        <v>15</v>
      </c>
      <c r="E47" s="3">
        <f>Tabell6[[#This Row],[Att fördela]]</f>
        <v>-1.7142857142857142</v>
      </c>
      <c r="F47">
        <f>Tabell6[[#This Row],[Pris/m3 ink.moms]]</f>
        <v>21</v>
      </c>
      <c r="G47" s="2">
        <f>(Tabell410111213[[#This Row],[Förbrukning]]+Tabell410111213[[#This Row],[Utjämning]])*Tabell410111213[[#This Row],[Kr/m3]]</f>
        <v>279</v>
      </c>
      <c r="H47" s="2">
        <f>Tabell6[[#This Row],[Summa fast avg/hushåll]]</f>
        <v>763.97428571428566</v>
      </c>
      <c r="I47" s="2">
        <f>Tabell6[[#This Row],[Medlems avg]]/14</f>
        <v>1000</v>
      </c>
      <c r="J47" s="2"/>
      <c r="K47" s="2">
        <f>IF(Tabell410111213[[#This Row],[Nuvarande]], SUM(Tabell410111213[[#This Row],[Summa förbrukning]:[Lån]])+Tabell410111213[[#This Row],[Korr]],0)</f>
        <v>2042.9742857142855</v>
      </c>
      <c r="L47" s="2"/>
    </row>
    <row r="48" spans="1:12" x14ac:dyDescent="0.25">
      <c r="A48" s="4">
        <f>Tabell6[[#This Row],[Avläsnings datum]]</f>
        <v>45777</v>
      </c>
      <c r="B48">
        <v>2738</v>
      </c>
      <c r="C48">
        <f t="shared" si="5"/>
        <v>2717</v>
      </c>
      <c r="D48">
        <f t="shared" si="6"/>
        <v>21</v>
      </c>
      <c r="E48" s="3">
        <f>Tabell6[[#This Row],[Att fördela]]</f>
        <v>-1.5</v>
      </c>
      <c r="F48">
        <f>Tabell6[[#This Row],[Pris/m3 ink.moms]]</f>
        <v>24</v>
      </c>
      <c r="G48" s="2">
        <f>(Tabell410111213[[#This Row],[Förbrukning]]+Tabell410111213[[#This Row],[Utjämning]])*Tabell410111213[[#This Row],[Kr/m3]]</f>
        <v>468</v>
      </c>
      <c r="H48" s="2">
        <f>Tabell6[[#This Row],[Summa fast avg/hushåll]]</f>
        <v>879.14738095238101</v>
      </c>
      <c r="I48" s="2">
        <f>Tabell6[[#This Row],[Medlems avg]]/14</f>
        <v>1000</v>
      </c>
      <c r="J48" s="2"/>
      <c r="K48" s="2">
        <f>IF(Tabell410111213[[#This Row],[Nuvarande]], SUM(Tabell410111213[[#This Row],[Summa förbrukning]:[Lån]])+Tabell410111213[[#This Row],[Korr]],0)</f>
        <v>2347.1473809523809</v>
      </c>
      <c r="L48" s="2"/>
    </row>
    <row r="49" spans="1:12" x14ac:dyDescent="0.25">
      <c r="A49" s="4">
        <f>Tabell6[[#This Row],[Avläsnings datum]]</f>
        <v>45900</v>
      </c>
      <c r="C49">
        <f t="shared" si="5"/>
        <v>2738</v>
      </c>
      <c r="D49">
        <f t="shared" si="6"/>
        <v>0</v>
      </c>
      <c r="E49" s="3">
        <f>Tabell6[[#This Row],[Att fördela]]</f>
        <v>0</v>
      </c>
      <c r="F49">
        <f>Tabell6[[#This Row],[Pris/m3 ink.moms]]</f>
        <v>24</v>
      </c>
      <c r="G49" s="2">
        <f>(Tabell410111213[[#This Row],[Förbrukning]]+Tabell410111213[[#This Row],[Utjämning]])*Tabell410111213[[#This Row],[Kr/m3]]</f>
        <v>0</v>
      </c>
      <c r="H49" s="2">
        <f>Tabell6[[#This Row],[Summa fast avg/hushåll]]</f>
        <v>879.14738095238101</v>
      </c>
      <c r="I49" s="2">
        <f>Tabell6[[#This Row],[Medlems avg]]/14</f>
        <v>1000</v>
      </c>
      <c r="J49" s="2"/>
      <c r="K49" s="2">
        <f>IF(Tabell410111213[[#This Row],[Nuvarande]], SUM(Tabell410111213[[#This Row],[Summa förbrukning]:[Lån]])+Tabell410111213[[#This Row],[Korr]],0)</f>
        <v>0</v>
      </c>
      <c r="L49" s="2"/>
    </row>
    <row r="50" spans="1:12" x14ac:dyDescent="0.25">
      <c r="A50" s="4">
        <f>Tabell6[[#This Row],[Avläsnings datum]]</f>
        <v>46022</v>
      </c>
      <c r="C50">
        <f t="shared" si="5"/>
        <v>0</v>
      </c>
      <c r="D50">
        <f t="shared" si="6"/>
        <v>0</v>
      </c>
      <c r="E50" s="3">
        <f>Tabell6[[#This Row],[Att fördela]]</f>
        <v>0</v>
      </c>
      <c r="F50">
        <f>Tabell6[[#This Row],[Pris/m3 ink.moms]]</f>
        <v>24</v>
      </c>
      <c r="G50" s="2">
        <f>(Tabell410111213[[#This Row],[Förbrukning]]+Tabell410111213[[#This Row],[Utjämning]])*Tabell410111213[[#This Row],[Kr/m3]]</f>
        <v>0</v>
      </c>
      <c r="H50" s="2">
        <f>Tabell6[[#This Row],[Summa fast avg/hushåll]]</f>
        <v>879.14738095238101</v>
      </c>
      <c r="I50" s="2">
        <f>Tabell6[[#This Row],[Medlems avg]]/14</f>
        <v>1000</v>
      </c>
      <c r="J50" s="2"/>
      <c r="K50" s="2">
        <f>IF(Tabell410111213[[#This Row],[Nuvarande]], SUM(Tabell410111213[[#This Row],[Summa förbrukning]:[Lån]])+Tabell410111213[[#This Row],[Korr]],0)</f>
        <v>0</v>
      </c>
      <c r="L50" s="2"/>
    </row>
    <row r="51" spans="1:12" x14ac:dyDescent="0.25">
      <c r="A51" s="4">
        <f>Tabell6[[#This Row],[Avläsnings datum]]</f>
        <v>46142</v>
      </c>
      <c r="C51">
        <f t="shared" si="5"/>
        <v>0</v>
      </c>
      <c r="D51">
        <f t="shared" si="6"/>
        <v>0</v>
      </c>
      <c r="E51" s="3">
        <f>Tabell6[[#This Row],[Att fördela]]</f>
        <v>0</v>
      </c>
      <c r="F51">
        <f>Tabell6[[#This Row],[Pris/m3 ink.moms]]</f>
        <v>24</v>
      </c>
      <c r="G51" s="2">
        <f>(Tabell410111213[[#This Row],[Förbrukning]]+Tabell410111213[[#This Row],[Utjämning]])*Tabell410111213[[#This Row],[Kr/m3]]</f>
        <v>0</v>
      </c>
      <c r="H51" s="2">
        <f>Tabell6[[#This Row],[Summa fast avg/hushåll]]</f>
        <v>879.14738095238101</v>
      </c>
      <c r="I51" s="2">
        <f>Tabell6[[#This Row],[Medlems avg]]/14</f>
        <v>1000</v>
      </c>
      <c r="J51" s="2"/>
      <c r="K51" s="2">
        <f>IF(Tabell410111213[[#This Row],[Nuvarande]], SUM(Tabell410111213[[#This Row],[Summa förbrukning]:[Lån]])+Tabell410111213[[#This Row],[Korr]],0)</f>
        <v>0</v>
      </c>
      <c r="L51" s="2"/>
    </row>
    <row r="52" spans="1:12" x14ac:dyDescent="0.25">
      <c r="A52" s="4">
        <f>Tabell6[[#This Row],[Avläsnings datum]]</f>
        <v>46265</v>
      </c>
      <c r="C52">
        <f t="shared" si="5"/>
        <v>0</v>
      </c>
      <c r="D52">
        <f t="shared" si="6"/>
        <v>0</v>
      </c>
      <c r="E52" s="3">
        <f>Tabell6[[#This Row],[Att fördela]]</f>
        <v>0</v>
      </c>
      <c r="F52">
        <f>Tabell6[[#This Row],[Pris/m3 ink.moms]]</f>
        <v>24</v>
      </c>
      <c r="G52" s="2">
        <f>(Tabell410111213[[#This Row],[Förbrukning]]+Tabell410111213[[#This Row],[Utjämning]])*Tabell410111213[[#This Row],[Kr/m3]]</f>
        <v>0</v>
      </c>
      <c r="H52" s="2">
        <f>Tabell6[[#This Row],[Summa fast avg/hushåll]]</f>
        <v>879.14738095238101</v>
      </c>
      <c r="I52" s="2">
        <f>Tabell6[[#This Row],[Medlems avg]]/14</f>
        <v>1000</v>
      </c>
      <c r="J52" s="2"/>
      <c r="K52" s="2">
        <f>IF(Tabell410111213[[#This Row],[Nuvarande]], SUM(Tabell410111213[[#This Row],[Summa förbrukning]:[Lån]])+Tabell410111213[[#This Row],[Korr]],0)</f>
        <v>0</v>
      </c>
      <c r="L52" s="2"/>
    </row>
    <row r="53" spans="1:12" x14ac:dyDescent="0.25">
      <c r="A53" s="4">
        <f>Tabell6[[#This Row],[Avläsnings datum]]</f>
        <v>46387</v>
      </c>
      <c r="C53">
        <f t="shared" si="5"/>
        <v>0</v>
      </c>
      <c r="D53">
        <f t="shared" si="6"/>
        <v>0</v>
      </c>
      <c r="E53" s="3">
        <f>Tabell6[[#This Row],[Att fördela]]</f>
        <v>0</v>
      </c>
      <c r="F53">
        <f>Tabell6[[#This Row],[Pris/m3 ink.moms]]</f>
        <v>24</v>
      </c>
      <c r="G53" s="2">
        <f>(Tabell410111213[[#This Row],[Förbrukning]]+Tabell410111213[[#This Row],[Utjämning]])*Tabell410111213[[#This Row],[Kr/m3]]</f>
        <v>0</v>
      </c>
      <c r="H53" s="2">
        <f>Tabell6[[#This Row],[Summa fast avg/hushåll]]</f>
        <v>879.14738095238101</v>
      </c>
      <c r="I53" s="2">
        <f>Tabell6[[#This Row],[Medlems avg]]/14</f>
        <v>1000</v>
      </c>
      <c r="J53" s="2"/>
      <c r="K53" s="2">
        <f>IF(Tabell410111213[[#This Row],[Nuvarande]], SUM(Tabell410111213[[#This Row],[Summa förbrukning]:[Lån]])+Tabell410111213[[#This Row],[Korr]],0)</f>
        <v>0</v>
      </c>
      <c r="L53" s="2"/>
    </row>
    <row r="54" spans="1:12" x14ac:dyDescent="0.25">
      <c r="A54" s="4">
        <f>Tabell6[[#This Row],[Avläsnings datum]]</f>
        <v>46507</v>
      </c>
      <c r="C54">
        <f t="shared" si="5"/>
        <v>0</v>
      </c>
      <c r="D54">
        <f t="shared" si="6"/>
        <v>0</v>
      </c>
      <c r="E54" s="3">
        <f>Tabell6[[#This Row],[Att fördela]]</f>
        <v>0</v>
      </c>
      <c r="F54">
        <f>Tabell6[[#This Row],[Pris/m3 ink.moms]]</f>
        <v>24</v>
      </c>
      <c r="G54" s="2">
        <f>(Tabell410111213[[#This Row],[Förbrukning]]+Tabell410111213[[#This Row],[Utjämning]])*Tabell410111213[[#This Row],[Kr/m3]]</f>
        <v>0</v>
      </c>
      <c r="H54" s="2">
        <f>Tabell6[[#This Row],[Summa fast avg/hushåll]]</f>
        <v>879.14738095238101</v>
      </c>
      <c r="I54" s="2">
        <f>Tabell6[[#This Row],[Medlems avg]]/14</f>
        <v>1000</v>
      </c>
      <c r="J54" s="2"/>
      <c r="K54" s="2">
        <f>IF(Tabell410111213[[#This Row],[Nuvarande]], SUM(Tabell410111213[[#This Row],[Summa förbrukning]:[Lån]])+Tabell410111213[[#This Row],[Korr]],0)</f>
        <v>0</v>
      </c>
      <c r="L54" s="2"/>
    </row>
    <row r="55" spans="1:12" x14ac:dyDescent="0.25">
      <c r="A55" s="4">
        <f>Tabell6[[#This Row],[Avläsnings datum]]</f>
        <v>46630</v>
      </c>
      <c r="C55">
        <f t="shared" si="5"/>
        <v>0</v>
      </c>
      <c r="D55">
        <f t="shared" si="6"/>
        <v>0</v>
      </c>
      <c r="E55" s="3">
        <f>Tabell6[[#This Row],[Att fördela]]</f>
        <v>0</v>
      </c>
      <c r="F55">
        <f>Tabell6[[#This Row],[Pris/m3 ink.moms]]</f>
        <v>24</v>
      </c>
      <c r="G55" s="2">
        <f>(Tabell410111213[[#This Row],[Förbrukning]]+Tabell410111213[[#This Row],[Utjämning]])*Tabell410111213[[#This Row],[Kr/m3]]</f>
        <v>0</v>
      </c>
      <c r="H55" s="2">
        <f>Tabell6[[#This Row],[Summa fast avg/hushåll]]</f>
        <v>879.14738095238101</v>
      </c>
      <c r="I55" s="2">
        <f>Tabell6[[#This Row],[Medlems avg]]/14</f>
        <v>1000</v>
      </c>
      <c r="J55" s="2"/>
      <c r="K55" s="2">
        <f>IF(Tabell410111213[[#This Row],[Nuvarande]], SUM(Tabell410111213[[#This Row],[Summa förbrukning]:[Lån]])+Tabell410111213[[#This Row],[Korr]],0)</f>
        <v>0</v>
      </c>
      <c r="L55" s="2"/>
    </row>
    <row r="56" spans="1:12" x14ac:dyDescent="0.25">
      <c r="A56" s="4">
        <f>Tabell6[[#This Row],[Avläsnings datum]]</f>
        <v>46752</v>
      </c>
      <c r="C56">
        <f t="shared" si="5"/>
        <v>0</v>
      </c>
      <c r="D56">
        <f t="shared" si="6"/>
        <v>0</v>
      </c>
      <c r="E56" s="3">
        <f>Tabell6[[#This Row],[Att fördela]]</f>
        <v>0</v>
      </c>
      <c r="F56">
        <f>Tabell6[[#This Row],[Pris/m3 ink.moms]]</f>
        <v>24</v>
      </c>
      <c r="G56" s="2">
        <f>(Tabell410111213[[#This Row],[Förbrukning]]+Tabell410111213[[#This Row],[Utjämning]])*Tabell410111213[[#This Row],[Kr/m3]]</f>
        <v>0</v>
      </c>
      <c r="H56" s="2">
        <f>Tabell6[[#This Row],[Summa fast avg/hushåll]]</f>
        <v>879.14738095238101</v>
      </c>
      <c r="I56" s="2">
        <f>Tabell6[[#This Row],[Medlems avg]]/14</f>
        <v>1000</v>
      </c>
      <c r="J56" s="2"/>
      <c r="K56" s="2">
        <f>IF(Tabell410111213[[#This Row],[Nuvarande]], SUM(Tabell410111213[[#This Row],[Summa förbrukning]:[Lån]])+Tabell410111213[[#This Row],[Korr]],0)</f>
        <v>0</v>
      </c>
      <c r="L56" s="2"/>
    </row>
    <row r="57" spans="1:12" x14ac:dyDescent="0.25">
      <c r="A57" s="4">
        <f>Tabell6[[#This Row],[Avläsnings datum]]</f>
        <v>46873</v>
      </c>
      <c r="C57">
        <f t="shared" si="5"/>
        <v>0</v>
      </c>
      <c r="D57">
        <f t="shared" si="6"/>
        <v>0</v>
      </c>
      <c r="E57" s="3">
        <f>Tabell6[[#This Row],[Att fördela]]</f>
        <v>0</v>
      </c>
      <c r="F57">
        <f>Tabell6[[#This Row],[Pris/m3 ink.moms]]</f>
        <v>24</v>
      </c>
      <c r="G57" s="2">
        <f>(Tabell410111213[[#This Row],[Förbrukning]]+Tabell410111213[[#This Row],[Utjämning]])*Tabell410111213[[#This Row],[Kr/m3]]</f>
        <v>0</v>
      </c>
      <c r="H57" s="2">
        <f>Tabell6[[#This Row],[Summa fast avg/hushåll]]</f>
        <v>879.14738095238101</v>
      </c>
      <c r="I57" s="2">
        <f>Tabell6[[#This Row],[Medlems avg]]/14</f>
        <v>1000</v>
      </c>
      <c r="J57" s="2"/>
      <c r="K57" s="2">
        <f>IF(Tabell410111213[[#This Row],[Nuvarande]], SUM(Tabell410111213[[#This Row],[Summa förbrukning]:[Lån]])+Tabell410111213[[#This Row],[Korr]],0)</f>
        <v>0</v>
      </c>
      <c r="L57" s="2"/>
    </row>
    <row r="58" spans="1:12" x14ac:dyDescent="0.25">
      <c r="A58" s="4">
        <f>Tabell6[[#This Row],[Avläsnings datum]]</f>
        <v>46996</v>
      </c>
      <c r="C58">
        <f t="shared" si="5"/>
        <v>0</v>
      </c>
      <c r="D58">
        <f t="shared" si="6"/>
        <v>0</v>
      </c>
      <c r="E58" s="3">
        <f>Tabell6[[#This Row],[Att fördela]]</f>
        <v>0</v>
      </c>
      <c r="F58">
        <f>Tabell6[[#This Row],[Pris/m3 ink.moms]]</f>
        <v>24</v>
      </c>
      <c r="G58" s="2">
        <f>(Tabell410111213[[#This Row],[Förbrukning]]+Tabell410111213[[#This Row],[Utjämning]])*Tabell410111213[[#This Row],[Kr/m3]]</f>
        <v>0</v>
      </c>
      <c r="H58" s="2">
        <f>Tabell6[[#This Row],[Summa fast avg/hushåll]]</f>
        <v>879.14738095238101</v>
      </c>
      <c r="I58" s="2">
        <f>Tabell6[[#This Row],[Medlems avg]]/14</f>
        <v>1000</v>
      </c>
      <c r="J58" s="2"/>
      <c r="K58" s="2">
        <f>IF(Tabell410111213[[#This Row],[Nuvarande]], SUM(Tabell410111213[[#This Row],[Summa förbrukning]:[Lån]])+Tabell410111213[[#This Row],[Korr]],0)</f>
        <v>0</v>
      </c>
      <c r="L58" s="2"/>
    </row>
    <row r="59" spans="1:12" x14ac:dyDescent="0.25">
      <c r="A59" s="4">
        <f>Tabell6[[#This Row],[Avläsnings datum]]</f>
        <v>47118</v>
      </c>
      <c r="C59">
        <f t="shared" si="5"/>
        <v>0</v>
      </c>
      <c r="D59">
        <f t="shared" si="6"/>
        <v>0</v>
      </c>
      <c r="E59" s="3">
        <f>Tabell6[[#This Row],[Att fördela]]</f>
        <v>0</v>
      </c>
      <c r="F59">
        <f>Tabell6[[#This Row],[Pris/m3 ink.moms]]</f>
        <v>24</v>
      </c>
      <c r="G59" s="2">
        <f>(Tabell410111213[[#This Row],[Förbrukning]]+Tabell410111213[[#This Row],[Utjämning]])*Tabell410111213[[#This Row],[Kr/m3]]</f>
        <v>0</v>
      </c>
      <c r="H59" s="2">
        <f>Tabell6[[#This Row],[Summa fast avg/hushåll]]</f>
        <v>879.14738095238101</v>
      </c>
      <c r="I59" s="2">
        <f>Tabell6[[#This Row],[Medlems avg]]/14</f>
        <v>1000</v>
      </c>
      <c r="J59" s="2"/>
      <c r="K59" s="2">
        <f>IF(Tabell410111213[[#This Row],[Nuvarande]], SUM(Tabell410111213[[#This Row],[Summa förbrukning]:[Lån]])+Tabell410111213[[#This Row],[Korr]],0)</f>
        <v>0</v>
      </c>
      <c r="L59" s="2"/>
    </row>
    <row r="60" spans="1:12" x14ac:dyDescent="0.25">
      <c r="A60" s="4">
        <f>Tabell6[[#This Row],[Avläsnings datum]]</f>
        <v>47238</v>
      </c>
      <c r="C60">
        <f t="shared" si="5"/>
        <v>0</v>
      </c>
      <c r="D60">
        <f t="shared" si="6"/>
        <v>0</v>
      </c>
      <c r="E60" s="3">
        <f>Tabell6[[#This Row],[Att fördela]]</f>
        <v>0</v>
      </c>
      <c r="F60">
        <f>Tabell6[[#This Row],[Pris/m3 ink.moms]]</f>
        <v>24</v>
      </c>
      <c r="G60" s="2">
        <f>(Tabell410111213[[#This Row],[Förbrukning]]+Tabell410111213[[#This Row],[Utjämning]])*Tabell410111213[[#This Row],[Kr/m3]]</f>
        <v>0</v>
      </c>
      <c r="H60" s="2">
        <f>Tabell6[[#This Row],[Summa fast avg/hushåll]]</f>
        <v>879.14738095238101</v>
      </c>
      <c r="I60" s="2">
        <f>Tabell6[[#This Row],[Medlems avg]]/14</f>
        <v>1000</v>
      </c>
      <c r="J60" s="2"/>
      <c r="K60" s="2">
        <f>IF(Tabell410111213[[#This Row],[Nuvarande]], SUM(Tabell410111213[[#This Row],[Summa förbrukning]:[Lån]])+Tabell410111213[[#This Row],[Korr]],0)</f>
        <v>0</v>
      </c>
      <c r="L60" s="2"/>
    </row>
  </sheetData>
  <pageMargins left="0.7" right="0.7" top="0.75" bottom="0.75" header="0.3" footer="0.3"/>
  <pageSetup paperSize="9" orientation="portrait" r:id="rId1"/>
  <ignoredErrors>
    <ignoredError sqref="A21:A36" calculatedColumn="1"/>
  </ignoredError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8"/>
  <dimension ref="A1:L60"/>
  <sheetViews>
    <sheetView topLeftCell="A6" workbookViewId="0">
      <selection activeCell="B49" sqref="B49"/>
    </sheetView>
  </sheetViews>
  <sheetFormatPr defaultRowHeight="15" x14ac:dyDescent="0.25"/>
  <cols>
    <col min="1" max="1" width="20.28515625" customWidth="1"/>
    <col min="2" max="2" width="13" bestFit="1" customWidth="1"/>
    <col min="3" max="3" width="13.85546875" bestFit="1" customWidth="1"/>
    <col min="4" max="5" width="15.140625" customWidth="1"/>
    <col min="6" max="6" width="11.140625" customWidth="1"/>
    <col min="7" max="7" width="21" bestFit="1" customWidth="1"/>
    <col min="8" max="8" width="10.5703125" bestFit="1" customWidth="1"/>
    <col min="9" max="9" width="15.140625" bestFit="1" customWidth="1"/>
    <col min="11" max="11" width="12" bestFit="1" customWidth="1"/>
  </cols>
  <sheetData>
    <row r="1" spans="1:12" x14ac:dyDescent="0.25">
      <c r="A1">
        <v>16</v>
      </c>
    </row>
    <row r="3" spans="1:12" x14ac:dyDescent="0.25">
      <c r="B3">
        <f>VLOOKUP('Huvud mätare'!$A1,$A5:$K87,2)</f>
        <v>64</v>
      </c>
      <c r="C3">
        <f>VLOOKUP('Huvud mätare'!$A1,$A5:$K87,3)</f>
        <v>27</v>
      </c>
      <c r="D3">
        <f>VLOOKUP('Huvud mätare'!$A1,$A5:$K87,4)</f>
        <v>37</v>
      </c>
      <c r="E3">
        <f>VLOOKUP('Huvud mätare'!$A1,$A5:$K87,5)</f>
        <v>-1.5</v>
      </c>
      <c r="F3">
        <f>VLOOKUP('Huvud mätare'!$A1,$A5:$K87,6)</f>
        <v>24</v>
      </c>
      <c r="G3">
        <f>VLOOKUP('Huvud mätare'!$A1,$A5:$K87,7)</f>
        <v>852</v>
      </c>
      <c r="H3">
        <f>VLOOKUP('Huvud mätare'!$A1,$A5:$K87,8)</f>
        <v>879.14738095238101</v>
      </c>
      <c r="I3">
        <f>VLOOKUP('Huvud mätare'!$A1,$A5:$K87,9)</f>
        <v>1000</v>
      </c>
      <c r="J3">
        <f>VLOOKUP('Huvud mätare'!$A1,$A5:$K87,10)</f>
        <v>0</v>
      </c>
      <c r="K3">
        <f>VLOOKUP('Huvud mätare'!$A1,$A5:$K87,11)</f>
        <v>2731.1473809523809</v>
      </c>
      <c r="L3">
        <f>VLOOKUP('Huvud mätare'!$A1,$A5:$L87,12)</f>
        <v>0</v>
      </c>
    </row>
    <row r="4" spans="1:12" ht="15" customHeight="1" x14ac:dyDescent="0.25">
      <c r="A4" t="s">
        <v>12</v>
      </c>
      <c r="B4" s="1" t="s">
        <v>33</v>
      </c>
      <c r="C4" s="1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25</v>
      </c>
      <c r="I4" t="s">
        <v>30</v>
      </c>
      <c r="J4" t="s">
        <v>39</v>
      </c>
      <c r="K4" t="s">
        <v>40</v>
      </c>
      <c r="L4" t="s">
        <v>41</v>
      </c>
    </row>
    <row r="5" spans="1:12" x14ac:dyDescent="0.25">
      <c r="A5" s="4">
        <f>Tabell6[[#This Row],[Avläsnings datum]]</f>
        <v>40543</v>
      </c>
      <c r="B5">
        <v>5139</v>
      </c>
      <c r="C5">
        <v>5097</v>
      </c>
      <c r="D5">
        <f t="shared" ref="D5:D21" si="0">IF(B5-C5&lt;0,0,B5-C5)</f>
        <v>42</v>
      </c>
      <c r="E5" s="3">
        <f>Tabell6[[#This Row],[Att fördela]]</f>
        <v>0.15714285714286039</v>
      </c>
      <c r="F5">
        <f>Tabell6[[#This Row],[Pris/m3 ink.moms]]</f>
        <v>16.88</v>
      </c>
      <c r="G5" s="2">
        <f>(Tabell41011121314[[#This Row],[Förbrukning]]+Tabell41011121314[[#This Row],[Utjämning]])*Tabell41011121314[[#This Row],[Kr/m3]]</f>
        <v>711.61257142857141</v>
      </c>
      <c r="H5" s="7">
        <f>Tabell6[[#This Row],[Summa fast avg/hushåll]]</f>
        <v>378.07142857142856</v>
      </c>
      <c r="I5" s="2">
        <f>Tabell6[[#This Row],[Medlems avg]]/14</f>
        <v>0</v>
      </c>
      <c r="J5" s="7"/>
      <c r="K5" s="7">
        <f>IF(Tabell41011121314[[#This Row],[Nuvarande]], SUM(Tabell41011121314[[#This Row],[Summa förbrukning]:[Lån]])+Tabell41011121314[[#This Row],[Korr]],0)</f>
        <v>1089.684</v>
      </c>
      <c r="L5" s="7"/>
    </row>
    <row r="6" spans="1:12" x14ac:dyDescent="0.25">
      <c r="A6" s="4">
        <f>Tabell6[[#This Row],[Avläsnings datum]]</f>
        <v>40664</v>
      </c>
      <c r="B6">
        <v>5175</v>
      </c>
      <c r="C6">
        <f t="shared" ref="C6:C21" si="1">B5</f>
        <v>5139</v>
      </c>
      <c r="D6">
        <f t="shared" si="0"/>
        <v>36</v>
      </c>
      <c r="E6" s="3">
        <f>Tabell6[[#This Row],[Att fördela]]</f>
        <v>2.8571428571418828E-2</v>
      </c>
      <c r="F6">
        <f>Tabell6[[#This Row],[Pris/m3 ink.moms]]</f>
        <v>16.88</v>
      </c>
      <c r="G6" s="2">
        <f>(Tabell41011121314[[#This Row],[Förbrukning]]+Tabell41011121314[[#This Row],[Utjämning]])*Tabell41011121314[[#This Row],[Kr/m3]]</f>
        <v>608.16228571428553</v>
      </c>
      <c r="H6" s="7">
        <f>Tabell6[[#This Row],[Summa fast avg/hushåll]]</f>
        <v>378.07142857142856</v>
      </c>
      <c r="I6" s="7">
        <f>Tabell6[[#This Row],[Medlems avg]]/14</f>
        <v>0</v>
      </c>
      <c r="J6" s="7"/>
      <c r="K6" s="7">
        <f>IF(Tabell41011121314[[#This Row],[Nuvarande]], SUM(Tabell41011121314[[#This Row],[Summa förbrukning]:[Lån]])+Tabell41011121314[[#This Row],[Korr]],0)</f>
        <v>986.23371428571409</v>
      </c>
      <c r="L6" s="7"/>
    </row>
    <row r="7" spans="1:12" x14ac:dyDescent="0.25">
      <c r="A7" s="4">
        <f>Tabell6[[#This Row],[Avläsnings datum]]</f>
        <v>40786</v>
      </c>
      <c r="B7">
        <v>5230</v>
      </c>
      <c r="C7">
        <f t="shared" si="1"/>
        <v>5175</v>
      </c>
      <c r="D7">
        <f t="shared" si="0"/>
        <v>55</v>
      </c>
      <c r="E7" s="3">
        <f>Tabell6[[#This Row],[Att fördela]]</f>
        <v>-2.8571428571426947E-2</v>
      </c>
      <c r="F7">
        <f>Tabell6[[#This Row],[Pris/m3 ink.moms]]</f>
        <v>16.88</v>
      </c>
      <c r="G7" s="2">
        <f>(Tabell41011121314[[#This Row],[Förbrukning]]+Tabell41011121314[[#This Row],[Utjämning]])*Tabell41011121314[[#This Row],[Kr/m3]]</f>
        <v>927.91771428571428</v>
      </c>
      <c r="H7" s="7">
        <f>Tabell6[[#This Row],[Summa fast avg/hushåll]]</f>
        <v>378.07142857142856</v>
      </c>
      <c r="I7" s="7">
        <f>Tabell6[[#This Row],[Medlems avg]]/14</f>
        <v>0</v>
      </c>
      <c r="J7" s="7"/>
      <c r="K7" s="7">
        <f>IF(Tabell41011121314[[#This Row],[Nuvarande]], SUM(Tabell41011121314[[#This Row],[Summa förbrukning]:[Lån]])+Tabell41011121314[[#This Row],[Korr]],0)</f>
        <v>1305.9891428571427</v>
      </c>
      <c r="L7" s="7"/>
    </row>
    <row r="8" spans="1:12" x14ac:dyDescent="0.25">
      <c r="A8" s="4">
        <f>Tabell6[[#This Row],[Avläsnings datum]]</f>
        <v>40908</v>
      </c>
      <c r="B8">
        <v>5272</v>
      </c>
      <c r="C8">
        <f t="shared" si="1"/>
        <v>5230</v>
      </c>
      <c r="D8">
        <f t="shared" si="0"/>
        <v>42</v>
      </c>
      <c r="E8" s="3">
        <f>Tabell6[[#This Row],[Att fördela]]</f>
        <v>-0.22857142857142371</v>
      </c>
      <c r="F8">
        <f>Tabell6[[#This Row],[Pris/m3 ink.moms]]</f>
        <v>16.825000000000003</v>
      </c>
      <c r="G8" s="2">
        <f>(Tabell41011121314[[#This Row],[Förbrukning]]+Tabell41011121314[[#This Row],[Utjämning]])*Tabell41011121314[[#This Row],[Kr/m3]]</f>
        <v>702.80428571428592</v>
      </c>
      <c r="H8" s="7">
        <f>Tabell6[[#This Row],[Summa fast avg/hushåll]]</f>
        <v>378.07142857142856</v>
      </c>
      <c r="I8" s="7">
        <f>Tabell6[[#This Row],[Medlems avg]]/14</f>
        <v>1000</v>
      </c>
      <c r="J8" s="7"/>
      <c r="K8" s="7">
        <f>IF(Tabell41011121314[[#This Row],[Nuvarande]], SUM(Tabell41011121314[[#This Row],[Summa förbrukning]:[Lån]])+Tabell41011121314[[#This Row],[Korr]],0)</f>
        <v>2080.8757142857144</v>
      </c>
      <c r="L8" s="7"/>
    </row>
    <row r="9" spans="1:12" x14ac:dyDescent="0.25">
      <c r="A9" s="4">
        <f>Tabell6[[#This Row],[Avläsnings datum]]</f>
        <v>41029</v>
      </c>
      <c r="B9">
        <v>5308</v>
      </c>
      <c r="C9">
        <f t="shared" si="1"/>
        <v>5272</v>
      </c>
      <c r="D9">
        <f t="shared" si="0"/>
        <v>36</v>
      </c>
      <c r="E9" s="3">
        <f>Tabell6[[#This Row],[Att fördela]]</f>
        <v>-1</v>
      </c>
      <c r="F9">
        <f>Tabell6[[#This Row],[Pris/m3 ink.moms]]</f>
        <v>16.825000000000003</v>
      </c>
      <c r="G9" s="2">
        <f>(Tabell41011121314[[#This Row],[Förbrukning]]+Tabell41011121314[[#This Row],[Utjämning]])*Tabell41011121314[[#This Row],[Kr/m3]]</f>
        <v>588.87500000000011</v>
      </c>
      <c r="H9" s="7">
        <f>Tabell6[[#This Row],[Summa fast avg/hushåll]]</f>
        <v>378.07142857142856</v>
      </c>
      <c r="I9" s="7">
        <f>Tabell6[[#This Row],[Medlems avg]]/14</f>
        <v>1000</v>
      </c>
      <c r="J9" s="7"/>
      <c r="K9" s="7">
        <f>IF(Tabell41011121314[[#This Row],[Nuvarande]], SUM(Tabell41011121314[[#This Row],[Summa förbrukning]:[Lån]])+Tabell41011121314[[#This Row],[Korr]],0)</f>
        <v>1966.9464285714287</v>
      </c>
      <c r="L9" s="7"/>
    </row>
    <row r="10" spans="1:12" x14ac:dyDescent="0.25">
      <c r="A10" s="4">
        <f>Tabell6[[#This Row],[Avläsnings datum]]</f>
        <v>41152</v>
      </c>
      <c r="B10">
        <v>5346</v>
      </c>
      <c r="C10">
        <f t="shared" si="1"/>
        <v>5308</v>
      </c>
      <c r="D10">
        <f t="shared" si="0"/>
        <v>38</v>
      </c>
      <c r="E10" s="3">
        <f>Tabell6[[#This Row],[Att fördela]]</f>
        <v>-0.14285714285714285</v>
      </c>
      <c r="F10">
        <f>Tabell6[[#This Row],[Pris/m3 ink.moms]]</f>
        <v>16.825000000000003</v>
      </c>
      <c r="G10" s="2">
        <f>(Tabell41011121314[[#This Row],[Förbrukning]]+Tabell41011121314[[#This Row],[Utjämning]])*Tabell41011121314[[#This Row],[Kr/m3]]</f>
        <v>636.94642857142867</v>
      </c>
      <c r="H10" s="7">
        <f>Tabell6[[#This Row],[Summa fast avg/hushåll]]</f>
        <v>378.07142857142856</v>
      </c>
      <c r="I10" s="7">
        <f>Tabell6[[#This Row],[Medlems avg]]/14</f>
        <v>1000</v>
      </c>
      <c r="J10" s="7"/>
      <c r="K10" s="7">
        <f>IF(Tabell41011121314[[#This Row],[Nuvarande]], SUM(Tabell41011121314[[#This Row],[Summa förbrukning]:[Lån]])+Tabell41011121314[[#This Row],[Korr]],0)</f>
        <v>2015.0178571428573</v>
      </c>
      <c r="L10" s="7"/>
    </row>
    <row r="11" spans="1:12" x14ac:dyDescent="0.25">
      <c r="A11" s="4">
        <f>Tabell6[[#This Row],[Avläsnings datum]]</f>
        <v>41274</v>
      </c>
      <c r="B11">
        <v>5379</v>
      </c>
      <c r="C11">
        <f t="shared" si="1"/>
        <v>5346</v>
      </c>
      <c r="D11">
        <f t="shared" si="0"/>
        <v>33</v>
      </c>
      <c r="E11" s="3">
        <f>Tabell6[[#This Row],[Att fördela]]</f>
        <v>-0.9285714285714286</v>
      </c>
      <c r="F11">
        <f>Tabell6[[#This Row],[Pris/m3 ink.moms]]</f>
        <v>14.8125</v>
      </c>
      <c r="G11" s="2">
        <f>(Tabell41011121314[[#This Row],[Förbrukning]]+Tabell41011121314[[#This Row],[Utjämning]])*Tabell41011121314[[#This Row],[Kr/m3]]</f>
        <v>475.05803571428567</v>
      </c>
      <c r="H11" s="7">
        <f>Tabell6[[#This Row],[Summa fast avg/hushåll]]</f>
        <v>542.26190476190482</v>
      </c>
      <c r="I11" s="7">
        <f>Tabell6[[#This Row],[Medlems avg]]/14</f>
        <v>1000</v>
      </c>
      <c r="J11" s="7"/>
      <c r="K11" s="7">
        <f>IF(Tabell41011121314[[#This Row],[Nuvarande]], SUM(Tabell41011121314[[#This Row],[Summa förbrukning]:[Lån]])+Tabell41011121314[[#This Row],[Korr]],0)</f>
        <v>2017.3199404761904</v>
      </c>
      <c r="L11" s="7"/>
    </row>
    <row r="12" spans="1:12" x14ac:dyDescent="0.25">
      <c r="A12" s="4">
        <f>Tabell6[[#This Row],[Avläsnings datum]]</f>
        <v>41394</v>
      </c>
      <c r="B12">
        <v>5412</v>
      </c>
      <c r="C12">
        <f t="shared" si="1"/>
        <v>5379</v>
      </c>
      <c r="D12">
        <f t="shared" si="0"/>
        <v>33</v>
      </c>
      <c r="E12" s="3">
        <f>Tabell6[[#This Row],[Att fördela]]</f>
        <v>-1.5714285714285714</v>
      </c>
      <c r="F12">
        <f>Tabell6[[#This Row],[Pris/m3 ink.moms]]</f>
        <v>14.8125</v>
      </c>
      <c r="G12" s="2">
        <f>(Tabell41011121314[[#This Row],[Förbrukning]]+Tabell41011121314[[#This Row],[Utjämning]])*Tabell41011121314[[#This Row],[Kr/m3]]</f>
        <v>465.53571428571428</v>
      </c>
      <c r="H12" s="7">
        <f>Tabell6[[#This Row],[Summa fast avg/hushåll]]</f>
        <v>542.26190476190482</v>
      </c>
      <c r="I12" s="7">
        <f>Tabell6[[#This Row],[Medlems avg]]/14</f>
        <v>1000</v>
      </c>
      <c r="J12" s="7"/>
      <c r="K12" s="7">
        <f>IF(Tabell41011121314[[#This Row],[Nuvarande]], SUM(Tabell41011121314[[#This Row],[Summa förbrukning]:[Lån]])+Tabell41011121314[[#This Row],[Korr]],0)</f>
        <v>2007.797619047619</v>
      </c>
      <c r="L12" s="7"/>
    </row>
    <row r="13" spans="1:12" x14ac:dyDescent="0.25">
      <c r="A13" s="4">
        <f>Tabell6[[#This Row],[Avläsnings datum]]</f>
        <v>41517</v>
      </c>
      <c r="B13">
        <v>5458</v>
      </c>
      <c r="C13">
        <f t="shared" si="1"/>
        <v>5412</v>
      </c>
      <c r="D13">
        <f t="shared" si="0"/>
        <v>46</v>
      </c>
      <c r="E13" s="3">
        <f>Tabell6[[#This Row],[Att fördela]]</f>
        <v>-0.8571428571428571</v>
      </c>
      <c r="F13">
        <f>Tabell6[[#This Row],[Pris/m3 ink.moms]]</f>
        <v>14.8125</v>
      </c>
      <c r="G13" s="2">
        <f>(Tabell41011121314[[#This Row],[Förbrukning]]+Tabell41011121314[[#This Row],[Utjämning]])*Tabell41011121314[[#This Row],[Kr/m3]]</f>
        <v>668.67857142857144</v>
      </c>
      <c r="H13" s="7">
        <f>Tabell6[[#This Row],[Summa fast avg/hushåll]]</f>
        <v>542.26190476190482</v>
      </c>
      <c r="I13" s="7">
        <f>Tabell6[[#This Row],[Medlems avg]]/14</f>
        <v>1000</v>
      </c>
      <c r="J13" s="7"/>
      <c r="K13" s="7">
        <f>IF(Tabell41011121314[[#This Row],[Nuvarande]], SUM(Tabell41011121314[[#This Row],[Summa förbrukning]:[Lån]])+Tabell41011121314[[#This Row],[Korr]],0)</f>
        <v>2210.9404761904761</v>
      </c>
      <c r="L13" s="7"/>
    </row>
    <row r="14" spans="1:12" x14ac:dyDescent="0.25">
      <c r="A14" s="4">
        <f>Tabell6[[#This Row],[Avläsnings datum]]</f>
        <v>41639</v>
      </c>
      <c r="B14">
        <v>5494</v>
      </c>
      <c r="C14">
        <f t="shared" si="1"/>
        <v>5458</v>
      </c>
      <c r="D14">
        <f t="shared" si="0"/>
        <v>36</v>
      </c>
      <c r="E14" s="3">
        <f>Tabell6[[#This Row],[Att fördela]]</f>
        <v>-2.5</v>
      </c>
      <c r="F14">
        <f>Tabell6[[#This Row],[Pris/m3 ink.moms]]</f>
        <v>14.8125</v>
      </c>
      <c r="G14" s="2">
        <f>(Tabell41011121314[[#This Row],[Förbrukning]]+Tabell41011121314[[#This Row],[Utjämning]])*Tabell41011121314[[#This Row],[Kr/m3]]</f>
        <v>496.21875</v>
      </c>
      <c r="H14" s="7">
        <f>Tabell6[[#This Row],[Summa fast avg/hushåll]]</f>
        <v>547.85714285714289</v>
      </c>
      <c r="I14" s="7">
        <f>Tabell6[[#This Row],[Medlems avg]]/14</f>
        <v>1000</v>
      </c>
      <c r="J14" s="7"/>
      <c r="K14" s="7">
        <f>IF(Tabell41011121314[[#This Row],[Nuvarande]], SUM(Tabell41011121314[[#This Row],[Summa förbrukning]:[Lån]])+Tabell41011121314[[#This Row],[Korr]],0)</f>
        <v>2044.0758928571429</v>
      </c>
      <c r="L14" s="7"/>
    </row>
    <row r="15" spans="1:12" x14ac:dyDescent="0.25">
      <c r="A15" s="4">
        <f>Tabell6[[#This Row],[Avläsnings datum]]</f>
        <v>41759</v>
      </c>
      <c r="B15">
        <v>5529</v>
      </c>
      <c r="C15">
        <f t="shared" si="1"/>
        <v>5494</v>
      </c>
      <c r="D15">
        <f t="shared" si="0"/>
        <v>35</v>
      </c>
      <c r="E15" s="3">
        <f>Tabell6[[#This Row],[Att fördela]]</f>
        <v>-1.5714285714285714</v>
      </c>
      <c r="F15">
        <f>Tabell6[[#This Row],[Pris/m3 ink.moms]]</f>
        <v>14.9625</v>
      </c>
      <c r="G15" s="2">
        <f>(Tabell41011121314[[#This Row],[Förbrukning]]+Tabell41011121314[[#This Row],[Utjämning]])*Tabell41011121314[[#This Row],[Kr/m3]]</f>
        <v>500.17500000000007</v>
      </c>
      <c r="H15" s="7">
        <f>Tabell6[[#This Row],[Summa fast avg/hushåll]]</f>
        <v>547.85714285714289</v>
      </c>
      <c r="I15" s="7">
        <f>Tabell6[[#This Row],[Medlems avg]]/14</f>
        <v>1000</v>
      </c>
      <c r="J15" s="7"/>
      <c r="K15" s="7">
        <f>IF(Tabell41011121314[[#This Row],[Nuvarande]], SUM(Tabell41011121314[[#This Row],[Summa förbrukning]:[Lån]])+Tabell41011121314[[#This Row],[Korr]],0)</f>
        <v>2251.1750000000002</v>
      </c>
      <c r="L15" s="7">
        <f t="shared" ref="L15" si="2">K13-K12</f>
        <v>203.14285714285711</v>
      </c>
    </row>
    <row r="16" spans="1:12" x14ac:dyDescent="0.25">
      <c r="A16" s="4">
        <f>Tabell6[[#This Row],[Avläsnings datum]]</f>
        <v>41882</v>
      </c>
      <c r="B16">
        <v>5567</v>
      </c>
      <c r="C16">
        <f t="shared" si="1"/>
        <v>5529</v>
      </c>
      <c r="D16">
        <f t="shared" si="0"/>
        <v>38</v>
      </c>
      <c r="E16" s="3">
        <f>Tabell6[[#This Row],[Att fördela]]</f>
        <v>-1.7857142857142858</v>
      </c>
      <c r="F16">
        <f>Tabell6[[#This Row],[Pris/m3 ink.moms]]</f>
        <v>14.9625</v>
      </c>
      <c r="G16" s="2">
        <f>(Tabell41011121314[[#This Row],[Förbrukning]]+Tabell41011121314[[#This Row],[Utjämning]])*Tabell41011121314[[#This Row],[Kr/m3]]</f>
        <v>541.85625000000005</v>
      </c>
      <c r="H16" s="7">
        <f>Tabell6[[#This Row],[Summa fast avg/hushåll]]</f>
        <v>547.85714285714289</v>
      </c>
      <c r="I16" s="7">
        <f>Tabell6[[#This Row],[Medlems avg]]/14</f>
        <v>1000</v>
      </c>
      <c r="J16" s="7"/>
      <c r="K16" s="7">
        <f>IF(Tabell41011121314[[#This Row],[Nuvarande]], SUM(Tabell41011121314[[#This Row],[Summa förbrukning]:[Lån]])+Tabell41011121314[[#This Row],[Korr]],0)</f>
        <v>2089.7133928571429</v>
      </c>
      <c r="L16" s="7"/>
    </row>
    <row r="17" spans="1:12" x14ac:dyDescent="0.25">
      <c r="A17" s="4">
        <f>Tabell6[[#This Row],[Avläsnings datum]]</f>
        <v>42004</v>
      </c>
      <c r="B17">
        <v>5600</v>
      </c>
      <c r="C17">
        <f t="shared" si="1"/>
        <v>5567</v>
      </c>
      <c r="D17">
        <f t="shared" si="0"/>
        <v>33</v>
      </c>
      <c r="E17" s="3">
        <f>Tabell6[[#This Row],[Att fördela]]</f>
        <v>-2.0714285714285716</v>
      </c>
      <c r="F17">
        <f>Tabell6[[#This Row],[Pris/m3 ink.moms]]</f>
        <v>14.9625</v>
      </c>
      <c r="G17" s="2">
        <f>(Tabell41011121314[[#This Row],[Förbrukning]]+Tabell41011121314[[#This Row],[Utjämning]])*Tabell41011121314[[#This Row],[Kr/m3]]</f>
        <v>462.76875000000001</v>
      </c>
      <c r="H17" s="7">
        <f>Tabell6[[#This Row],[Summa fast avg/hushåll]]</f>
        <v>547.85714285714289</v>
      </c>
      <c r="I17" s="7">
        <f>Tabell6[[#This Row],[Medlems avg]]/14</f>
        <v>1000</v>
      </c>
      <c r="J17" s="7"/>
      <c r="K17" s="7">
        <f>IF(Tabell41011121314[[#This Row],[Nuvarande]], SUM(Tabell41011121314[[#This Row],[Summa förbrukning]:[Lån]])+Tabell41011121314[[#This Row],[Korr]],0)</f>
        <v>2010.6258928571428</v>
      </c>
      <c r="L17" s="7"/>
    </row>
    <row r="18" spans="1:12" x14ac:dyDescent="0.25">
      <c r="A18" s="4">
        <f>Tabell6[[#This Row],[Avläsnings datum]]</f>
        <v>42124</v>
      </c>
      <c r="B18">
        <v>5636</v>
      </c>
      <c r="C18">
        <f t="shared" si="1"/>
        <v>5600</v>
      </c>
      <c r="D18">
        <f t="shared" si="0"/>
        <v>36</v>
      </c>
      <c r="E18" s="3">
        <f>Tabell6[[#This Row],[Att fördela]]</f>
        <v>-2.5</v>
      </c>
      <c r="F18">
        <f>Tabell6[[#This Row],[Pris/m3 ink.moms]]</f>
        <v>14.9625</v>
      </c>
      <c r="G18" s="2">
        <f>(Tabell41011121314[[#This Row],[Förbrukning]]+Tabell41011121314[[#This Row],[Utjämning]])*Tabell41011121314[[#This Row],[Kr/m3]]</f>
        <v>501.24375000000003</v>
      </c>
      <c r="H18" s="7">
        <f>Tabell6[[#This Row],[Summa fast avg/hushåll]]</f>
        <v>547.85714285714289</v>
      </c>
      <c r="I18" s="7">
        <f>Tabell6[[#This Row],[Medlems avg]]/14</f>
        <v>600</v>
      </c>
      <c r="J18" s="7"/>
      <c r="K18" s="7">
        <f>IF(Tabell41011121314[[#This Row],[Nuvarande]], SUM(Tabell41011121314[[#This Row],[Summa förbrukning]:[Lån]])+Tabell41011121314[[#This Row],[Korr]],0)</f>
        <v>1649.100892857143</v>
      </c>
      <c r="L18" s="7"/>
    </row>
    <row r="19" spans="1:12" x14ac:dyDescent="0.25">
      <c r="A19" s="4">
        <f>Tabell6[[#This Row],[Avläsnings datum]]</f>
        <v>42247</v>
      </c>
      <c r="B19">
        <v>5669</v>
      </c>
      <c r="C19">
        <f t="shared" si="1"/>
        <v>5636</v>
      </c>
      <c r="D19">
        <f t="shared" si="0"/>
        <v>33</v>
      </c>
      <c r="E19" s="3">
        <f>Tabell6[[#This Row],[Att fördela]]</f>
        <v>-2.2857142857142856</v>
      </c>
      <c r="F19">
        <f>Tabell6[[#This Row],[Pris/m3 ink.moms]]</f>
        <v>14.9625</v>
      </c>
      <c r="G19" s="2">
        <f>(Tabell41011121314[[#This Row],[Förbrukning]]+Tabell41011121314[[#This Row],[Utjämning]])*Tabell41011121314[[#This Row],[Kr/m3]]</f>
        <v>459.5625</v>
      </c>
      <c r="H19" s="7">
        <f>Tabell6[[#This Row],[Summa fast avg/hushåll]]</f>
        <v>547.85714285714289</v>
      </c>
      <c r="I19" s="7">
        <f>Tabell6[[#This Row],[Medlems avg]]/14</f>
        <v>600</v>
      </c>
      <c r="J19" s="7"/>
      <c r="K19" s="7">
        <f>IF(Tabell41011121314[[#This Row],[Nuvarande]], SUM(Tabell41011121314[[#This Row],[Summa förbrukning]:[Lån]])+Tabell41011121314[[#This Row],[Korr]],0)</f>
        <v>1607.4196428571429</v>
      </c>
      <c r="L19" s="7"/>
    </row>
    <row r="20" spans="1:12" x14ac:dyDescent="0.25">
      <c r="A20" s="4">
        <f>Tabell6[[#This Row],[Avläsnings datum]]</f>
        <v>42369</v>
      </c>
      <c r="B20">
        <v>5704</v>
      </c>
      <c r="C20">
        <f t="shared" si="1"/>
        <v>5669</v>
      </c>
      <c r="D20">
        <f t="shared" si="0"/>
        <v>35</v>
      </c>
      <c r="E20" s="3">
        <f>Tabell6[[#This Row],[Att fördela]]</f>
        <v>-2.8571428571428572</v>
      </c>
      <c r="F20">
        <f>Tabell6[[#This Row],[Pris/m3 ink.moms]]</f>
        <v>14.9625</v>
      </c>
      <c r="G20" s="2">
        <f>(Tabell41011121314[[#This Row],[Förbrukning]]+Tabell41011121314[[#This Row],[Utjämning]])*Tabell41011121314[[#This Row],[Kr/m3]]</f>
        <v>480.93750000000006</v>
      </c>
      <c r="H20" s="7">
        <f>Tabell6[[#This Row],[Summa fast avg/hushåll]]</f>
        <v>547.85714285714289</v>
      </c>
      <c r="I20" s="7">
        <f>Tabell6[[#This Row],[Medlems avg]]/14</f>
        <v>600</v>
      </c>
      <c r="J20" s="7"/>
      <c r="K20" s="7">
        <f>IF(Tabell41011121314[[#This Row],[Nuvarande]], SUM(Tabell41011121314[[#This Row],[Summa förbrukning]:[Lån]])+Tabell41011121314[[#This Row],[Korr]],0)</f>
        <v>1628.7946428571429</v>
      </c>
      <c r="L20" s="7"/>
    </row>
    <row r="21" spans="1:12" x14ac:dyDescent="0.25">
      <c r="A21" s="4">
        <v>42490</v>
      </c>
      <c r="B21">
        <v>5753</v>
      </c>
      <c r="C21">
        <f t="shared" si="1"/>
        <v>5704</v>
      </c>
      <c r="D21">
        <f t="shared" si="0"/>
        <v>49</v>
      </c>
      <c r="E21" s="3">
        <f>Tabell6[[#This Row],[Att fördela]]</f>
        <v>-3.5</v>
      </c>
      <c r="F21">
        <f>Tabell6[[#This Row],[Pris/m3 ink.moms]]</f>
        <v>14.9625</v>
      </c>
      <c r="G21" s="2">
        <f>(Tabell41011121314[[#This Row],[Förbrukning]]+Tabell41011121314[[#This Row],[Utjämning]])*Tabell41011121314[[#This Row],[Kr/m3]]</f>
        <v>680.79375000000005</v>
      </c>
      <c r="H21" s="7">
        <f>Tabell6[[#This Row],[Summa fast avg/hushåll]]</f>
        <v>547.85714285714289</v>
      </c>
      <c r="I21" s="7">
        <f>Tabell6[[#This Row],[Medlems avg]]/14</f>
        <v>600</v>
      </c>
      <c r="J21" s="7"/>
      <c r="K21" s="7">
        <f>IF(Tabell41011121314[[#This Row],[Nuvarande]], SUM(Tabell41011121314[[#This Row],[Summa förbrukning]:[Lån]])+Tabell41011121314[[#This Row],[Korr]],0)</f>
        <v>1786.9696428571428</v>
      </c>
      <c r="L21" s="2">
        <f>K19-K18</f>
        <v>-41.681250000000091</v>
      </c>
    </row>
    <row r="22" spans="1:12" x14ac:dyDescent="0.25">
      <c r="A22" s="4">
        <v>42613</v>
      </c>
      <c r="B22">
        <v>5781</v>
      </c>
      <c r="C22">
        <f t="shared" ref="C22:C36" si="3">B21</f>
        <v>5753</v>
      </c>
      <c r="D22">
        <f t="shared" ref="D22:D36" si="4">IF(B22-C22&lt;0,0,B22-C22)</f>
        <v>28</v>
      </c>
      <c r="E22" s="3">
        <f>Tabell6[[#This Row],[Att fördela]]</f>
        <v>-1.0714285714285714</v>
      </c>
      <c r="F22">
        <f>Tabell6[[#This Row],[Pris/m3 ink.moms]]</f>
        <v>14.9625</v>
      </c>
      <c r="G22" s="2">
        <f>(Tabell41011121314[[#This Row],[Förbrukning]]+Tabell41011121314[[#This Row],[Utjämning]])*Tabell41011121314[[#This Row],[Kr/m3]]</f>
        <v>402.91874999999999</v>
      </c>
      <c r="H22" s="7">
        <f>Tabell6[[#This Row],[Summa fast avg/hushåll]]</f>
        <v>547.85714285714289</v>
      </c>
      <c r="I22" s="7">
        <f>Tabell6[[#This Row],[Medlems avg]]/14</f>
        <v>600</v>
      </c>
      <c r="J22" s="7"/>
      <c r="K22" s="7">
        <f>IF(Tabell41011121314[[#This Row],[Nuvarande]], SUM(Tabell41011121314[[#This Row],[Summa förbrukning]:[Lån]])+Tabell41011121314[[#This Row],[Korr]],0)</f>
        <v>1550.7758928571429</v>
      </c>
      <c r="L22" s="2"/>
    </row>
    <row r="23" spans="1:12" x14ac:dyDescent="0.25">
      <c r="A23" s="4">
        <v>42735</v>
      </c>
      <c r="B23">
        <v>5818</v>
      </c>
      <c r="C23">
        <f t="shared" si="3"/>
        <v>5781</v>
      </c>
      <c r="D23">
        <f t="shared" si="4"/>
        <v>37</v>
      </c>
      <c r="E23" s="3">
        <f>Tabell6[[#This Row],[Att fördela]]</f>
        <v>-3.7142857142857144</v>
      </c>
      <c r="F23">
        <f>Tabell6[[#This Row],[Pris/m3 ink.moms]]</f>
        <v>14.9625</v>
      </c>
      <c r="G23" s="2">
        <f>(Tabell41011121314[[#This Row],[Förbrukning]]+Tabell41011121314[[#This Row],[Utjämning]])*Tabell41011121314[[#This Row],[Kr/m3]]</f>
        <v>498.03750000000002</v>
      </c>
      <c r="H23" s="7">
        <f>Tabell6[[#This Row],[Summa fast avg/hushåll]]</f>
        <v>547.85714285714289</v>
      </c>
      <c r="I23" s="7">
        <f>Tabell6[[#This Row],[Medlems avg]]/14</f>
        <v>600</v>
      </c>
      <c r="J23" s="7"/>
      <c r="K23" s="7">
        <f>IF(Tabell41011121314[[#This Row],[Nuvarande]], SUM(Tabell41011121314[[#This Row],[Summa förbrukning]:[Lån]])+Tabell41011121314[[#This Row],[Korr]],0)</f>
        <v>1645.894642857143</v>
      </c>
      <c r="L23" s="2"/>
    </row>
    <row r="24" spans="1:12" x14ac:dyDescent="0.25">
      <c r="A24" s="4">
        <v>42855</v>
      </c>
      <c r="B24">
        <v>5845</v>
      </c>
      <c r="C24">
        <f t="shared" si="3"/>
        <v>5818</v>
      </c>
      <c r="D24">
        <f t="shared" si="4"/>
        <v>27</v>
      </c>
      <c r="E24" s="3">
        <f>Tabell6[[#This Row],[Att fördela]]</f>
        <v>-2</v>
      </c>
      <c r="F24">
        <f>Tabell6[[#This Row],[Pris/m3 ink.moms]]</f>
        <v>14.9625</v>
      </c>
      <c r="G24" s="2">
        <f>(Tabell41011121314[[#This Row],[Förbrukning]]+Tabell41011121314[[#This Row],[Utjämning]])*Tabell41011121314[[#This Row],[Kr/m3]]</f>
        <v>374.0625</v>
      </c>
      <c r="H24" s="7">
        <f>Tabell6[[#This Row],[Summa fast avg/hushåll]]</f>
        <v>547.85714285714289</v>
      </c>
      <c r="I24" s="7">
        <f>Tabell6[[#This Row],[Medlems avg]]/14</f>
        <v>700</v>
      </c>
      <c r="J24" s="7"/>
      <c r="K24" s="7">
        <f>IF(Tabell41011121314[[#This Row],[Nuvarande]], SUM(Tabell41011121314[[#This Row],[Summa förbrukning]:[Lån]])+Tabell41011121314[[#This Row],[Korr]],0)</f>
        <v>1621.9196428571429</v>
      </c>
      <c r="L24" s="2"/>
    </row>
    <row r="25" spans="1:12" x14ac:dyDescent="0.25">
      <c r="A25" s="4">
        <v>42978</v>
      </c>
      <c r="B25">
        <v>5888</v>
      </c>
      <c r="C25">
        <f t="shared" si="3"/>
        <v>5845</v>
      </c>
      <c r="D25">
        <f t="shared" si="4"/>
        <v>43</v>
      </c>
      <c r="E25" s="3">
        <f>Tabell6[[#This Row],[Att fördela]]</f>
        <v>-3.3571428571428572</v>
      </c>
      <c r="F25">
        <f>Tabell6[[#This Row],[Pris/m3 ink.moms]]</f>
        <v>14.9625</v>
      </c>
      <c r="G25" s="2">
        <f>(Tabell41011121314[[#This Row],[Förbrukning]]+Tabell41011121314[[#This Row],[Utjämning]])*Tabell41011121314[[#This Row],[Kr/m3]]</f>
        <v>593.15625000000011</v>
      </c>
      <c r="H25" s="7">
        <f>Tabell6[[#This Row],[Summa fast avg/hushåll]]</f>
        <v>547.85714285714289</v>
      </c>
      <c r="I25" s="7">
        <f>Tabell6[[#This Row],[Medlems avg]]/14</f>
        <v>700</v>
      </c>
      <c r="J25" s="7"/>
      <c r="K25" s="7">
        <f>IF(Tabell41011121314[[#This Row],[Nuvarande]], SUM(Tabell41011121314[[#This Row],[Summa förbrukning]:[Lån]])+Tabell41011121314[[#This Row],[Korr]],0)</f>
        <v>1841.0133928571431</v>
      </c>
      <c r="L25" s="2"/>
    </row>
    <row r="26" spans="1:12" x14ac:dyDescent="0.25">
      <c r="A26" s="4">
        <v>43100</v>
      </c>
      <c r="B26">
        <v>5925</v>
      </c>
      <c r="C26">
        <f t="shared" si="3"/>
        <v>5888</v>
      </c>
      <c r="D26">
        <f t="shared" si="4"/>
        <v>37</v>
      </c>
      <c r="E26" s="3">
        <f>Tabell6[[#This Row],[Att fördela]]</f>
        <v>-1.8571428571428572</v>
      </c>
      <c r="F26">
        <f>Tabell6[[#This Row],[Pris/m3 ink.moms]]</f>
        <v>14.9625</v>
      </c>
      <c r="G26" s="2">
        <f>(Tabell41011121314[[#This Row],[Förbrukning]]+Tabell41011121314[[#This Row],[Utjämning]])*Tabell41011121314[[#This Row],[Kr/m3]]</f>
        <v>525.82500000000005</v>
      </c>
      <c r="H26" s="7">
        <f>Tabell6[[#This Row],[Summa fast avg/hushåll]]</f>
        <v>547.85714285714289</v>
      </c>
      <c r="I26" s="7">
        <f>Tabell6[[#This Row],[Medlems avg]]/14</f>
        <v>700</v>
      </c>
      <c r="J26" s="7"/>
      <c r="K26" s="7">
        <f>IF(Tabell41011121314[[#This Row],[Nuvarande]], SUM(Tabell41011121314[[#This Row],[Summa förbrukning]:[Lån]])+Tabell41011121314[[#This Row],[Korr]],0)</f>
        <v>1773.6821428571429</v>
      </c>
      <c r="L26" s="2"/>
    </row>
    <row r="27" spans="1:12" x14ac:dyDescent="0.25">
      <c r="A27" s="4">
        <v>43220</v>
      </c>
      <c r="B27">
        <v>5955</v>
      </c>
      <c r="C27">
        <f t="shared" si="3"/>
        <v>5925</v>
      </c>
      <c r="D27">
        <f t="shared" si="4"/>
        <v>30</v>
      </c>
      <c r="E27" s="3">
        <f>Tabell6[[#This Row],[Att fördela]]</f>
        <v>-2.5714285714285716</v>
      </c>
      <c r="F27">
        <f>Tabell6[[#This Row],[Pris/m3 ink.moms]]</f>
        <v>14.9625</v>
      </c>
      <c r="G27" s="2">
        <f>(Tabell41011121314[[#This Row],[Förbrukning]]+Tabell41011121314[[#This Row],[Utjämning]])*Tabell41011121314[[#This Row],[Kr/m3]]</f>
        <v>410.4</v>
      </c>
      <c r="H27" s="7">
        <f>Tabell6[[#This Row],[Summa fast avg/hushåll]]</f>
        <v>547.85714285714289</v>
      </c>
      <c r="I27" s="7">
        <f>Tabell6[[#This Row],[Medlems avg]]/14</f>
        <v>1000</v>
      </c>
      <c r="J27" s="7"/>
      <c r="K27" s="7">
        <f>IF(Tabell41011121314[[#This Row],[Nuvarande]], SUM(Tabell41011121314[[#This Row],[Summa förbrukning]:[Lån]])+Tabell41011121314[[#This Row],[Korr]],0)</f>
        <v>1958.2571428571428</v>
      </c>
      <c r="L27" s="2"/>
    </row>
    <row r="28" spans="1:12" x14ac:dyDescent="0.25">
      <c r="A28" s="4">
        <v>43343</v>
      </c>
      <c r="B28">
        <v>6010</v>
      </c>
      <c r="C28">
        <f t="shared" si="3"/>
        <v>5955</v>
      </c>
      <c r="D28">
        <f t="shared" si="4"/>
        <v>55</v>
      </c>
      <c r="E28" s="3">
        <f>Tabell6[[#This Row],[Att fördela]]</f>
        <v>-2.2142857142857144</v>
      </c>
      <c r="F28">
        <f>Tabell6[[#This Row],[Pris/m3 ink.moms]]</f>
        <v>14.9625</v>
      </c>
      <c r="G28" s="2">
        <f>(Tabell41011121314[[#This Row],[Förbrukning]]+Tabell41011121314[[#This Row],[Utjämning]])*Tabell41011121314[[#This Row],[Kr/m3]]</f>
        <v>789.80624999999998</v>
      </c>
      <c r="H28" s="7">
        <f>Tabell6[[#This Row],[Summa fast avg/hushåll]]</f>
        <v>547.85714285714289</v>
      </c>
      <c r="I28" s="7">
        <f>Tabell6[[#This Row],[Medlems avg]]/14</f>
        <v>1000</v>
      </c>
      <c r="J28" s="7"/>
      <c r="K28" s="7">
        <f>IF(Tabell41011121314[[#This Row],[Nuvarande]], SUM(Tabell41011121314[[#This Row],[Summa förbrukning]:[Lån]])+Tabell41011121314[[#This Row],[Korr]],0)</f>
        <v>2337.6633928571428</v>
      </c>
      <c r="L28" s="2"/>
    </row>
    <row r="29" spans="1:12" x14ac:dyDescent="0.25">
      <c r="A29" s="4">
        <v>43465</v>
      </c>
      <c r="B29">
        <v>6047</v>
      </c>
      <c r="C29">
        <f t="shared" si="3"/>
        <v>6010</v>
      </c>
      <c r="D29">
        <f t="shared" si="4"/>
        <v>37</v>
      </c>
      <c r="E29" s="3">
        <f>Tabell6[[#This Row],[Att fördela]]</f>
        <v>-1.5</v>
      </c>
      <c r="F29">
        <f>Tabell6[[#This Row],[Pris/m3 ink.moms]]</f>
        <v>15.780000000000001</v>
      </c>
      <c r="G29" s="2">
        <f>(Tabell41011121314[[#This Row],[Förbrukning]]+Tabell41011121314[[#This Row],[Utjämning]])*Tabell41011121314[[#This Row],[Kr/m3]]</f>
        <v>560.19000000000005</v>
      </c>
      <c r="H29" s="7">
        <f>Tabell6[[#This Row],[Summa fast avg/hushåll]]</f>
        <v>547.85714285714289</v>
      </c>
      <c r="I29" s="7">
        <f>Tabell6[[#This Row],[Medlems avg]]/14</f>
        <v>1000</v>
      </c>
      <c r="J29" s="7"/>
      <c r="K29" s="7">
        <f>IF(Tabell41011121314[[#This Row],[Nuvarande]], SUM(Tabell41011121314[[#This Row],[Summa förbrukning]:[Lån]])+Tabell41011121314[[#This Row],[Korr]],0)</f>
        <v>2108.0471428571427</v>
      </c>
      <c r="L29" s="2"/>
    </row>
    <row r="30" spans="1:12" x14ac:dyDescent="0.25">
      <c r="A30" s="4">
        <v>43585</v>
      </c>
      <c r="B30">
        <v>6084</v>
      </c>
      <c r="C30">
        <f t="shared" si="3"/>
        <v>6047</v>
      </c>
      <c r="D30">
        <f t="shared" si="4"/>
        <v>37</v>
      </c>
      <c r="E30" s="3">
        <f>Tabell6[[#This Row],[Att fördela]]</f>
        <v>-7.2857142857142856</v>
      </c>
      <c r="F30">
        <f>Tabell6[[#This Row],[Pris/m3 ink.moms]]</f>
        <v>15.780000000000001</v>
      </c>
      <c r="G30" s="2">
        <f>(Tabell41011121314[[#This Row],[Förbrukning]]+Tabell41011121314[[#This Row],[Utjämning]])*Tabell41011121314[[#This Row],[Kr/m3]]</f>
        <v>468.89142857142861</v>
      </c>
      <c r="H30" s="7">
        <f>Tabell6[[#This Row],[Summa fast avg/hushåll]]</f>
        <v>578.16714285714284</v>
      </c>
      <c r="I30" s="7">
        <f>Tabell6[[#This Row],[Medlems avg]]/14</f>
        <v>1000</v>
      </c>
      <c r="J30" s="7"/>
      <c r="K30" s="7">
        <f>IF(Tabell41011121314[[#This Row],[Nuvarande]], SUM(Tabell41011121314[[#This Row],[Summa förbrukning]:[Lån]])+Tabell41011121314[[#This Row],[Korr]],0)</f>
        <v>2047.0585714285714</v>
      </c>
      <c r="L30" s="2"/>
    </row>
    <row r="31" spans="1:12" x14ac:dyDescent="0.25">
      <c r="A31" s="4">
        <v>43708</v>
      </c>
      <c r="B31">
        <v>6125</v>
      </c>
      <c r="C31">
        <f t="shared" si="3"/>
        <v>6084</v>
      </c>
      <c r="D31">
        <f t="shared" si="4"/>
        <v>41</v>
      </c>
      <c r="E31" s="3">
        <f>Tabell6[[#This Row],[Att fördela]]</f>
        <v>-3.4285714285714284</v>
      </c>
      <c r="F31">
        <f>Tabell6[[#This Row],[Pris/m3 ink.moms]]</f>
        <v>15.780000000000001</v>
      </c>
      <c r="G31" s="2">
        <f>(Tabell41011121314[[#This Row],[Förbrukning]]+Tabell41011121314[[#This Row],[Utjämning]])*Tabell41011121314[[#This Row],[Kr/m3]]</f>
        <v>592.87714285714287</v>
      </c>
      <c r="H31" s="7">
        <f>Tabell6[[#This Row],[Summa fast avg/hushåll]]</f>
        <v>578.16714285714284</v>
      </c>
      <c r="I31" s="7">
        <f>Tabell6[[#This Row],[Medlems avg]]/14</f>
        <v>1000</v>
      </c>
      <c r="J31" s="7"/>
      <c r="K31" s="7">
        <f>IF(Tabell41011121314[[#This Row],[Nuvarande]], SUM(Tabell41011121314[[#This Row],[Summa förbrukning]:[Lån]])+Tabell41011121314[[#This Row],[Korr]],0)</f>
        <v>2171.0442857142857</v>
      </c>
      <c r="L31" s="2"/>
    </row>
    <row r="32" spans="1:12" x14ac:dyDescent="0.25">
      <c r="A32" s="4">
        <v>43830</v>
      </c>
      <c r="B32">
        <v>6159</v>
      </c>
      <c r="C32">
        <f t="shared" si="3"/>
        <v>6125</v>
      </c>
      <c r="D32">
        <f t="shared" si="4"/>
        <v>34</v>
      </c>
      <c r="E32" s="3">
        <f>Tabell6[[#This Row],[Att fördela]]</f>
        <v>-3</v>
      </c>
      <c r="F32">
        <f>Tabell6[[#This Row],[Pris/m3 ink.moms]]</f>
        <v>15.780000000000001</v>
      </c>
      <c r="G32" s="2">
        <f>(Tabell41011121314[[#This Row],[Förbrukning]]+Tabell41011121314[[#This Row],[Utjämning]])*Tabell41011121314[[#This Row],[Kr/m3]]</f>
        <v>489.18000000000006</v>
      </c>
      <c r="H32" s="7">
        <f>Tabell6[[#This Row],[Summa fast avg/hushåll]]</f>
        <v>578.16714285714284</v>
      </c>
      <c r="I32" s="7">
        <f>Tabell6[[#This Row],[Medlems avg]]/14</f>
        <v>1000</v>
      </c>
      <c r="J32" s="7"/>
      <c r="K32" s="7">
        <f>IF(Tabell41011121314[[#This Row],[Nuvarande]], SUM(Tabell41011121314[[#This Row],[Summa förbrukning]:[Lån]])+Tabell41011121314[[#This Row],[Korr]],0)</f>
        <v>2067.3471428571429</v>
      </c>
      <c r="L32" s="2"/>
    </row>
    <row r="33" spans="1:12" x14ac:dyDescent="0.25">
      <c r="A33" s="4">
        <v>43951</v>
      </c>
      <c r="B33">
        <v>6203</v>
      </c>
      <c r="C33">
        <f t="shared" si="3"/>
        <v>6159</v>
      </c>
      <c r="D33">
        <f t="shared" si="4"/>
        <v>44</v>
      </c>
      <c r="E33" s="3">
        <f>Tabell6[[#This Row],[Att fördela]]</f>
        <v>-1.9285714285714286</v>
      </c>
      <c r="F33">
        <f>Tabell6[[#This Row],[Pris/m3 ink.moms]]</f>
        <v>15.780000000000001</v>
      </c>
      <c r="G33" s="2">
        <f>(Tabell41011121314[[#This Row],[Förbrukning]]+Tabell41011121314[[#This Row],[Utjämning]])*Tabell41011121314[[#This Row],[Kr/m3]]</f>
        <v>663.88714285714286</v>
      </c>
      <c r="H33" s="7">
        <f>Tabell6[[#This Row],[Summa fast avg/hushåll]]</f>
        <v>578.16714285714284</v>
      </c>
      <c r="I33" s="7">
        <f>Tabell6[[#This Row],[Medlems avg]]/14</f>
        <v>1000</v>
      </c>
      <c r="J33" s="7"/>
      <c r="K33" s="7">
        <f>IF(Tabell41011121314[[#This Row],[Nuvarande]], SUM(Tabell41011121314[[#This Row],[Summa förbrukning]:[Lån]])+Tabell41011121314[[#This Row],[Korr]],0)</f>
        <v>2242.0542857142855</v>
      </c>
      <c r="L33" s="2"/>
    </row>
    <row r="34" spans="1:12" x14ac:dyDescent="0.25">
      <c r="A34" s="4">
        <v>44074</v>
      </c>
      <c r="B34">
        <v>6254</v>
      </c>
      <c r="C34">
        <f t="shared" si="3"/>
        <v>6203</v>
      </c>
      <c r="D34">
        <f t="shared" si="4"/>
        <v>51</v>
      </c>
      <c r="E34" s="3">
        <f>Tabell6[[#This Row],[Att fördela]]</f>
        <v>-1.8571428571428572</v>
      </c>
      <c r="F34">
        <f>Tabell6[[#This Row],[Pris/m3 ink.moms]]</f>
        <v>15.780000000000001</v>
      </c>
      <c r="G34" s="2">
        <f>(Tabell41011121314[[#This Row],[Förbrukning]]+Tabell41011121314[[#This Row],[Utjämning]])*Tabell41011121314[[#This Row],[Kr/m3]]</f>
        <v>775.47428571428577</v>
      </c>
      <c r="H34" s="7">
        <f>Tabell6[[#This Row],[Summa fast avg/hushåll]]</f>
        <v>578.16714285714284</v>
      </c>
      <c r="I34" s="7">
        <f>Tabell6[[#This Row],[Medlems avg]]/14</f>
        <v>1000</v>
      </c>
      <c r="J34" s="7"/>
      <c r="K34" s="7">
        <f>IF(Tabell41011121314[[#This Row],[Nuvarande]], SUM(Tabell41011121314[[#This Row],[Summa förbrukning]:[Lån]])+Tabell41011121314[[#This Row],[Korr]],0)</f>
        <v>2353.6414285714286</v>
      </c>
      <c r="L34" s="2"/>
    </row>
    <row r="35" spans="1:12" x14ac:dyDescent="0.25">
      <c r="A35" s="4">
        <v>44196</v>
      </c>
      <c r="B35">
        <v>6294</v>
      </c>
      <c r="C35">
        <f t="shared" si="3"/>
        <v>6254</v>
      </c>
      <c r="D35">
        <f t="shared" si="4"/>
        <v>40</v>
      </c>
      <c r="E35" s="3">
        <f>Tabell6[[#This Row],[Att fördela]]</f>
        <v>-2.2142857142857144</v>
      </c>
      <c r="F35">
        <f>Tabell6[[#This Row],[Pris/m3 ink.moms]]</f>
        <v>15.780000000000001</v>
      </c>
      <c r="G35" s="2">
        <f>(Tabell41011121314[[#This Row],[Förbrukning]]+Tabell41011121314[[#This Row],[Utjämning]])*Tabell41011121314[[#This Row],[Kr/m3]]</f>
        <v>596.25857142857149</v>
      </c>
      <c r="H35" s="7">
        <f>Tabell6[[#This Row],[Summa fast avg/hushåll]]</f>
        <v>578.16714285714284</v>
      </c>
      <c r="I35" s="7">
        <f>Tabell6[[#This Row],[Medlems avg]]/14</f>
        <v>1000</v>
      </c>
      <c r="J35" s="7"/>
      <c r="K35" s="7">
        <f>IF(Tabell41011121314[[#This Row],[Nuvarande]], SUM(Tabell41011121314[[#This Row],[Summa förbrukning]:[Lån]])+Tabell41011121314[[#This Row],[Korr]],0)</f>
        <v>2174.4257142857141</v>
      </c>
      <c r="L35" s="2"/>
    </row>
    <row r="36" spans="1:12" x14ac:dyDescent="0.25">
      <c r="A36" s="4">
        <v>44316</v>
      </c>
      <c r="B36">
        <v>6329</v>
      </c>
      <c r="C36">
        <f t="shared" si="3"/>
        <v>6294</v>
      </c>
      <c r="D36">
        <f t="shared" si="4"/>
        <v>35</v>
      </c>
      <c r="E36" s="3">
        <f>Tabell6[[#This Row],[Att fördela]]</f>
        <v>-1.0714285714285714</v>
      </c>
      <c r="F36">
        <f>Tabell6[[#This Row],[Pris/m3 ink.moms]]</f>
        <v>15.780000000000001</v>
      </c>
      <c r="G36" s="2">
        <f>(Tabell41011121314[[#This Row],[Förbrukning]]+Tabell41011121314[[#This Row],[Utjämning]])*Tabell41011121314[[#This Row],[Kr/m3]]</f>
        <v>535.39285714285722</v>
      </c>
      <c r="H36" s="7">
        <f>Tabell6[[#This Row],[Summa fast avg/hushåll]]</f>
        <v>578.16714285714284</v>
      </c>
      <c r="I36" s="7">
        <f>Tabell6[[#This Row],[Medlems avg]]/14</f>
        <v>1000</v>
      </c>
      <c r="J36" s="7"/>
      <c r="K36" s="7">
        <f>IF(Tabell41011121314[[#This Row],[Nuvarande]], SUM(Tabell41011121314[[#This Row],[Summa förbrukning]:[Lån]])+Tabell41011121314[[#This Row],[Korr]],0)</f>
        <v>2113.56</v>
      </c>
      <c r="L36" s="2"/>
    </row>
    <row r="37" spans="1:12" x14ac:dyDescent="0.25">
      <c r="A37" s="4">
        <f>Tabell6[[#This Row],[Avläsnings datum]]</f>
        <v>44439</v>
      </c>
      <c r="B37">
        <v>6375</v>
      </c>
      <c r="C37">
        <f t="shared" ref="C37:C60" si="5">B36</f>
        <v>6329</v>
      </c>
      <c r="D37">
        <f t="shared" ref="D37:D60" si="6">IF(B37-C37&lt;0,0,B37-C37)</f>
        <v>46</v>
      </c>
      <c r="E37" s="3">
        <f>Tabell6[[#This Row],[Att fördela]]</f>
        <v>-2.4285714285714284</v>
      </c>
      <c r="F37">
        <f>Tabell6[[#This Row],[Pris/m3 ink.moms]]</f>
        <v>15.780000000000001</v>
      </c>
      <c r="G37" s="2">
        <f>(Tabell41011121314[[#This Row],[Förbrukning]]+Tabell41011121314[[#This Row],[Utjämning]])*Tabell41011121314[[#This Row],[Kr/m3]]</f>
        <v>687.55714285714282</v>
      </c>
      <c r="H37" s="7">
        <f>Tabell6[[#This Row],[Summa fast avg/hushåll]]</f>
        <v>578.16714285714284</v>
      </c>
      <c r="I37" s="7">
        <f>Tabell6[[#This Row],[Medlems avg]]/14</f>
        <v>1000</v>
      </c>
      <c r="J37" s="7"/>
      <c r="K37" s="7">
        <f>IF(Tabell41011121314[[#This Row],[Nuvarande]], SUM(Tabell41011121314[[#This Row],[Summa förbrukning]:[Lån]])+Tabell41011121314[[#This Row],[Korr]],0)</f>
        <v>2265.7242857142855</v>
      </c>
      <c r="L37" s="2"/>
    </row>
    <row r="38" spans="1:12" x14ac:dyDescent="0.25">
      <c r="A38" s="4">
        <f>Tabell6[[#This Row],[Avläsnings datum]]</f>
        <v>44561</v>
      </c>
      <c r="B38">
        <v>6416</v>
      </c>
      <c r="C38">
        <f t="shared" si="5"/>
        <v>6375</v>
      </c>
      <c r="D38">
        <f t="shared" si="6"/>
        <v>41</v>
      </c>
      <c r="E38" s="3">
        <f>Tabell6[[#This Row],[Att fördela]]</f>
        <v>-1.3571428571428572</v>
      </c>
      <c r="F38">
        <f>Tabell6[[#This Row],[Pris/m3 ink.moms]]</f>
        <v>15.780000000000001</v>
      </c>
      <c r="G38" s="2">
        <f>(Tabell41011121314[[#This Row],[Förbrukning]]+Tabell41011121314[[#This Row],[Utjämning]])*Tabell41011121314[[#This Row],[Kr/m3]]</f>
        <v>625.5642857142858</v>
      </c>
      <c r="H38" s="7">
        <f>Tabell6[[#This Row],[Summa fast avg/hushåll]]</f>
        <v>578.16714285714284</v>
      </c>
      <c r="I38" s="7">
        <f>Tabell6[[#This Row],[Medlems avg]]/14</f>
        <v>1000</v>
      </c>
      <c r="J38" s="7"/>
      <c r="K38" s="7">
        <f>IF(Tabell41011121314[[#This Row],[Nuvarande]], SUM(Tabell41011121314[[#This Row],[Summa förbrukning]:[Lån]])+Tabell41011121314[[#This Row],[Korr]],0)</f>
        <v>2203.7314285714288</v>
      </c>
      <c r="L38" s="2"/>
    </row>
    <row r="39" spans="1:12" x14ac:dyDescent="0.25">
      <c r="A39" s="4">
        <f>Tabell6[[#This Row],[Avläsnings datum]]</f>
        <v>44681</v>
      </c>
      <c r="B39">
        <v>6458</v>
      </c>
      <c r="C39">
        <f t="shared" si="5"/>
        <v>6416</v>
      </c>
      <c r="D39">
        <f t="shared" si="6"/>
        <v>42</v>
      </c>
      <c r="E39" s="3">
        <f>Tabell6[[#This Row],[Att fördela]]</f>
        <v>-2.7142857142857144</v>
      </c>
      <c r="F39">
        <f>Tabell6[[#This Row],[Pris/m3 ink.moms]]</f>
        <v>15.780000000000001</v>
      </c>
      <c r="G39" s="2">
        <f>(Tabell41011121314[[#This Row],[Förbrukning]]+Tabell41011121314[[#This Row],[Utjämning]])*Tabell41011121314[[#This Row],[Kr/m3]]</f>
        <v>619.92857142857144</v>
      </c>
      <c r="H39" s="7">
        <f>Tabell6[[#This Row],[Summa fast avg/hushåll]]</f>
        <v>578.16714285714284</v>
      </c>
      <c r="I39" s="7">
        <f>Tabell6[[#This Row],[Medlems avg]]/14</f>
        <v>1000</v>
      </c>
      <c r="J39" s="7"/>
      <c r="K39" s="7">
        <f>IF(Tabell41011121314[[#This Row],[Nuvarande]], SUM(Tabell41011121314[[#This Row],[Summa förbrukning]:[Lån]])+Tabell41011121314[[#This Row],[Korr]],0)</f>
        <v>2198.0957142857142</v>
      </c>
      <c r="L39" s="2"/>
    </row>
    <row r="40" spans="1:12" x14ac:dyDescent="0.25">
      <c r="A40" s="4">
        <f>Tabell6[[#This Row],[Avläsnings datum]]</f>
        <v>44804</v>
      </c>
      <c r="B40">
        <v>6490</v>
      </c>
      <c r="C40">
        <f t="shared" si="5"/>
        <v>6458</v>
      </c>
      <c r="D40">
        <f t="shared" si="6"/>
        <v>32</v>
      </c>
      <c r="E40" s="3">
        <f>Tabell6[[#This Row],[Att fördela]]</f>
        <v>-7.1428571428571425E-2</v>
      </c>
      <c r="F40">
        <f>Tabell6[[#This Row],[Pris/m3 ink.moms]]</f>
        <v>15.780000000000001</v>
      </c>
      <c r="G40" s="2">
        <f>(Tabell41011121314[[#This Row],[Förbrukning]]+Tabell41011121314[[#This Row],[Utjämning]])*Tabell41011121314[[#This Row],[Kr/m3]]</f>
        <v>503.83285714285716</v>
      </c>
      <c r="H40" s="7">
        <f>Tabell6[[#This Row],[Summa fast avg/hushåll]]</f>
        <v>578.16714285714284</v>
      </c>
      <c r="I40" s="7">
        <f>Tabell6[[#This Row],[Medlems avg]]/14</f>
        <v>1000</v>
      </c>
      <c r="J40" s="7"/>
      <c r="K40" s="7">
        <f>IF(Tabell41011121314[[#This Row],[Nuvarande]], SUM(Tabell41011121314[[#This Row],[Summa förbrukning]:[Lån]])+Tabell41011121314[[#This Row],[Korr]],0)</f>
        <v>2082</v>
      </c>
      <c r="L40" s="2"/>
    </row>
    <row r="41" spans="1:12" x14ac:dyDescent="0.25">
      <c r="A41" s="4">
        <f>Tabell6[[#This Row],[Avläsnings datum]]</f>
        <v>44926</v>
      </c>
      <c r="B41">
        <v>6525</v>
      </c>
      <c r="C41">
        <f t="shared" si="5"/>
        <v>6490</v>
      </c>
      <c r="D41">
        <f t="shared" si="6"/>
        <v>35</v>
      </c>
      <c r="E41" s="3">
        <f>Tabell6[[#This Row],[Att fördela]]</f>
        <v>0</v>
      </c>
      <c r="F41">
        <f>Tabell6[[#This Row],[Pris/m3 ink.moms]]</f>
        <v>15.780000000000001</v>
      </c>
      <c r="G41" s="2">
        <f>(Tabell41011121314[[#This Row],[Förbrukning]]+Tabell41011121314[[#This Row],[Utjämning]])*Tabell41011121314[[#This Row],[Kr/m3]]</f>
        <v>552.30000000000007</v>
      </c>
      <c r="H41" s="7">
        <f>Tabell6[[#This Row],[Summa fast avg/hushåll]]</f>
        <v>578.16714285714284</v>
      </c>
      <c r="I41" s="7">
        <f>Tabell6[[#This Row],[Medlems avg]]/14</f>
        <v>1000</v>
      </c>
      <c r="J41" s="7"/>
      <c r="K41" s="7">
        <f>IF(Tabell41011121314[[#This Row],[Nuvarande]], SUM(Tabell41011121314[[#This Row],[Summa förbrukning]:[Lån]])+Tabell41011121314[[#This Row],[Korr]],0)</f>
        <v>2130.4671428571428</v>
      </c>
      <c r="L41" s="2"/>
    </row>
    <row r="42" spans="1:12" x14ac:dyDescent="0.25">
      <c r="A42" s="4">
        <f>Tabell6[[#This Row],[Avläsnings datum]]</f>
        <v>45046</v>
      </c>
      <c r="B42">
        <v>6557</v>
      </c>
      <c r="C42">
        <f t="shared" si="5"/>
        <v>6525</v>
      </c>
      <c r="D42">
        <f t="shared" si="6"/>
        <v>32</v>
      </c>
      <c r="E42" s="3">
        <f>Tabell6[[#This Row],[Att fördela]]</f>
        <v>0.14285714285714285</v>
      </c>
      <c r="F42">
        <f>Tabell6[[#This Row],[Pris/m3 ink.moms]]</f>
        <v>17.829999999999998</v>
      </c>
      <c r="G42" s="2">
        <f>(Tabell41011121314[[#This Row],[Förbrukning]]+Tabell41011121314[[#This Row],[Utjämning]])*Tabell41011121314[[#This Row],[Kr/m3]]</f>
        <v>573.10714285714289</v>
      </c>
      <c r="H42" s="7">
        <f>Tabell6[[#This Row],[Summa fast avg/hushåll]]</f>
        <v>652.99952380952379</v>
      </c>
      <c r="I42" s="7">
        <f>Tabell6[[#This Row],[Medlems avg]]/14</f>
        <v>1000</v>
      </c>
      <c r="J42" s="7"/>
      <c r="K42" s="7">
        <f>IF(Tabell41011121314[[#This Row],[Nuvarande]], SUM(Tabell41011121314[[#This Row],[Summa förbrukning]:[Lån]])+Tabell41011121314[[#This Row],[Korr]],0)</f>
        <v>2226.1066666666666</v>
      </c>
      <c r="L42" s="2"/>
    </row>
    <row r="43" spans="1:12" x14ac:dyDescent="0.25">
      <c r="A43" s="4">
        <f>Tabell6[[#This Row],[Avläsnings datum]]</f>
        <v>45169</v>
      </c>
      <c r="B43">
        <v>6597</v>
      </c>
      <c r="C43">
        <f t="shared" si="5"/>
        <v>6557</v>
      </c>
      <c r="D43">
        <f t="shared" si="6"/>
        <v>40</v>
      </c>
      <c r="E43" s="3">
        <f>Tabell6[[#This Row],[Att fördela]]</f>
        <v>-2.2142857142857144</v>
      </c>
      <c r="F43">
        <f>Tabell6[[#This Row],[Pris/m3 ink.moms]]</f>
        <v>17.829999999999998</v>
      </c>
      <c r="G43" s="2">
        <f>(Tabell41011121314[[#This Row],[Förbrukning]]+Tabell41011121314[[#This Row],[Utjämning]])*Tabell41011121314[[#This Row],[Kr/m3]]</f>
        <v>673.71928571428566</v>
      </c>
      <c r="H43" s="7">
        <f>Tabell6[[#This Row],[Summa fast avg/hushåll]]</f>
        <v>652.99952380952379</v>
      </c>
      <c r="I43" s="7">
        <f>Tabell6[[#This Row],[Medlems avg]]/14</f>
        <v>1000</v>
      </c>
      <c r="J43" s="7"/>
      <c r="K43" s="7">
        <f>IF(Tabell41011121314[[#This Row],[Nuvarande]], SUM(Tabell41011121314[[#This Row],[Summa förbrukning]:[Lån]])+Tabell41011121314[[#This Row],[Korr]],0)</f>
        <v>2326.7188095238093</v>
      </c>
      <c r="L43" s="2"/>
    </row>
    <row r="44" spans="1:12" x14ac:dyDescent="0.25">
      <c r="A44" s="4">
        <f>Tabell6[[#This Row],[Avläsnings datum]]</f>
        <v>45291</v>
      </c>
      <c r="B44">
        <v>6630</v>
      </c>
      <c r="C44">
        <f t="shared" si="5"/>
        <v>6597</v>
      </c>
      <c r="D44">
        <f t="shared" si="6"/>
        <v>33</v>
      </c>
      <c r="E44" s="3">
        <f>Tabell6[[#This Row],[Att fördela]]</f>
        <v>-0.7857142857142857</v>
      </c>
      <c r="F44">
        <f>Tabell6[[#This Row],[Pris/m3 ink.moms]]</f>
        <v>17.829999999999998</v>
      </c>
      <c r="G44" s="2">
        <f>(Tabell41011121314[[#This Row],[Förbrukning]]+Tabell41011121314[[#This Row],[Utjämning]])*Tabell41011121314[[#This Row],[Kr/m3]]</f>
        <v>574.38071428571425</v>
      </c>
      <c r="H44" s="7">
        <f>Tabell6[[#This Row],[Summa fast avg/hushåll]]</f>
        <v>652.99952380952379</v>
      </c>
      <c r="I44" s="7">
        <f>Tabell6[[#This Row],[Medlems avg]]/14</f>
        <v>1000</v>
      </c>
      <c r="J44" s="7"/>
      <c r="K44" s="7">
        <f>IF(Tabell41011121314[[#This Row],[Nuvarande]], SUM(Tabell41011121314[[#This Row],[Summa förbrukning]:[Lån]])+Tabell41011121314[[#This Row],[Korr]],0)</f>
        <v>2227.3802380952379</v>
      </c>
      <c r="L44" s="2"/>
    </row>
    <row r="45" spans="1:12" x14ac:dyDescent="0.25">
      <c r="A45" s="4">
        <f>Tabell6[[#This Row],[Avläsnings datum]]</f>
        <v>45412</v>
      </c>
      <c r="B45">
        <v>6661</v>
      </c>
      <c r="C45">
        <f t="shared" si="5"/>
        <v>6630</v>
      </c>
      <c r="D45">
        <f t="shared" si="6"/>
        <v>31</v>
      </c>
      <c r="E45" s="3">
        <f>Tabell6[[#This Row],[Att fördela]]</f>
        <v>-7.1428571428571425E-2</v>
      </c>
      <c r="F45">
        <f>Tabell6[[#This Row],[Pris/m3 ink.moms]]</f>
        <v>17.829999999999998</v>
      </c>
      <c r="G45" s="2">
        <f>(Tabell41011121314[[#This Row],[Förbrukning]]+Tabell41011121314[[#This Row],[Utjämning]])*Tabell41011121314[[#This Row],[Kr/m3]]</f>
        <v>551.45642857142855</v>
      </c>
      <c r="H45" s="7">
        <f>Tabell6[[#This Row],[Summa fast avg/hushåll]]</f>
        <v>652.99952380952379</v>
      </c>
      <c r="I45" s="7">
        <f>Tabell6[[#This Row],[Medlems avg]]/14</f>
        <v>1000</v>
      </c>
      <c r="J45" s="7"/>
      <c r="K45" s="7">
        <f>IF(Tabell41011121314[[#This Row],[Nuvarande]], SUM(Tabell41011121314[[#This Row],[Summa förbrukning]:[Lån]])+Tabell41011121314[[#This Row],[Korr]],0)</f>
        <v>2204.4559523809521</v>
      </c>
      <c r="L45" s="2"/>
    </row>
    <row r="46" spans="1:12" x14ac:dyDescent="0.25">
      <c r="A46" s="4">
        <f>Tabell6[[#This Row],[Avläsnings datum]]</f>
        <v>45535</v>
      </c>
      <c r="B46">
        <v>6702</v>
      </c>
      <c r="C46">
        <f t="shared" si="5"/>
        <v>6661</v>
      </c>
      <c r="D46">
        <f t="shared" si="6"/>
        <v>41</v>
      </c>
      <c r="E46" s="3">
        <f>Tabell6[[#This Row],[Att fördela]]</f>
        <v>-1.3571428571428572</v>
      </c>
      <c r="F46">
        <f>Tabell6[[#This Row],[Pris/m3 ink.moms]]</f>
        <v>21</v>
      </c>
      <c r="G46" s="2">
        <f>(Tabell41011121314[[#This Row],[Förbrukning]]+Tabell41011121314[[#This Row],[Utjämning]])*Tabell41011121314[[#This Row],[Kr/m3]]</f>
        <v>832.50000000000011</v>
      </c>
      <c r="H46" s="7">
        <f>Tabell6[[#This Row],[Summa fast avg/hushåll]]</f>
        <v>763.97428571428566</v>
      </c>
      <c r="I46" s="7">
        <f>Tabell6[[#This Row],[Medlems avg]]/14</f>
        <v>1000</v>
      </c>
      <c r="J46" s="7"/>
      <c r="K46" s="7">
        <f>IF(Tabell41011121314[[#This Row],[Nuvarande]], SUM(Tabell41011121314[[#This Row],[Summa förbrukning]:[Lån]])+Tabell41011121314[[#This Row],[Korr]],0)</f>
        <v>2596.4742857142855</v>
      </c>
      <c r="L46" s="2"/>
    </row>
    <row r="47" spans="1:12" x14ac:dyDescent="0.25">
      <c r="A47" s="4">
        <f>Tabell6[[#This Row],[Avläsnings datum]]</f>
        <v>45657</v>
      </c>
      <c r="B47">
        <v>27</v>
      </c>
      <c r="C47">
        <v>-7</v>
      </c>
      <c r="D47">
        <f t="shared" si="6"/>
        <v>34</v>
      </c>
      <c r="E47" s="3">
        <f>Tabell6[[#This Row],[Att fördela]]</f>
        <v>-1.7142857142857142</v>
      </c>
      <c r="F47">
        <f>Tabell6[[#This Row],[Pris/m3 ink.moms]]</f>
        <v>21</v>
      </c>
      <c r="G47" s="2">
        <f>(Tabell41011121314[[#This Row],[Förbrukning]]+Tabell41011121314[[#This Row],[Utjämning]])*Tabell41011121314[[#This Row],[Kr/m3]]</f>
        <v>678</v>
      </c>
      <c r="H47" s="7">
        <f>Tabell6[[#This Row],[Summa fast avg/hushåll]]</f>
        <v>763.97428571428566</v>
      </c>
      <c r="I47" s="7">
        <f>Tabell6[[#This Row],[Medlems avg]]/14</f>
        <v>1000</v>
      </c>
      <c r="J47" s="7"/>
      <c r="K47" s="7">
        <f>IF(Tabell41011121314[[#This Row],[Nuvarande]], SUM(Tabell41011121314[[#This Row],[Summa förbrukning]:[Lån]])+Tabell41011121314[[#This Row],[Korr]],0)</f>
        <v>2441.9742857142855</v>
      </c>
      <c r="L47" s="2"/>
    </row>
    <row r="48" spans="1:12" x14ac:dyDescent="0.25">
      <c r="A48" s="4">
        <f>Tabell6[[#This Row],[Avläsnings datum]]</f>
        <v>45777</v>
      </c>
      <c r="B48">
        <v>64</v>
      </c>
      <c r="C48">
        <f t="shared" si="5"/>
        <v>27</v>
      </c>
      <c r="D48">
        <f t="shared" si="6"/>
        <v>37</v>
      </c>
      <c r="E48" s="3">
        <f>Tabell6[[#This Row],[Att fördela]]</f>
        <v>-1.5</v>
      </c>
      <c r="F48">
        <f>Tabell6[[#This Row],[Pris/m3 ink.moms]]</f>
        <v>24</v>
      </c>
      <c r="G48" s="2">
        <f>(Tabell41011121314[[#This Row],[Förbrukning]]+Tabell41011121314[[#This Row],[Utjämning]])*Tabell41011121314[[#This Row],[Kr/m3]]</f>
        <v>852</v>
      </c>
      <c r="H48" s="7">
        <f>Tabell6[[#This Row],[Summa fast avg/hushåll]]</f>
        <v>879.14738095238101</v>
      </c>
      <c r="I48" s="7">
        <f>Tabell6[[#This Row],[Medlems avg]]/14</f>
        <v>1000</v>
      </c>
      <c r="J48" s="7"/>
      <c r="K48" s="7">
        <f>IF(Tabell41011121314[[#This Row],[Nuvarande]], SUM(Tabell41011121314[[#This Row],[Summa förbrukning]:[Lån]])+Tabell41011121314[[#This Row],[Korr]],0)</f>
        <v>2731.1473809523809</v>
      </c>
      <c r="L48" s="2"/>
    </row>
    <row r="49" spans="1:12" x14ac:dyDescent="0.25">
      <c r="A49" s="4">
        <f>Tabell6[[#This Row],[Avläsnings datum]]</f>
        <v>45900</v>
      </c>
      <c r="C49">
        <f t="shared" si="5"/>
        <v>64</v>
      </c>
      <c r="D49">
        <f t="shared" si="6"/>
        <v>0</v>
      </c>
      <c r="E49" s="3">
        <f>Tabell6[[#This Row],[Att fördela]]</f>
        <v>0</v>
      </c>
      <c r="F49">
        <f>Tabell6[[#This Row],[Pris/m3 ink.moms]]</f>
        <v>24</v>
      </c>
      <c r="G49" s="2">
        <f>(Tabell41011121314[[#This Row],[Förbrukning]]+Tabell41011121314[[#This Row],[Utjämning]])*Tabell41011121314[[#This Row],[Kr/m3]]</f>
        <v>0</v>
      </c>
      <c r="H49" s="7">
        <f>Tabell6[[#This Row],[Summa fast avg/hushåll]]</f>
        <v>879.14738095238101</v>
      </c>
      <c r="I49" s="7">
        <f>Tabell6[[#This Row],[Medlems avg]]/14</f>
        <v>1000</v>
      </c>
      <c r="J49" s="7"/>
      <c r="K49" s="7">
        <f>IF(Tabell41011121314[[#This Row],[Nuvarande]], SUM(Tabell41011121314[[#This Row],[Summa förbrukning]:[Lån]])+Tabell41011121314[[#This Row],[Korr]],0)</f>
        <v>0</v>
      </c>
      <c r="L49" s="2"/>
    </row>
    <row r="50" spans="1:12" x14ac:dyDescent="0.25">
      <c r="A50" s="4">
        <f>Tabell6[[#This Row],[Avläsnings datum]]</f>
        <v>46022</v>
      </c>
      <c r="C50">
        <f t="shared" si="5"/>
        <v>0</v>
      </c>
      <c r="D50">
        <f t="shared" si="6"/>
        <v>0</v>
      </c>
      <c r="E50" s="3">
        <f>Tabell6[[#This Row],[Att fördela]]</f>
        <v>0</v>
      </c>
      <c r="F50">
        <f>Tabell6[[#This Row],[Pris/m3 ink.moms]]</f>
        <v>24</v>
      </c>
      <c r="G50" s="2">
        <f>(Tabell41011121314[[#This Row],[Förbrukning]]+Tabell41011121314[[#This Row],[Utjämning]])*Tabell41011121314[[#This Row],[Kr/m3]]</f>
        <v>0</v>
      </c>
      <c r="H50" s="7">
        <f>Tabell6[[#This Row],[Summa fast avg/hushåll]]</f>
        <v>879.14738095238101</v>
      </c>
      <c r="I50" s="7">
        <f>Tabell6[[#This Row],[Medlems avg]]/14</f>
        <v>1000</v>
      </c>
      <c r="J50" s="7"/>
      <c r="K50" s="7">
        <f>IF(Tabell41011121314[[#This Row],[Nuvarande]], SUM(Tabell41011121314[[#This Row],[Summa förbrukning]:[Lån]])+Tabell41011121314[[#This Row],[Korr]],0)</f>
        <v>0</v>
      </c>
      <c r="L50" s="2"/>
    </row>
    <row r="51" spans="1:12" x14ac:dyDescent="0.25">
      <c r="A51" s="4">
        <f>Tabell6[[#This Row],[Avläsnings datum]]</f>
        <v>46142</v>
      </c>
      <c r="C51">
        <f t="shared" si="5"/>
        <v>0</v>
      </c>
      <c r="D51">
        <f t="shared" si="6"/>
        <v>0</v>
      </c>
      <c r="E51" s="3">
        <f>Tabell6[[#This Row],[Att fördela]]</f>
        <v>0</v>
      </c>
      <c r="F51">
        <f>Tabell6[[#This Row],[Pris/m3 ink.moms]]</f>
        <v>24</v>
      </c>
      <c r="G51" s="2">
        <f>(Tabell41011121314[[#This Row],[Förbrukning]]+Tabell41011121314[[#This Row],[Utjämning]])*Tabell41011121314[[#This Row],[Kr/m3]]</f>
        <v>0</v>
      </c>
      <c r="H51" s="7">
        <f>Tabell6[[#This Row],[Summa fast avg/hushåll]]</f>
        <v>879.14738095238101</v>
      </c>
      <c r="I51" s="7">
        <f>Tabell6[[#This Row],[Medlems avg]]/14</f>
        <v>1000</v>
      </c>
      <c r="J51" s="7"/>
      <c r="K51" s="7">
        <f>IF(Tabell41011121314[[#This Row],[Nuvarande]], SUM(Tabell41011121314[[#This Row],[Summa förbrukning]:[Lån]])+Tabell41011121314[[#This Row],[Korr]],0)</f>
        <v>0</v>
      </c>
      <c r="L51" s="2"/>
    </row>
    <row r="52" spans="1:12" x14ac:dyDescent="0.25">
      <c r="A52" s="4">
        <f>Tabell6[[#This Row],[Avläsnings datum]]</f>
        <v>46265</v>
      </c>
      <c r="C52">
        <f t="shared" si="5"/>
        <v>0</v>
      </c>
      <c r="D52">
        <f t="shared" si="6"/>
        <v>0</v>
      </c>
      <c r="E52" s="3">
        <f>Tabell6[[#This Row],[Att fördela]]</f>
        <v>0</v>
      </c>
      <c r="F52">
        <f>Tabell6[[#This Row],[Pris/m3 ink.moms]]</f>
        <v>24</v>
      </c>
      <c r="G52" s="2">
        <f>(Tabell41011121314[[#This Row],[Förbrukning]]+Tabell41011121314[[#This Row],[Utjämning]])*Tabell41011121314[[#This Row],[Kr/m3]]</f>
        <v>0</v>
      </c>
      <c r="H52" s="7">
        <f>Tabell6[[#This Row],[Summa fast avg/hushåll]]</f>
        <v>879.14738095238101</v>
      </c>
      <c r="I52" s="7">
        <f>Tabell6[[#This Row],[Medlems avg]]/14</f>
        <v>1000</v>
      </c>
      <c r="J52" s="7"/>
      <c r="K52" s="7">
        <f>IF(Tabell41011121314[[#This Row],[Nuvarande]], SUM(Tabell41011121314[[#This Row],[Summa förbrukning]:[Lån]])+Tabell41011121314[[#This Row],[Korr]],0)</f>
        <v>0</v>
      </c>
      <c r="L52" s="2"/>
    </row>
    <row r="53" spans="1:12" x14ac:dyDescent="0.25">
      <c r="A53" s="4">
        <f>Tabell6[[#This Row],[Avläsnings datum]]</f>
        <v>46387</v>
      </c>
      <c r="C53">
        <f t="shared" si="5"/>
        <v>0</v>
      </c>
      <c r="D53">
        <f t="shared" si="6"/>
        <v>0</v>
      </c>
      <c r="E53" s="3">
        <f>Tabell6[[#This Row],[Att fördela]]</f>
        <v>0</v>
      </c>
      <c r="F53">
        <f>Tabell6[[#This Row],[Pris/m3 ink.moms]]</f>
        <v>24</v>
      </c>
      <c r="G53" s="2">
        <f>(Tabell41011121314[[#This Row],[Förbrukning]]+Tabell41011121314[[#This Row],[Utjämning]])*Tabell41011121314[[#This Row],[Kr/m3]]</f>
        <v>0</v>
      </c>
      <c r="H53" s="7">
        <f>Tabell6[[#This Row],[Summa fast avg/hushåll]]</f>
        <v>879.14738095238101</v>
      </c>
      <c r="I53" s="7">
        <f>Tabell6[[#This Row],[Medlems avg]]/14</f>
        <v>1000</v>
      </c>
      <c r="J53" s="7"/>
      <c r="K53" s="7">
        <f>IF(Tabell41011121314[[#This Row],[Nuvarande]], SUM(Tabell41011121314[[#This Row],[Summa förbrukning]:[Lån]])+Tabell41011121314[[#This Row],[Korr]],0)</f>
        <v>0</v>
      </c>
      <c r="L53" s="2"/>
    </row>
    <row r="54" spans="1:12" x14ac:dyDescent="0.25">
      <c r="A54" s="4">
        <f>Tabell6[[#This Row],[Avläsnings datum]]</f>
        <v>46507</v>
      </c>
      <c r="C54">
        <f t="shared" si="5"/>
        <v>0</v>
      </c>
      <c r="D54">
        <f t="shared" si="6"/>
        <v>0</v>
      </c>
      <c r="E54" s="3">
        <f>Tabell6[[#This Row],[Att fördela]]</f>
        <v>0</v>
      </c>
      <c r="F54">
        <f>Tabell6[[#This Row],[Pris/m3 ink.moms]]</f>
        <v>24</v>
      </c>
      <c r="G54" s="2">
        <f>(Tabell41011121314[[#This Row],[Förbrukning]]+Tabell41011121314[[#This Row],[Utjämning]])*Tabell41011121314[[#This Row],[Kr/m3]]</f>
        <v>0</v>
      </c>
      <c r="H54" s="7">
        <f>Tabell6[[#This Row],[Summa fast avg/hushåll]]</f>
        <v>879.14738095238101</v>
      </c>
      <c r="I54" s="7">
        <f>Tabell6[[#This Row],[Medlems avg]]/14</f>
        <v>1000</v>
      </c>
      <c r="J54" s="7"/>
      <c r="K54" s="7">
        <f>IF(Tabell41011121314[[#This Row],[Nuvarande]], SUM(Tabell41011121314[[#This Row],[Summa förbrukning]:[Lån]])+Tabell41011121314[[#This Row],[Korr]],0)</f>
        <v>0</v>
      </c>
      <c r="L54" s="2"/>
    </row>
    <row r="55" spans="1:12" x14ac:dyDescent="0.25">
      <c r="A55" s="4">
        <f>Tabell6[[#This Row],[Avläsnings datum]]</f>
        <v>46630</v>
      </c>
      <c r="C55">
        <f t="shared" si="5"/>
        <v>0</v>
      </c>
      <c r="D55">
        <f t="shared" si="6"/>
        <v>0</v>
      </c>
      <c r="E55" s="3">
        <f>Tabell6[[#This Row],[Att fördela]]</f>
        <v>0</v>
      </c>
      <c r="F55">
        <f>Tabell6[[#This Row],[Pris/m3 ink.moms]]</f>
        <v>24</v>
      </c>
      <c r="G55" s="2">
        <f>(Tabell41011121314[[#This Row],[Förbrukning]]+Tabell41011121314[[#This Row],[Utjämning]])*Tabell41011121314[[#This Row],[Kr/m3]]</f>
        <v>0</v>
      </c>
      <c r="H55" s="7">
        <f>Tabell6[[#This Row],[Summa fast avg/hushåll]]</f>
        <v>879.14738095238101</v>
      </c>
      <c r="I55" s="7">
        <f>Tabell6[[#This Row],[Medlems avg]]/14</f>
        <v>1000</v>
      </c>
      <c r="J55" s="7"/>
      <c r="K55" s="7">
        <f>IF(Tabell41011121314[[#This Row],[Nuvarande]], SUM(Tabell41011121314[[#This Row],[Summa förbrukning]:[Lån]])+Tabell41011121314[[#This Row],[Korr]],0)</f>
        <v>0</v>
      </c>
      <c r="L55" s="2"/>
    </row>
    <row r="56" spans="1:12" x14ac:dyDescent="0.25">
      <c r="A56" s="4">
        <f>Tabell6[[#This Row],[Avläsnings datum]]</f>
        <v>46752</v>
      </c>
      <c r="C56">
        <f t="shared" si="5"/>
        <v>0</v>
      </c>
      <c r="D56">
        <f t="shared" si="6"/>
        <v>0</v>
      </c>
      <c r="E56" s="3">
        <f>Tabell6[[#This Row],[Att fördela]]</f>
        <v>0</v>
      </c>
      <c r="F56">
        <f>Tabell6[[#This Row],[Pris/m3 ink.moms]]</f>
        <v>24</v>
      </c>
      <c r="G56" s="2">
        <f>(Tabell41011121314[[#This Row],[Förbrukning]]+Tabell41011121314[[#This Row],[Utjämning]])*Tabell41011121314[[#This Row],[Kr/m3]]</f>
        <v>0</v>
      </c>
      <c r="H56" s="7">
        <f>Tabell6[[#This Row],[Summa fast avg/hushåll]]</f>
        <v>879.14738095238101</v>
      </c>
      <c r="I56" s="7">
        <f>Tabell6[[#This Row],[Medlems avg]]/14</f>
        <v>1000</v>
      </c>
      <c r="J56" s="7"/>
      <c r="K56" s="7">
        <f>IF(Tabell41011121314[[#This Row],[Nuvarande]], SUM(Tabell41011121314[[#This Row],[Summa förbrukning]:[Lån]])+Tabell41011121314[[#This Row],[Korr]],0)</f>
        <v>0</v>
      </c>
      <c r="L56" s="2"/>
    </row>
    <row r="57" spans="1:12" x14ac:dyDescent="0.25">
      <c r="A57" s="4">
        <f>Tabell6[[#This Row],[Avläsnings datum]]</f>
        <v>46873</v>
      </c>
      <c r="C57">
        <f t="shared" si="5"/>
        <v>0</v>
      </c>
      <c r="D57">
        <f t="shared" si="6"/>
        <v>0</v>
      </c>
      <c r="E57" s="3">
        <f>Tabell6[[#This Row],[Att fördela]]</f>
        <v>0</v>
      </c>
      <c r="F57">
        <f>Tabell6[[#This Row],[Pris/m3 ink.moms]]</f>
        <v>24</v>
      </c>
      <c r="G57" s="2">
        <f>(Tabell41011121314[[#This Row],[Förbrukning]]+Tabell41011121314[[#This Row],[Utjämning]])*Tabell41011121314[[#This Row],[Kr/m3]]</f>
        <v>0</v>
      </c>
      <c r="H57" s="7">
        <f>Tabell6[[#This Row],[Summa fast avg/hushåll]]</f>
        <v>879.14738095238101</v>
      </c>
      <c r="I57" s="7">
        <f>Tabell6[[#This Row],[Medlems avg]]/14</f>
        <v>1000</v>
      </c>
      <c r="J57" s="7"/>
      <c r="K57" s="7">
        <f>IF(Tabell41011121314[[#This Row],[Nuvarande]], SUM(Tabell41011121314[[#This Row],[Summa förbrukning]:[Lån]])+Tabell41011121314[[#This Row],[Korr]],0)</f>
        <v>0</v>
      </c>
      <c r="L57" s="2"/>
    </row>
    <row r="58" spans="1:12" x14ac:dyDescent="0.25">
      <c r="A58" s="4">
        <f>Tabell6[[#This Row],[Avläsnings datum]]</f>
        <v>46996</v>
      </c>
      <c r="C58">
        <f t="shared" si="5"/>
        <v>0</v>
      </c>
      <c r="D58">
        <f t="shared" si="6"/>
        <v>0</v>
      </c>
      <c r="E58" s="3">
        <f>Tabell6[[#This Row],[Att fördela]]</f>
        <v>0</v>
      </c>
      <c r="F58">
        <f>Tabell6[[#This Row],[Pris/m3 ink.moms]]</f>
        <v>24</v>
      </c>
      <c r="G58" s="2">
        <f>(Tabell41011121314[[#This Row],[Förbrukning]]+Tabell41011121314[[#This Row],[Utjämning]])*Tabell41011121314[[#This Row],[Kr/m3]]</f>
        <v>0</v>
      </c>
      <c r="H58" s="7">
        <f>Tabell6[[#This Row],[Summa fast avg/hushåll]]</f>
        <v>879.14738095238101</v>
      </c>
      <c r="I58" s="7">
        <f>Tabell6[[#This Row],[Medlems avg]]/14</f>
        <v>1000</v>
      </c>
      <c r="J58" s="7"/>
      <c r="K58" s="7">
        <f>IF(Tabell41011121314[[#This Row],[Nuvarande]], SUM(Tabell41011121314[[#This Row],[Summa förbrukning]:[Lån]])+Tabell41011121314[[#This Row],[Korr]],0)</f>
        <v>0</v>
      </c>
      <c r="L58" s="2"/>
    </row>
    <row r="59" spans="1:12" x14ac:dyDescent="0.25">
      <c r="A59" s="4">
        <f>Tabell6[[#This Row],[Avläsnings datum]]</f>
        <v>47118</v>
      </c>
      <c r="C59">
        <f t="shared" si="5"/>
        <v>0</v>
      </c>
      <c r="D59">
        <f t="shared" si="6"/>
        <v>0</v>
      </c>
      <c r="E59" s="3">
        <f>Tabell6[[#This Row],[Att fördela]]</f>
        <v>0</v>
      </c>
      <c r="F59">
        <f>Tabell6[[#This Row],[Pris/m3 ink.moms]]</f>
        <v>24</v>
      </c>
      <c r="G59" s="2">
        <f>(Tabell41011121314[[#This Row],[Förbrukning]]+Tabell41011121314[[#This Row],[Utjämning]])*Tabell41011121314[[#This Row],[Kr/m3]]</f>
        <v>0</v>
      </c>
      <c r="H59" s="7">
        <f>Tabell6[[#This Row],[Summa fast avg/hushåll]]</f>
        <v>879.14738095238101</v>
      </c>
      <c r="I59" s="7">
        <f>Tabell6[[#This Row],[Medlems avg]]/14</f>
        <v>1000</v>
      </c>
      <c r="J59" s="7"/>
      <c r="K59" s="7">
        <f>IF(Tabell41011121314[[#This Row],[Nuvarande]], SUM(Tabell41011121314[[#This Row],[Summa förbrukning]:[Lån]])+Tabell41011121314[[#This Row],[Korr]],0)</f>
        <v>0</v>
      </c>
      <c r="L59" s="2"/>
    </row>
    <row r="60" spans="1:12" x14ac:dyDescent="0.25">
      <c r="A60" s="4">
        <f>Tabell6[[#This Row],[Avläsnings datum]]</f>
        <v>47238</v>
      </c>
      <c r="C60">
        <f t="shared" si="5"/>
        <v>0</v>
      </c>
      <c r="D60">
        <f t="shared" si="6"/>
        <v>0</v>
      </c>
      <c r="E60" s="3">
        <f>Tabell6[[#This Row],[Att fördela]]</f>
        <v>0</v>
      </c>
      <c r="F60">
        <f>Tabell6[[#This Row],[Pris/m3 ink.moms]]</f>
        <v>24</v>
      </c>
      <c r="G60" s="2">
        <f>(Tabell41011121314[[#This Row],[Förbrukning]]+Tabell41011121314[[#This Row],[Utjämning]])*Tabell41011121314[[#This Row],[Kr/m3]]</f>
        <v>0</v>
      </c>
      <c r="H60" s="7">
        <f>Tabell6[[#This Row],[Summa fast avg/hushåll]]</f>
        <v>879.14738095238101</v>
      </c>
      <c r="I60" s="7">
        <f>Tabell6[[#This Row],[Medlems avg]]/14</f>
        <v>1000</v>
      </c>
      <c r="J60" s="7"/>
      <c r="K60" s="7">
        <f>IF(Tabell41011121314[[#This Row],[Nuvarande]], SUM(Tabell41011121314[[#This Row],[Summa förbrukning]:[Lån]])+Tabell41011121314[[#This Row],[Korr]],0)</f>
        <v>0</v>
      </c>
      <c r="L60" s="2"/>
    </row>
  </sheetData>
  <pageMargins left="0.7" right="0.7" top="0.75" bottom="0.75" header="0.3" footer="0.3"/>
  <pageSetup paperSize="9" orientation="portrait" r:id="rId1"/>
  <ignoredErrors>
    <ignoredError sqref="A21:A36" calculatedColumn="1"/>
  </ignoredError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Blad9"/>
  <dimension ref="A1:L60"/>
  <sheetViews>
    <sheetView workbookViewId="0">
      <selection activeCell="B49" sqref="B49"/>
    </sheetView>
  </sheetViews>
  <sheetFormatPr defaultRowHeight="15" x14ac:dyDescent="0.25"/>
  <cols>
    <col min="1" max="1" width="20.28515625" customWidth="1"/>
    <col min="2" max="2" width="13" bestFit="1" customWidth="1"/>
    <col min="3" max="3" width="13.85546875" bestFit="1" customWidth="1"/>
    <col min="4" max="5" width="15.140625" customWidth="1"/>
    <col min="6" max="6" width="11.140625" customWidth="1"/>
    <col min="7" max="7" width="21" bestFit="1" customWidth="1"/>
    <col min="8" max="8" width="10.28515625" bestFit="1" customWidth="1"/>
    <col min="9" max="9" width="15.140625" bestFit="1" customWidth="1"/>
    <col min="11" max="11" width="12" bestFit="1" customWidth="1"/>
  </cols>
  <sheetData>
    <row r="1" spans="1:12" x14ac:dyDescent="0.25">
      <c r="A1">
        <v>18</v>
      </c>
    </row>
    <row r="3" spans="1:12" x14ac:dyDescent="0.25">
      <c r="B3">
        <f>VLOOKUP('Huvud mätare'!$A1,$A5:$K87,2)</f>
        <v>1499</v>
      </c>
      <c r="C3">
        <f>VLOOKUP('Huvud mätare'!$A1,$A5:$K87,3)</f>
        <v>1489</v>
      </c>
      <c r="D3">
        <f>VLOOKUP('Huvud mätare'!$A1,$A5:$K87,4)</f>
        <v>10</v>
      </c>
      <c r="E3">
        <f>VLOOKUP('Huvud mätare'!$A1,$A5:$K87,5)</f>
        <v>-1.5</v>
      </c>
      <c r="F3">
        <f>VLOOKUP('Huvud mätare'!$A1,$A5:$K87,6)</f>
        <v>24</v>
      </c>
      <c r="G3">
        <f>VLOOKUP('Huvud mätare'!$A1,$A5:$K87,7)</f>
        <v>204</v>
      </c>
      <c r="H3">
        <f>VLOOKUP('Huvud mätare'!$A1,$A5:$K87,8)</f>
        <v>879.14738095238101</v>
      </c>
      <c r="I3">
        <f>VLOOKUP('Huvud mätare'!$A1,$A5:$K87,9)</f>
        <v>1000</v>
      </c>
      <c r="J3">
        <f>VLOOKUP('Huvud mätare'!$A1,$A5:$K87,10)</f>
        <v>0</v>
      </c>
      <c r="K3">
        <f>VLOOKUP('Huvud mätare'!$A1,$A5:$K87,11)</f>
        <v>2083.1473809523809</v>
      </c>
      <c r="L3">
        <f>VLOOKUP('Huvud mätare'!$A1,$A5:$L87,12)</f>
        <v>0</v>
      </c>
    </row>
    <row r="4" spans="1:12" ht="15" customHeight="1" x14ac:dyDescent="0.25">
      <c r="A4" t="s">
        <v>12</v>
      </c>
      <c r="B4" s="1" t="s">
        <v>33</v>
      </c>
      <c r="C4" s="1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25</v>
      </c>
      <c r="I4" t="s">
        <v>30</v>
      </c>
      <c r="J4" t="s">
        <v>39</v>
      </c>
      <c r="K4" t="s">
        <v>40</v>
      </c>
      <c r="L4" t="s">
        <v>41</v>
      </c>
    </row>
    <row r="5" spans="1:12" x14ac:dyDescent="0.25">
      <c r="A5" s="4">
        <f>Tabell6[[#This Row],[Avläsnings datum]]</f>
        <v>40543</v>
      </c>
      <c r="B5">
        <v>382</v>
      </c>
      <c r="C5">
        <v>336</v>
      </c>
      <c r="D5">
        <f t="shared" ref="D5:D21" si="0">IF(B5-C5&lt;0,0,B5-C5)</f>
        <v>46</v>
      </c>
      <c r="E5" s="3">
        <f>Tabell6[[#This Row],[Att fördela]]</f>
        <v>0.15714285714286039</v>
      </c>
      <c r="F5">
        <f>Tabell6[[#This Row],[Pris/m3 ink.moms]]</f>
        <v>16.88</v>
      </c>
      <c r="G5" s="2">
        <f>(Tabell4101112131415[[#This Row],[Förbrukning]]+Tabell4101112131415[[#This Row],[Utjämning]])*Tabell4101112131415[[#This Row],[Kr/m3]]</f>
        <v>779.1325714285714</v>
      </c>
      <c r="H5" s="8">
        <f>Tabell6[[#This Row],[Summa fast avg/hushåll]]</f>
        <v>378.07142857142856</v>
      </c>
      <c r="I5" s="2">
        <f>Tabell6[[#This Row],[Medlems avg]]/14</f>
        <v>0</v>
      </c>
      <c r="J5" s="8"/>
      <c r="K5" s="8">
        <f>IF(Tabell4101112131415[[#This Row],[Nuvarande]], SUM(Tabell4101112131415[[#This Row],[Summa förbrukning]:[Lån]])+Tabell4101112131415[[#This Row],[Korr]],0)</f>
        <v>1157.204</v>
      </c>
      <c r="L5" s="8"/>
    </row>
    <row r="6" spans="1:12" x14ac:dyDescent="0.25">
      <c r="A6" s="4">
        <f>Tabell6[[#This Row],[Avläsnings datum]]</f>
        <v>40664</v>
      </c>
      <c r="B6">
        <v>417</v>
      </c>
      <c r="C6">
        <f t="shared" ref="C6:C21" si="1">B5</f>
        <v>382</v>
      </c>
      <c r="D6">
        <f t="shared" si="0"/>
        <v>35</v>
      </c>
      <c r="E6" s="3">
        <f>Tabell6[[#This Row],[Att fördela]]</f>
        <v>2.8571428571418828E-2</v>
      </c>
      <c r="F6">
        <f>Tabell6[[#This Row],[Pris/m3 ink.moms]]</f>
        <v>16.88</v>
      </c>
      <c r="G6" s="2">
        <f>(Tabell4101112131415[[#This Row],[Förbrukning]]+Tabell4101112131415[[#This Row],[Utjämning]])*Tabell4101112131415[[#This Row],[Kr/m3]]</f>
        <v>591.28228571428554</v>
      </c>
      <c r="H6" s="8">
        <f>Tabell6[[#This Row],[Summa fast avg/hushåll]]</f>
        <v>378.07142857142856</v>
      </c>
      <c r="I6" s="8">
        <f>Tabell6[[#This Row],[Medlems avg]]/14</f>
        <v>0</v>
      </c>
      <c r="J6" s="8"/>
      <c r="K6" s="8">
        <f>IF(Tabell4101112131415[[#This Row],[Nuvarande]], SUM(Tabell4101112131415[[#This Row],[Summa förbrukning]:[Lån]])+Tabell4101112131415[[#This Row],[Korr]],0)</f>
        <v>969.35371428571409</v>
      </c>
      <c r="L6" s="8"/>
    </row>
    <row r="7" spans="1:12" x14ac:dyDescent="0.25">
      <c r="A7" s="4">
        <f>Tabell6[[#This Row],[Avläsnings datum]]</f>
        <v>40786</v>
      </c>
      <c r="B7">
        <v>469</v>
      </c>
      <c r="C7">
        <f t="shared" si="1"/>
        <v>417</v>
      </c>
      <c r="D7">
        <f t="shared" si="0"/>
        <v>52</v>
      </c>
      <c r="E7" s="3">
        <f>Tabell6[[#This Row],[Att fördela]]</f>
        <v>-2.8571428571426947E-2</v>
      </c>
      <c r="F7">
        <f>Tabell6[[#This Row],[Pris/m3 ink.moms]]</f>
        <v>16.88</v>
      </c>
      <c r="G7" s="2">
        <f>(Tabell4101112131415[[#This Row],[Förbrukning]]+Tabell4101112131415[[#This Row],[Utjämning]])*Tabell4101112131415[[#This Row],[Kr/m3]]</f>
        <v>877.2777142857143</v>
      </c>
      <c r="H7" s="8">
        <f>Tabell6[[#This Row],[Summa fast avg/hushåll]]</f>
        <v>378.07142857142856</v>
      </c>
      <c r="I7" s="8">
        <f>Tabell6[[#This Row],[Medlems avg]]/14</f>
        <v>0</v>
      </c>
      <c r="J7" s="8"/>
      <c r="K7" s="8">
        <f>IF(Tabell4101112131415[[#This Row],[Nuvarande]], SUM(Tabell4101112131415[[#This Row],[Summa förbrukning]:[Lån]])+Tabell4101112131415[[#This Row],[Korr]],0)</f>
        <v>1255.3491428571429</v>
      </c>
      <c r="L7" s="8"/>
    </row>
    <row r="8" spans="1:12" x14ac:dyDescent="0.25">
      <c r="A8" s="4">
        <f>Tabell6[[#This Row],[Avläsnings datum]]</f>
        <v>40908</v>
      </c>
      <c r="B8">
        <v>500</v>
      </c>
      <c r="C8">
        <f t="shared" si="1"/>
        <v>469</v>
      </c>
      <c r="D8">
        <f t="shared" si="0"/>
        <v>31</v>
      </c>
      <c r="E8" s="3">
        <f>Tabell6[[#This Row],[Att fördela]]</f>
        <v>-0.22857142857142371</v>
      </c>
      <c r="F8">
        <f>Tabell6[[#This Row],[Pris/m3 ink.moms]]</f>
        <v>16.825000000000003</v>
      </c>
      <c r="G8" s="2">
        <f>(Tabell4101112131415[[#This Row],[Förbrukning]]+Tabell4101112131415[[#This Row],[Utjämning]])*Tabell4101112131415[[#This Row],[Kr/m3]]</f>
        <v>517.72928571428588</v>
      </c>
      <c r="H8" s="8">
        <f>Tabell6[[#This Row],[Summa fast avg/hushåll]]</f>
        <v>378.07142857142856</v>
      </c>
      <c r="I8" s="8">
        <f>Tabell6[[#This Row],[Medlems avg]]/14</f>
        <v>1000</v>
      </c>
      <c r="J8" s="8"/>
      <c r="K8" s="8">
        <f>IF(Tabell4101112131415[[#This Row],[Nuvarande]], SUM(Tabell4101112131415[[#This Row],[Summa förbrukning]:[Lån]])+Tabell4101112131415[[#This Row],[Korr]],0)</f>
        <v>1895.8007142857145</v>
      </c>
      <c r="L8" s="8"/>
    </row>
    <row r="9" spans="1:12" x14ac:dyDescent="0.25">
      <c r="A9" s="4">
        <f>Tabell6[[#This Row],[Avläsnings datum]]</f>
        <v>41029</v>
      </c>
      <c r="B9">
        <v>531</v>
      </c>
      <c r="C9">
        <f t="shared" si="1"/>
        <v>500</v>
      </c>
      <c r="D9">
        <f t="shared" si="0"/>
        <v>31</v>
      </c>
      <c r="E9" s="3">
        <f>Tabell6[[#This Row],[Att fördela]]</f>
        <v>-1</v>
      </c>
      <c r="F9">
        <f>Tabell6[[#This Row],[Pris/m3 ink.moms]]</f>
        <v>16.825000000000003</v>
      </c>
      <c r="G9" s="2">
        <f>(Tabell4101112131415[[#This Row],[Förbrukning]]+Tabell4101112131415[[#This Row],[Utjämning]])*Tabell4101112131415[[#This Row],[Kr/m3]]</f>
        <v>504.75000000000011</v>
      </c>
      <c r="H9" s="8">
        <f>Tabell6[[#This Row],[Summa fast avg/hushåll]]</f>
        <v>378.07142857142856</v>
      </c>
      <c r="I9" s="8">
        <f>Tabell6[[#This Row],[Medlems avg]]/14</f>
        <v>1000</v>
      </c>
      <c r="J9" s="8"/>
      <c r="K9" s="8">
        <f>IF(Tabell4101112131415[[#This Row],[Nuvarande]], SUM(Tabell4101112131415[[#This Row],[Summa förbrukning]:[Lån]])+Tabell4101112131415[[#This Row],[Korr]],0)</f>
        <v>1882.8214285714287</v>
      </c>
      <c r="L9" s="8"/>
    </row>
    <row r="10" spans="1:12" x14ac:dyDescent="0.25">
      <c r="A10" s="4">
        <f>Tabell6[[#This Row],[Avläsnings datum]]</f>
        <v>41152</v>
      </c>
      <c r="B10">
        <v>561</v>
      </c>
      <c r="C10">
        <f t="shared" si="1"/>
        <v>531</v>
      </c>
      <c r="D10">
        <f t="shared" si="0"/>
        <v>30</v>
      </c>
      <c r="E10" s="3">
        <f>Tabell6[[#This Row],[Att fördela]]</f>
        <v>-0.14285714285714285</v>
      </c>
      <c r="F10">
        <f>Tabell6[[#This Row],[Pris/m3 ink.moms]]</f>
        <v>16.825000000000003</v>
      </c>
      <c r="G10" s="2">
        <f>(Tabell4101112131415[[#This Row],[Förbrukning]]+Tabell4101112131415[[#This Row],[Utjämning]])*Tabell4101112131415[[#This Row],[Kr/m3]]</f>
        <v>502.34642857142865</v>
      </c>
      <c r="H10" s="8">
        <f>Tabell6[[#This Row],[Summa fast avg/hushåll]]</f>
        <v>378.07142857142856</v>
      </c>
      <c r="I10" s="8">
        <f>Tabell6[[#This Row],[Medlems avg]]/14</f>
        <v>1000</v>
      </c>
      <c r="J10" s="8"/>
      <c r="K10" s="8">
        <f>IF(Tabell4101112131415[[#This Row],[Nuvarande]], SUM(Tabell4101112131415[[#This Row],[Summa förbrukning]:[Lån]])+Tabell4101112131415[[#This Row],[Korr]],0)</f>
        <v>1880.4178571428572</v>
      </c>
      <c r="L10" s="8"/>
    </row>
    <row r="11" spans="1:12" x14ac:dyDescent="0.25">
      <c r="A11" s="4">
        <f>Tabell6[[#This Row],[Avläsnings datum]]</f>
        <v>41274</v>
      </c>
      <c r="B11">
        <v>591</v>
      </c>
      <c r="C11">
        <f t="shared" si="1"/>
        <v>561</v>
      </c>
      <c r="D11">
        <f t="shared" si="0"/>
        <v>30</v>
      </c>
      <c r="E11" s="3">
        <f>Tabell6[[#This Row],[Att fördela]]</f>
        <v>-0.9285714285714286</v>
      </c>
      <c r="F11">
        <f>Tabell6[[#This Row],[Pris/m3 ink.moms]]</f>
        <v>14.8125</v>
      </c>
      <c r="G11" s="2">
        <f>(Tabell4101112131415[[#This Row],[Förbrukning]]+Tabell4101112131415[[#This Row],[Utjämning]])*Tabell4101112131415[[#This Row],[Kr/m3]]</f>
        <v>430.62053571428572</v>
      </c>
      <c r="H11" s="8">
        <f>Tabell6[[#This Row],[Summa fast avg/hushåll]]</f>
        <v>542.26190476190482</v>
      </c>
      <c r="I11" s="8">
        <f>Tabell6[[#This Row],[Medlems avg]]/14</f>
        <v>1000</v>
      </c>
      <c r="J11" s="8"/>
      <c r="K11" s="8">
        <f>IF(Tabell4101112131415[[#This Row],[Nuvarande]], SUM(Tabell4101112131415[[#This Row],[Summa förbrukning]:[Lån]])+Tabell4101112131415[[#This Row],[Korr]],0)</f>
        <v>1972.8824404761906</v>
      </c>
      <c r="L11" s="8"/>
    </row>
    <row r="12" spans="1:12" x14ac:dyDescent="0.25">
      <c r="A12" s="4">
        <f>Tabell6[[#This Row],[Avläsnings datum]]</f>
        <v>41394</v>
      </c>
      <c r="B12">
        <v>617</v>
      </c>
      <c r="C12">
        <f t="shared" si="1"/>
        <v>591</v>
      </c>
      <c r="D12">
        <f t="shared" si="0"/>
        <v>26</v>
      </c>
      <c r="E12" s="3">
        <f>Tabell6[[#This Row],[Att fördela]]</f>
        <v>-1.5714285714285714</v>
      </c>
      <c r="F12">
        <f>Tabell6[[#This Row],[Pris/m3 ink.moms]]</f>
        <v>14.8125</v>
      </c>
      <c r="G12" s="2">
        <f>(Tabell4101112131415[[#This Row],[Förbrukning]]+Tabell4101112131415[[#This Row],[Utjämning]])*Tabell4101112131415[[#This Row],[Kr/m3]]</f>
        <v>361.84821428571428</v>
      </c>
      <c r="H12" s="8">
        <f>Tabell6[[#This Row],[Summa fast avg/hushåll]]</f>
        <v>542.26190476190482</v>
      </c>
      <c r="I12" s="8">
        <f>Tabell6[[#This Row],[Medlems avg]]/14</f>
        <v>1000</v>
      </c>
      <c r="J12" s="8"/>
      <c r="K12" s="8">
        <f>IF(Tabell4101112131415[[#This Row],[Nuvarande]], SUM(Tabell4101112131415[[#This Row],[Summa förbrukning]:[Lån]])+Tabell4101112131415[[#This Row],[Korr]],0)</f>
        <v>1904.110119047619</v>
      </c>
      <c r="L12" s="8"/>
    </row>
    <row r="13" spans="1:12" x14ac:dyDescent="0.25">
      <c r="A13" s="4">
        <f>Tabell6[[#This Row],[Avläsnings datum]]</f>
        <v>41517</v>
      </c>
      <c r="B13">
        <v>647</v>
      </c>
      <c r="C13">
        <f t="shared" si="1"/>
        <v>617</v>
      </c>
      <c r="D13">
        <f t="shared" si="0"/>
        <v>30</v>
      </c>
      <c r="E13" s="3">
        <f>Tabell6[[#This Row],[Att fördela]]</f>
        <v>-0.8571428571428571</v>
      </c>
      <c r="F13">
        <f>Tabell6[[#This Row],[Pris/m3 ink.moms]]</f>
        <v>14.8125</v>
      </c>
      <c r="G13" s="2">
        <f>(Tabell4101112131415[[#This Row],[Förbrukning]]+Tabell4101112131415[[#This Row],[Utjämning]])*Tabell4101112131415[[#This Row],[Kr/m3]]</f>
        <v>431.67857142857144</v>
      </c>
      <c r="H13" s="8">
        <f>Tabell6[[#This Row],[Summa fast avg/hushåll]]</f>
        <v>542.26190476190482</v>
      </c>
      <c r="I13" s="8">
        <f>Tabell6[[#This Row],[Medlems avg]]/14</f>
        <v>1000</v>
      </c>
      <c r="J13" s="8"/>
      <c r="K13" s="8">
        <f>IF(Tabell4101112131415[[#This Row],[Nuvarande]], SUM(Tabell4101112131415[[#This Row],[Summa förbrukning]:[Lån]])+Tabell4101112131415[[#This Row],[Korr]],0)</f>
        <v>1973.9404761904761</v>
      </c>
      <c r="L13" s="8"/>
    </row>
    <row r="14" spans="1:12" x14ac:dyDescent="0.25">
      <c r="A14" s="4">
        <f>Tabell6[[#This Row],[Avläsnings datum]]</f>
        <v>41639</v>
      </c>
      <c r="B14">
        <v>676</v>
      </c>
      <c r="C14">
        <f t="shared" si="1"/>
        <v>647</v>
      </c>
      <c r="D14">
        <f t="shared" si="0"/>
        <v>29</v>
      </c>
      <c r="E14" s="3">
        <f>Tabell6[[#This Row],[Att fördela]]</f>
        <v>-2.5</v>
      </c>
      <c r="F14">
        <f>Tabell6[[#This Row],[Pris/m3 ink.moms]]</f>
        <v>14.8125</v>
      </c>
      <c r="G14" s="2">
        <f>(Tabell4101112131415[[#This Row],[Förbrukning]]+Tabell4101112131415[[#This Row],[Utjämning]])*Tabell4101112131415[[#This Row],[Kr/m3]]</f>
        <v>392.53125</v>
      </c>
      <c r="H14" s="8">
        <f>Tabell6[[#This Row],[Summa fast avg/hushåll]]</f>
        <v>547.85714285714289</v>
      </c>
      <c r="I14" s="8">
        <f>Tabell6[[#This Row],[Medlems avg]]/14</f>
        <v>1000</v>
      </c>
      <c r="J14" s="8"/>
      <c r="K14" s="8">
        <f>IF(Tabell4101112131415[[#This Row],[Nuvarande]], SUM(Tabell4101112131415[[#This Row],[Summa förbrukning]:[Lån]])+Tabell4101112131415[[#This Row],[Korr]],0)</f>
        <v>1940.3883928571429</v>
      </c>
      <c r="L14" s="8"/>
    </row>
    <row r="15" spans="1:12" x14ac:dyDescent="0.25">
      <c r="A15" s="4">
        <f>Tabell6[[#This Row],[Avläsnings datum]]</f>
        <v>41759</v>
      </c>
      <c r="B15">
        <v>704</v>
      </c>
      <c r="C15">
        <f t="shared" si="1"/>
        <v>676</v>
      </c>
      <c r="D15">
        <f t="shared" si="0"/>
        <v>28</v>
      </c>
      <c r="E15" s="3">
        <f>Tabell6[[#This Row],[Att fördela]]</f>
        <v>-1.5714285714285714</v>
      </c>
      <c r="F15">
        <f>Tabell6[[#This Row],[Pris/m3 ink.moms]]</f>
        <v>14.9625</v>
      </c>
      <c r="G15" s="2">
        <f>(Tabell4101112131415[[#This Row],[Förbrukning]]+Tabell4101112131415[[#This Row],[Utjämning]])*Tabell4101112131415[[#This Row],[Kr/m3]]</f>
        <v>395.4375</v>
      </c>
      <c r="H15" s="8">
        <f>Tabell6[[#This Row],[Summa fast avg/hushåll]]</f>
        <v>547.85714285714289</v>
      </c>
      <c r="I15" s="8">
        <f>Tabell6[[#This Row],[Medlems avg]]/14</f>
        <v>1000</v>
      </c>
      <c r="J15" s="8"/>
      <c r="K15" s="8">
        <f>IF(Tabell4101112131415[[#This Row],[Nuvarande]], SUM(Tabell4101112131415[[#This Row],[Summa förbrukning]:[Lån]])+Tabell4101112131415[[#This Row],[Korr]],0)</f>
        <v>2013.125</v>
      </c>
      <c r="L15" s="8">
        <f t="shared" ref="L15" si="2">K13-K12</f>
        <v>69.83035714285711</v>
      </c>
    </row>
    <row r="16" spans="1:12" x14ac:dyDescent="0.25">
      <c r="A16" s="4">
        <f>Tabell6[[#This Row],[Avläsnings datum]]</f>
        <v>41882</v>
      </c>
      <c r="B16">
        <v>743</v>
      </c>
      <c r="C16">
        <f t="shared" si="1"/>
        <v>704</v>
      </c>
      <c r="D16">
        <f t="shared" si="0"/>
        <v>39</v>
      </c>
      <c r="E16" s="3">
        <f>Tabell6[[#This Row],[Att fördela]]</f>
        <v>-1.7857142857142858</v>
      </c>
      <c r="F16">
        <f>Tabell6[[#This Row],[Pris/m3 ink.moms]]</f>
        <v>14.9625</v>
      </c>
      <c r="G16" s="2">
        <f>(Tabell4101112131415[[#This Row],[Förbrukning]]+Tabell4101112131415[[#This Row],[Utjämning]])*Tabell4101112131415[[#This Row],[Kr/m3]]</f>
        <v>556.81875000000002</v>
      </c>
      <c r="H16" s="8">
        <f>Tabell6[[#This Row],[Summa fast avg/hushåll]]</f>
        <v>547.85714285714289</v>
      </c>
      <c r="I16" s="8">
        <f>Tabell6[[#This Row],[Medlems avg]]/14</f>
        <v>1000</v>
      </c>
      <c r="J16" s="8"/>
      <c r="K16" s="8">
        <f>IF(Tabell4101112131415[[#This Row],[Nuvarande]], SUM(Tabell4101112131415[[#This Row],[Summa förbrukning]:[Lån]])+Tabell4101112131415[[#This Row],[Korr]],0)</f>
        <v>2104.675892857143</v>
      </c>
      <c r="L16" s="8"/>
    </row>
    <row r="17" spans="1:12" x14ac:dyDescent="0.25">
      <c r="A17" s="4">
        <f>Tabell6[[#This Row],[Avläsnings datum]]</f>
        <v>42004</v>
      </c>
      <c r="B17">
        <v>776</v>
      </c>
      <c r="C17">
        <f t="shared" si="1"/>
        <v>743</v>
      </c>
      <c r="D17">
        <f t="shared" si="0"/>
        <v>33</v>
      </c>
      <c r="E17" s="3">
        <f>Tabell6[[#This Row],[Att fördela]]</f>
        <v>-2.0714285714285716</v>
      </c>
      <c r="F17">
        <f>Tabell6[[#This Row],[Pris/m3 ink.moms]]</f>
        <v>14.9625</v>
      </c>
      <c r="G17" s="2">
        <f>(Tabell4101112131415[[#This Row],[Förbrukning]]+Tabell4101112131415[[#This Row],[Utjämning]])*Tabell4101112131415[[#This Row],[Kr/m3]]</f>
        <v>462.76875000000001</v>
      </c>
      <c r="H17" s="8">
        <f>Tabell6[[#This Row],[Summa fast avg/hushåll]]</f>
        <v>547.85714285714289</v>
      </c>
      <c r="I17" s="8">
        <f>Tabell6[[#This Row],[Medlems avg]]/14</f>
        <v>1000</v>
      </c>
      <c r="J17" s="8"/>
      <c r="K17" s="8">
        <f>IF(Tabell4101112131415[[#This Row],[Nuvarande]], SUM(Tabell4101112131415[[#This Row],[Summa förbrukning]:[Lån]])+Tabell4101112131415[[#This Row],[Korr]],0)</f>
        <v>2010.6258928571428</v>
      </c>
      <c r="L17" s="8"/>
    </row>
    <row r="18" spans="1:12" x14ac:dyDescent="0.25">
      <c r="A18" s="4">
        <f>Tabell6[[#This Row],[Avläsnings datum]]</f>
        <v>42124</v>
      </c>
      <c r="B18">
        <v>806</v>
      </c>
      <c r="C18">
        <f t="shared" si="1"/>
        <v>776</v>
      </c>
      <c r="D18">
        <f t="shared" si="0"/>
        <v>30</v>
      </c>
      <c r="E18" s="3">
        <f>Tabell6[[#This Row],[Att fördela]]</f>
        <v>-2.5</v>
      </c>
      <c r="F18">
        <f>Tabell6[[#This Row],[Pris/m3 ink.moms]]</f>
        <v>14.9625</v>
      </c>
      <c r="G18" s="2">
        <f>(Tabell4101112131415[[#This Row],[Förbrukning]]+Tabell4101112131415[[#This Row],[Utjämning]])*Tabell4101112131415[[#This Row],[Kr/m3]]</f>
        <v>411.46875</v>
      </c>
      <c r="H18" s="8">
        <f>Tabell6[[#This Row],[Summa fast avg/hushåll]]</f>
        <v>547.85714285714289</v>
      </c>
      <c r="I18" s="8">
        <f>Tabell6[[#This Row],[Medlems avg]]/14</f>
        <v>600</v>
      </c>
      <c r="J18" s="8"/>
      <c r="K18" s="8">
        <f>IF(Tabell4101112131415[[#This Row],[Nuvarande]], SUM(Tabell4101112131415[[#This Row],[Summa förbrukning]:[Lån]])+Tabell4101112131415[[#This Row],[Korr]],0)</f>
        <v>1559.3258928571429</v>
      </c>
      <c r="L18" s="8"/>
    </row>
    <row r="19" spans="1:12" x14ac:dyDescent="0.25">
      <c r="A19" s="4">
        <f>Tabell6[[#This Row],[Avläsnings datum]]</f>
        <v>42247</v>
      </c>
      <c r="B19">
        <v>837</v>
      </c>
      <c r="C19">
        <f t="shared" si="1"/>
        <v>806</v>
      </c>
      <c r="D19">
        <f t="shared" si="0"/>
        <v>31</v>
      </c>
      <c r="E19" s="3">
        <f>Tabell6[[#This Row],[Att fördela]]</f>
        <v>-2.2857142857142856</v>
      </c>
      <c r="F19">
        <f>Tabell6[[#This Row],[Pris/m3 ink.moms]]</f>
        <v>14.9625</v>
      </c>
      <c r="G19" s="2">
        <f>(Tabell4101112131415[[#This Row],[Förbrukning]]+Tabell4101112131415[[#This Row],[Utjämning]])*Tabell4101112131415[[#This Row],[Kr/m3]]</f>
        <v>429.63750000000005</v>
      </c>
      <c r="H19" s="8">
        <f>Tabell6[[#This Row],[Summa fast avg/hushåll]]</f>
        <v>547.85714285714289</v>
      </c>
      <c r="I19" s="8">
        <f>Tabell6[[#This Row],[Medlems avg]]/14</f>
        <v>600</v>
      </c>
      <c r="J19" s="8"/>
      <c r="K19" s="8">
        <f>IF(Tabell4101112131415[[#This Row],[Nuvarande]], SUM(Tabell4101112131415[[#This Row],[Summa förbrukning]:[Lån]])+Tabell4101112131415[[#This Row],[Korr]],0)</f>
        <v>1577.4946428571429</v>
      </c>
      <c r="L19" s="8"/>
    </row>
    <row r="20" spans="1:12" x14ac:dyDescent="0.25">
      <c r="A20" s="4">
        <f>Tabell6[[#This Row],[Avläsnings datum]]</f>
        <v>42369</v>
      </c>
      <c r="B20">
        <v>870</v>
      </c>
      <c r="C20">
        <f t="shared" si="1"/>
        <v>837</v>
      </c>
      <c r="D20">
        <f t="shared" si="0"/>
        <v>33</v>
      </c>
      <c r="E20" s="3">
        <f>Tabell6[[#This Row],[Att fördela]]</f>
        <v>-2.8571428571428572</v>
      </c>
      <c r="F20">
        <f>Tabell6[[#This Row],[Pris/m3 ink.moms]]</f>
        <v>14.9625</v>
      </c>
      <c r="G20" s="2">
        <f>(Tabell4101112131415[[#This Row],[Förbrukning]]+Tabell4101112131415[[#This Row],[Utjämning]])*Tabell4101112131415[[#This Row],[Kr/m3]]</f>
        <v>451.01249999999999</v>
      </c>
      <c r="H20" s="8">
        <f>Tabell6[[#This Row],[Summa fast avg/hushåll]]</f>
        <v>547.85714285714289</v>
      </c>
      <c r="I20" s="8">
        <f>Tabell6[[#This Row],[Medlems avg]]/14</f>
        <v>600</v>
      </c>
      <c r="J20" s="8"/>
      <c r="K20" s="8">
        <f>IF(Tabell4101112131415[[#This Row],[Nuvarande]], SUM(Tabell4101112131415[[#This Row],[Summa förbrukning]:[Lån]])+Tabell4101112131415[[#This Row],[Korr]],0)</f>
        <v>1598.8696428571429</v>
      </c>
      <c r="L20" s="8"/>
    </row>
    <row r="21" spans="1:12" x14ac:dyDescent="0.25">
      <c r="A21" s="4">
        <v>42490</v>
      </c>
      <c r="B21">
        <v>913</v>
      </c>
      <c r="C21">
        <f t="shared" si="1"/>
        <v>870</v>
      </c>
      <c r="D21">
        <f t="shared" si="0"/>
        <v>43</v>
      </c>
      <c r="E21" s="3">
        <f>Tabell6[[#This Row],[Att fördela]]</f>
        <v>-3.5</v>
      </c>
      <c r="F21">
        <f>Tabell6[[#This Row],[Pris/m3 ink.moms]]</f>
        <v>14.9625</v>
      </c>
      <c r="G21" s="2">
        <f>(Tabell4101112131415[[#This Row],[Förbrukning]]+Tabell4101112131415[[#This Row],[Utjämning]])*Tabell4101112131415[[#This Row],[Kr/m3]]</f>
        <v>591.01875000000007</v>
      </c>
      <c r="H21" s="8">
        <f>Tabell6[[#This Row],[Summa fast avg/hushåll]]</f>
        <v>547.85714285714289</v>
      </c>
      <c r="I21" s="8">
        <f>Tabell6[[#This Row],[Medlems avg]]/14</f>
        <v>600</v>
      </c>
      <c r="J21" s="8"/>
      <c r="K21" s="8">
        <f>IF(Tabell4101112131415[[#This Row],[Nuvarande]], SUM(Tabell4101112131415[[#This Row],[Summa förbrukning]:[Lån]])+Tabell4101112131415[[#This Row],[Korr]],0)</f>
        <v>1757.0446428571429</v>
      </c>
      <c r="L21" s="2">
        <f>K19-K18</f>
        <v>18.168750000000045</v>
      </c>
    </row>
    <row r="22" spans="1:12" x14ac:dyDescent="0.25">
      <c r="A22" s="4">
        <v>42613</v>
      </c>
      <c r="B22">
        <v>937</v>
      </c>
      <c r="C22">
        <f t="shared" ref="C22:C36" si="3">B21</f>
        <v>913</v>
      </c>
      <c r="D22">
        <f t="shared" ref="D22:D36" si="4">IF(B22-C22&lt;0,0,B22-C22)</f>
        <v>24</v>
      </c>
      <c r="E22" s="3">
        <f>Tabell6[[#This Row],[Att fördela]]</f>
        <v>-1.0714285714285714</v>
      </c>
      <c r="F22">
        <f>Tabell6[[#This Row],[Pris/m3 ink.moms]]</f>
        <v>14.9625</v>
      </c>
      <c r="G22" s="2">
        <f>(Tabell4101112131415[[#This Row],[Förbrukning]]+Tabell4101112131415[[#This Row],[Utjämning]])*Tabell4101112131415[[#This Row],[Kr/m3]]</f>
        <v>343.06874999999997</v>
      </c>
      <c r="H22" s="8">
        <f>Tabell6[[#This Row],[Summa fast avg/hushåll]]</f>
        <v>547.85714285714289</v>
      </c>
      <c r="I22" s="8">
        <f>Tabell6[[#This Row],[Medlems avg]]/14</f>
        <v>600</v>
      </c>
      <c r="J22" s="8"/>
      <c r="K22" s="8">
        <f>IF(Tabell4101112131415[[#This Row],[Nuvarande]], SUM(Tabell4101112131415[[#This Row],[Summa förbrukning]:[Lån]])+Tabell4101112131415[[#This Row],[Korr]],0)</f>
        <v>1490.9258928571428</v>
      </c>
      <c r="L22" s="2"/>
    </row>
    <row r="23" spans="1:12" x14ac:dyDescent="0.25">
      <c r="A23" s="4">
        <v>42735</v>
      </c>
      <c r="B23">
        <v>969</v>
      </c>
      <c r="C23">
        <f t="shared" si="3"/>
        <v>937</v>
      </c>
      <c r="D23">
        <f t="shared" si="4"/>
        <v>32</v>
      </c>
      <c r="E23" s="3">
        <f>Tabell6[[#This Row],[Att fördela]]</f>
        <v>-3.7142857142857144</v>
      </c>
      <c r="F23">
        <f>Tabell6[[#This Row],[Pris/m3 ink.moms]]</f>
        <v>14.9625</v>
      </c>
      <c r="G23" s="2">
        <f>(Tabell4101112131415[[#This Row],[Förbrukning]]+Tabell4101112131415[[#This Row],[Utjämning]])*Tabell4101112131415[[#This Row],[Kr/m3]]</f>
        <v>423.22500000000002</v>
      </c>
      <c r="H23" s="8">
        <f>Tabell6[[#This Row],[Summa fast avg/hushåll]]</f>
        <v>547.85714285714289</v>
      </c>
      <c r="I23" s="8">
        <f>Tabell6[[#This Row],[Medlems avg]]/14</f>
        <v>600</v>
      </c>
      <c r="J23" s="8"/>
      <c r="K23" s="8">
        <f>IF(Tabell4101112131415[[#This Row],[Nuvarande]], SUM(Tabell4101112131415[[#This Row],[Summa förbrukning]:[Lån]])+Tabell4101112131415[[#This Row],[Korr]],0)</f>
        <v>1571.082142857143</v>
      </c>
      <c r="L23" s="2"/>
    </row>
    <row r="24" spans="1:12" x14ac:dyDescent="0.25">
      <c r="A24" s="4">
        <v>42855</v>
      </c>
      <c r="B24">
        <v>996</v>
      </c>
      <c r="C24">
        <f t="shared" si="3"/>
        <v>969</v>
      </c>
      <c r="D24">
        <f t="shared" si="4"/>
        <v>27</v>
      </c>
      <c r="E24" s="3">
        <f>Tabell6[[#This Row],[Att fördela]]</f>
        <v>-2</v>
      </c>
      <c r="F24">
        <f>Tabell6[[#This Row],[Pris/m3 ink.moms]]</f>
        <v>14.9625</v>
      </c>
      <c r="G24" s="2">
        <f>(Tabell4101112131415[[#This Row],[Förbrukning]]+Tabell4101112131415[[#This Row],[Utjämning]])*Tabell4101112131415[[#This Row],[Kr/m3]]</f>
        <v>374.0625</v>
      </c>
      <c r="H24" s="8">
        <f>Tabell6[[#This Row],[Summa fast avg/hushåll]]</f>
        <v>547.85714285714289</v>
      </c>
      <c r="I24" s="8">
        <f>Tabell6[[#This Row],[Medlems avg]]/14</f>
        <v>700</v>
      </c>
      <c r="J24" s="8"/>
      <c r="K24" s="8">
        <f>IF(Tabell4101112131415[[#This Row],[Nuvarande]], SUM(Tabell4101112131415[[#This Row],[Summa förbrukning]:[Lån]])+Tabell4101112131415[[#This Row],[Korr]],0)</f>
        <v>1621.9196428571429</v>
      </c>
      <c r="L24" s="2"/>
    </row>
    <row r="25" spans="1:12" x14ac:dyDescent="0.25">
      <c r="A25" s="4">
        <v>42978</v>
      </c>
      <c r="B25">
        <v>1027</v>
      </c>
      <c r="C25">
        <f t="shared" si="3"/>
        <v>996</v>
      </c>
      <c r="D25">
        <f t="shared" si="4"/>
        <v>31</v>
      </c>
      <c r="E25" s="3">
        <f>Tabell6[[#This Row],[Att fördela]]</f>
        <v>-3.3571428571428572</v>
      </c>
      <c r="F25">
        <f>Tabell6[[#This Row],[Pris/m3 ink.moms]]</f>
        <v>14.9625</v>
      </c>
      <c r="G25" s="2">
        <f>(Tabell4101112131415[[#This Row],[Förbrukning]]+Tabell4101112131415[[#This Row],[Utjämning]])*Tabell4101112131415[[#This Row],[Kr/m3]]</f>
        <v>413.60624999999999</v>
      </c>
      <c r="H25" s="8">
        <f>Tabell6[[#This Row],[Summa fast avg/hushåll]]</f>
        <v>547.85714285714289</v>
      </c>
      <c r="I25" s="8">
        <f>Tabell6[[#This Row],[Medlems avg]]/14</f>
        <v>700</v>
      </c>
      <c r="J25" s="8"/>
      <c r="K25" s="8">
        <f>IF(Tabell4101112131415[[#This Row],[Nuvarande]], SUM(Tabell4101112131415[[#This Row],[Summa förbrukning]:[Lån]])+Tabell4101112131415[[#This Row],[Korr]],0)</f>
        <v>1661.4633928571429</v>
      </c>
      <c r="L25" s="2"/>
    </row>
    <row r="26" spans="1:12" x14ac:dyDescent="0.25">
      <c r="A26" s="4">
        <v>43100</v>
      </c>
      <c r="B26">
        <v>1057</v>
      </c>
      <c r="C26">
        <f t="shared" si="3"/>
        <v>1027</v>
      </c>
      <c r="D26">
        <f t="shared" si="4"/>
        <v>30</v>
      </c>
      <c r="E26" s="3">
        <f>Tabell6[[#This Row],[Att fördela]]</f>
        <v>-1.8571428571428572</v>
      </c>
      <c r="F26">
        <f>Tabell6[[#This Row],[Pris/m3 ink.moms]]</f>
        <v>14.9625</v>
      </c>
      <c r="G26" s="2">
        <f>(Tabell4101112131415[[#This Row],[Förbrukning]]+Tabell4101112131415[[#This Row],[Utjämning]])*Tabell4101112131415[[#This Row],[Kr/m3]]</f>
        <v>421.08749999999998</v>
      </c>
      <c r="H26" s="8">
        <f>Tabell6[[#This Row],[Summa fast avg/hushåll]]</f>
        <v>547.85714285714289</v>
      </c>
      <c r="I26" s="8">
        <f>Tabell6[[#This Row],[Medlems avg]]/14</f>
        <v>700</v>
      </c>
      <c r="J26" s="8"/>
      <c r="K26" s="8">
        <f>IF(Tabell4101112131415[[#This Row],[Nuvarande]], SUM(Tabell4101112131415[[#This Row],[Summa förbrukning]:[Lån]])+Tabell4101112131415[[#This Row],[Korr]],0)</f>
        <v>1668.9446428571428</v>
      </c>
      <c r="L26" s="2"/>
    </row>
    <row r="27" spans="1:12" x14ac:dyDescent="0.25">
      <c r="A27" s="4">
        <v>43220</v>
      </c>
      <c r="B27">
        <v>1085</v>
      </c>
      <c r="C27">
        <f t="shared" si="3"/>
        <v>1057</v>
      </c>
      <c r="D27">
        <f t="shared" si="4"/>
        <v>28</v>
      </c>
      <c r="E27" s="3">
        <f>Tabell6[[#This Row],[Att fördela]]</f>
        <v>-2.5714285714285716</v>
      </c>
      <c r="F27">
        <f>Tabell6[[#This Row],[Pris/m3 ink.moms]]</f>
        <v>14.9625</v>
      </c>
      <c r="G27" s="2">
        <f>(Tabell4101112131415[[#This Row],[Förbrukning]]+Tabell4101112131415[[#This Row],[Utjämning]])*Tabell4101112131415[[#This Row],[Kr/m3]]</f>
        <v>380.47499999999997</v>
      </c>
      <c r="H27" s="8">
        <f>Tabell6[[#This Row],[Summa fast avg/hushåll]]</f>
        <v>547.85714285714289</v>
      </c>
      <c r="I27" s="8">
        <f>Tabell6[[#This Row],[Medlems avg]]/14</f>
        <v>1000</v>
      </c>
      <c r="J27" s="8"/>
      <c r="K27" s="8">
        <f>IF(Tabell4101112131415[[#This Row],[Nuvarande]], SUM(Tabell4101112131415[[#This Row],[Summa förbrukning]:[Lån]])+Tabell4101112131415[[#This Row],[Korr]],0)</f>
        <v>1928.3321428571428</v>
      </c>
      <c r="L27" s="2"/>
    </row>
    <row r="28" spans="1:12" x14ac:dyDescent="0.25">
      <c r="A28" s="4">
        <v>43343</v>
      </c>
      <c r="B28">
        <v>1116</v>
      </c>
      <c r="C28">
        <f t="shared" si="3"/>
        <v>1085</v>
      </c>
      <c r="D28">
        <f t="shared" si="4"/>
        <v>31</v>
      </c>
      <c r="E28" s="3">
        <f>Tabell6[[#This Row],[Att fördela]]</f>
        <v>-2.2142857142857144</v>
      </c>
      <c r="F28">
        <f>Tabell6[[#This Row],[Pris/m3 ink.moms]]</f>
        <v>14.9625</v>
      </c>
      <c r="G28" s="2">
        <f>(Tabell4101112131415[[#This Row],[Förbrukning]]+Tabell4101112131415[[#This Row],[Utjämning]])*Tabell4101112131415[[#This Row],[Kr/m3]]</f>
        <v>430.70625000000001</v>
      </c>
      <c r="H28" s="8">
        <f>Tabell6[[#This Row],[Summa fast avg/hushåll]]</f>
        <v>547.85714285714289</v>
      </c>
      <c r="I28" s="8">
        <f>Tabell6[[#This Row],[Medlems avg]]/14</f>
        <v>1000</v>
      </c>
      <c r="J28" s="8"/>
      <c r="K28" s="8">
        <f>IF(Tabell4101112131415[[#This Row],[Nuvarande]], SUM(Tabell4101112131415[[#This Row],[Summa förbrukning]:[Lån]])+Tabell4101112131415[[#This Row],[Korr]],0)</f>
        <v>1978.5633928571428</v>
      </c>
      <c r="L28" s="2"/>
    </row>
    <row r="29" spans="1:12" x14ac:dyDescent="0.25">
      <c r="A29" s="4">
        <v>43465</v>
      </c>
      <c r="B29">
        <v>1154</v>
      </c>
      <c r="C29">
        <f t="shared" si="3"/>
        <v>1116</v>
      </c>
      <c r="D29">
        <f t="shared" si="4"/>
        <v>38</v>
      </c>
      <c r="E29" s="3">
        <f>Tabell6[[#This Row],[Att fördela]]</f>
        <v>-1.5</v>
      </c>
      <c r="F29">
        <f>Tabell6[[#This Row],[Pris/m3 ink.moms]]</f>
        <v>15.780000000000001</v>
      </c>
      <c r="G29" s="2">
        <f>(Tabell4101112131415[[#This Row],[Förbrukning]]+Tabell4101112131415[[#This Row],[Utjämning]])*Tabell4101112131415[[#This Row],[Kr/m3]]</f>
        <v>575.97</v>
      </c>
      <c r="H29" s="8">
        <f>Tabell6[[#This Row],[Summa fast avg/hushåll]]</f>
        <v>547.85714285714289</v>
      </c>
      <c r="I29" s="8">
        <f>Tabell6[[#This Row],[Medlems avg]]/14</f>
        <v>1000</v>
      </c>
      <c r="J29" s="8"/>
      <c r="K29" s="8">
        <f>IF(Tabell4101112131415[[#This Row],[Nuvarande]], SUM(Tabell4101112131415[[#This Row],[Summa förbrukning]:[Lån]])+Tabell4101112131415[[#This Row],[Korr]],0)</f>
        <v>2123.8271428571429</v>
      </c>
      <c r="L29" s="2"/>
    </row>
    <row r="30" spans="1:12" x14ac:dyDescent="0.25">
      <c r="A30" s="4">
        <v>43585</v>
      </c>
      <c r="B30">
        <v>1185</v>
      </c>
      <c r="C30">
        <f t="shared" si="3"/>
        <v>1154</v>
      </c>
      <c r="D30">
        <f t="shared" si="4"/>
        <v>31</v>
      </c>
      <c r="E30" s="3">
        <f>Tabell6[[#This Row],[Att fördela]]</f>
        <v>-7.2857142857142856</v>
      </c>
      <c r="F30">
        <f>Tabell6[[#This Row],[Pris/m3 ink.moms]]</f>
        <v>15.780000000000001</v>
      </c>
      <c r="G30" s="2">
        <f>(Tabell4101112131415[[#This Row],[Förbrukning]]+Tabell4101112131415[[#This Row],[Utjämning]])*Tabell4101112131415[[#This Row],[Kr/m3]]</f>
        <v>374.2114285714286</v>
      </c>
      <c r="H30" s="8">
        <f>Tabell6[[#This Row],[Summa fast avg/hushåll]]</f>
        <v>578.16714285714284</v>
      </c>
      <c r="I30" s="8">
        <f>Tabell6[[#This Row],[Medlems avg]]/14</f>
        <v>1000</v>
      </c>
      <c r="J30" s="8"/>
      <c r="K30" s="8">
        <f>IF(Tabell4101112131415[[#This Row],[Nuvarande]], SUM(Tabell4101112131415[[#This Row],[Summa förbrukning]:[Lån]])+Tabell4101112131415[[#This Row],[Korr]],0)</f>
        <v>1952.3785714285714</v>
      </c>
      <c r="L30" s="2"/>
    </row>
    <row r="31" spans="1:12" x14ac:dyDescent="0.25">
      <c r="A31" s="4">
        <v>43708</v>
      </c>
      <c r="B31">
        <v>1221</v>
      </c>
      <c r="C31">
        <f t="shared" si="3"/>
        <v>1185</v>
      </c>
      <c r="D31">
        <f t="shared" si="4"/>
        <v>36</v>
      </c>
      <c r="E31" s="3">
        <f>Tabell6[[#This Row],[Att fördela]]</f>
        <v>-3.4285714285714284</v>
      </c>
      <c r="F31">
        <f>Tabell6[[#This Row],[Pris/m3 ink.moms]]</f>
        <v>15.780000000000001</v>
      </c>
      <c r="G31" s="2">
        <f>(Tabell4101112131415[[#This Row],[Förbrukning]]+Tabell4101112131415[[#This Row],[Utjämning]])*Tabell4101112131415[[#This Row],[Kr/m3]]</f>
        <v>513.97714285714289</v>
      </c>
      <c r="H31" s="8">
        <f>Tabell6[[#This Row],[Summa fast avg/hushåll]]</f>
        <v>578.16714285714284</v>
      </c>
      <c r="I31" s="8">
        <f>Tabell6[[#This Row],[Medlems avg]]/14</f>
        <v>1000</v>
      </c>
      <c r="J31" s="8"/>
      <c r="K31" s="8">
        <f>IF(Tabell4101112131415[[#This Row],[Nuvarande]], SUM(Tabell4101112131415[[#This Row],[Summa förbrukning]:[Lån]])+Tabell4101112131415[[#This Row],[Korr]],0)</f>
        <v>2092.1442857142856</v>
      </c>
      <c r="L31" s="2"/>
    </row>
    <row r="32" spans="1:12" x14ac:dyDescent="0.25">
      <c r="A32" s="4">
        <v>43830</v>
      </c>
      <c r="B32">
        <v>1256</v>
      </c>
      <c r="C32">
        <f t="shared" si="3"/>
        <v>1221</v>
      </c>
      <c r="D32">
        <f t="shared" si="4"/>
        <v>35</v>
      </c>
      <c r="E32" s="3">
        <f>Tabell6[[#This Row],[Att fördela]]</f>
        <v>-3</v>
      </c>
      <c r="F32">
        <f>Tabell6[[#This Row],[Pris/m3 ink.moms]]</f>
        <v>15.780000000000001</v>
      </c>
      <c r="G32" s="2">
        <f>(Tabell4101112131415[[#This Row],[Förbrukning]]+Tabell4101112131415[[#This Row],[Utjämning]])*Tabell4101112131415[[#This Row],[Kr/m3]]</f>
        <v>504.96000000000004</v>
      </c>
      <c r="H32" s="8">
        <f>Tabell6[[#This Row],[Summa fast avg/hushåll]]</f>
        <v>578.16714285714284</v>
      </c>
      <c r="I32" s="8">
        <f>Tabell6[[#This Row],[Medlems avg]]/14</f>
        <v>1000</v>
      </c>
      <c r="J32" s="8"/>
      <c r="K32" s="8">
        <f>IF(Tabell4101112131415[[#This Row],[Nuvarande]], SUM(Tabell4101112131415[[#This Row],[Summa förbrukning]:[Lån]])+Tabell4101112131415[[#This Row],[Korr]],0)</f>
        <v>2083.1271428571426</v>
      </c>
      <c r="L32" s="2"/>
    </row>
    <row r="33" spans="1:12" x14ac:dyDescent="0.25">
      <c r="A33" s="4">
        <v>43951</v>
      </c>
      <c r="B33">
        <v>1292</v>
      </c>
      <c r="C33">
        <f t="shared" si="3"/>
        <v>1256</v>
      </c>
      <c r="D33">
        <f t="shared" si="4"/>
        <v>36</v>
      </c>
      <c r="E33" s="3">
        <f>Tabell6[[#This Row],[Att fördela]]</f>
        <v>-1.9285714285714286</v>
      </c>
      <c r="F33">
        <f>Tabell6[[#This Row],[Pris/m3 ink.moms]]</f>
        <v>15.780000000000001</v>
      </c>
      <c r="G33" s="2">
        <f>(Tabell4101112131415[[#This Row],[Förbrukning]]+Tabell4101112131415[[#This Row],[Utjämning]])*Tabell4101112131415[[#This Row],[Kr/m3]]</f>
        <v>537.64714285714285</v>
      </c>
      <c r="H33" s="8">
        <f>Tabell6[[#This Row],[Summa fast avg/hushåll]]</f>
        <v>578.16714285714284</v>
      </c>
      <c r="I33" s="8">
        <f>Tabell6[[#This Row],[Medlems avg]]/14</f>
        <v>1000</v>
      </c>
      <c r="J33" s="8"/>
      <c r="K33" s="8">
        <f>IF(Tabell4101112131415[[#This Row],[Nuvarande]], SUM(Tabell4101112131415[[#This Row],[Summa förbrukning]:[Lån]])+Tabell4101112131415[[#This Row],[Korr]],0)</f>
        <v>2115.8142857142857</v>
      </c>
      <c r="L33" s="2"/>
    </row>
    <row r="34" spans="1:12" x14ac:dyDescent="0.25">
      <c r="A34" s="4">
        <v>44074</v>
      </c>
      <c r="B34">
        <v>1327</v>
      </c>
      <c r="C34">
        <f t="shared" si="3"/>
        <v>1292</v>
      </c>
      <c r="D34">
        <f t="shared" si="4"/>
        <v>35</v>
      </c>
      <c r="E34" s="3">
        <f>Tabell6[[#This Row],[Att fördela]]</f>
        <v>-1.8571428571428572</v>
      </c>
      <c r="F34">
        <f>Tabell6[[#This Row],[Pris/m3 ink.moms]]</f>
        <v>15.780000000000001</v>
      </c>
      <c r="G34" s="2">
        <f>(Tabell4101112131415[[#This Row],[Förbrukning]]+Tabell4101112131415[[#This Row],[Utjämning]])*Tabell4101112131415[[#This Row],[Kr/m3]]</f>
        <v>522.99428571428575</v>
      </c>
      <c r="H34" s="8">
        <f>Tabell6[[#This Row],[Summa fast avg/hushåll]]</f>
        <v>578.16714285714284</v>
      </c>
      <c r="I34" s="8">
        <f>Tabell6[[#This Row],[Medlems avg]]/14</f>
        <v>1000</v>
      </c>
      <c r="J34" s="8"/>
      <c r="K34" s="8">
        <f>IF(Tabell4101112131415[[#This Row],[Nuvarande]], SUM(Tabell4101112131415[[#This Row],[Summa förbrukning]:[Lån]])+Tabell4101112131415[[#This Row],[Korr]],0)</f>
        <v>2101.1614285714286</v>
      </c>
      <c r="L34" s="2"/>
    </row>
    <row r="35" spans="1:12" x14ac:dyDescent="0.25">
      <c r="A35" s="4">
        <v>44196</v>
      </c>
      <c r="B35">
        <v>1346</v>
      </c>
      <c r="C35">
        <f t="shared" si="3"/>
        <v>1327</v>
      </c>
      <c r="D35">
        <f t="shared" si="4"/>
        <v>19</v>
      </c>
      <c r="E35" s="3">
        <f>Tabell6[[#This Row],[Att fördela]]</f>
        <v>-2.2142857142857144</v>
      </c>
      <c r="F35">
        <f>Tabell6[[#This Row],[Pris/m3 ink.moms]]</f>
        <v>15.780000000000001</v>
      </c>
      <c r="G35" s="2">
        <f>(Tabell4101112131415[[#This Row],[Förbrukning]]+Tabell4101112131415[[#This Row],[Utjämning]])*Tabell4101112131415[[#This Row],[Kr/m3]]</f>
        <v>264.87857142857143</v>
      </c>
      <c r="H35" s="8">
        <f>Tabell6[[#This Row],[Summa fast avg/hushåll]]</f>
        <v>578.16714285714284</v>
      </c>
      <c r="I35" s="8">
        <f>Tabell6[[#This Row],[Medlems avg]]/14</f>
        <v>1000</v>
      </c>
      <c r="J35" s="8"/>
      <c r="K35" s="8">
        <f>IF(Tabell4101112131415[[#This Row],[Nuvarande]], SUM(Tabell4101112131415[[#This Row],[Summa förbrukning]:[Lån]])+Tabell4101112131415[[#This Row],[Korr]],0)</f>
        <v>1843.0457142857142</v>
      </c>
      <c r="L35" s="2"/>
    </row>
    <row r="36" spans="1:12" x14ac:dyDescent="0.25">
      <c r="A36" s="4">
        <v>44316</v>
      </c>
      <c r="B36">
        <v>1358</v>
      </c>
      <c r="C36">
        <f t="shared" si="3"/>
        <v>1346</v>
      </c>
      <c r="D36">
        <f t="shared" si="4"/>
        <v>12</v>
      </c>
      <c r="E36" s="3">
        <f>Tabell6[[#This Row],[Att fördela]]</f>
        <v>-1.0714285714285714</v>
      </c>
      <c r="F36">
        <f>Tabell6[[#This Row],[Pris/m3 ink.moms]]</f>
        <v>15.780000000000001</v>
      </c>
      <c r="G36" s="2">
        <f>(Tabell4101112131415[[#This Row],[Förbrukning]]+Tabell4101112131415[[#This Row],[Utjämning]])*Tabell4101112131415[[#This Row],[Kr/m3]]</f>
        <v>172.45285714285717</v>
      </c>
      <c r="H36" s="8">
        <f>Tabell6[[#This Row],[Summa fast avg/hushåll]]</f>
        <v>578.16714285714284</v>
      </c>
      <c r="I36" s="8">
        <f>Tabell6[[#This Row],[Medlems avg]]/14</f>
        <v>1000</v>
      </c>
      <c r="J36" s="8"/>
      <c r="K36" s="8">
        <f>IF(Tabell4101112131415[[#This Row],[Nuvarande]], SUM(Tabell4101112131415[[#This Row],[Summa förbrukning]:[Lån]])+Tabell4101112131415[[#This Row],[Korr]],0)</f>
        <v>1750.62</v>
      </c>
      <c r="L36" s="2"/>
    </row>
    <row r="37" spans="1:12" x14ac:dyDescent="0.25">
      <c r="A37" s="4">
        <f>Tabell6[[#This Row],[Avläsnings datum]]</f>
        <v>44439</v>
      </c>
      <c r="B37">
        <v>1371</v>
      </c>
      <c r="C37">
        <f t="shared" ref="C37:C60" si="5">B36</f>
        <v>1358</v>
      </c>
      <c r="D37">
        <f t="shared" ref="D37:D60" si="6">IF(B37-C37&lt;0,0,B37-C37)</f>
        <v>13</v>
      </c>
      <c r="E37" s="3">
        <f>Tabell6[[#This Row],[Att fördela]]</f>
        <v>-2.4285714285714284</v>
      </c>
      <c r="F37">
        <f>Tabell6[[#This Row],[Pris/m3 ink.moms]]</f>
        <v>15.780000000000001</v>
      </c>
      <c r="G37" s="2">
        <f>(Tabell4101112131415[[#This Row],[Förbrukning]]+Tabell4101112131415[[#This Row],[Utjämning]])*Tabell4101112131415[[#This Row],[Kr/m3]]</f>
        <v>166.81714285714287</v>
      </c>
      <c r="H37" s="8">
        <f>Tabell6[[#This Row],[Summa fast avg/hushåll]]</f>
        <v>578.16714285714284</v>
      </c>
      <c r="I37" s="8">
        <f>Tabell6[[#This Row],[Medlems avg]]/14</f>
        <v>1000</v>
      </c>
      <c r="J37" s="8"/>
      <c r="K37" s="8">
        <f>IF(Tabell4101112131415[[#This Row],[Nuvarande]], SUM(Tabell4101112131415[[#This Row],[Summa förbrukning]:[Lån]])+Tabell4101112131415[[#This Row],[Korr]],0)</f>
        <v>1744.9842857142858</v>
      </c>
      <c r="L37" s="2"/>
    </row>
    <row r="38" spans="1:12" x14ac:dyDescent="0.25">
      <c r="A38" s="4">
        <f>Tabell6[[#This Row],[Avläsnings datum]]</f>
        <v>44561</v>
      </c>
      <c r="B38">
        <v>1383</v>
      </c>
      <c r="C38">
        <f t="shared" si="5"/>
        <v>1371</v>
      </c>
      <c r="D38">
        <f t="shared" si="6"/>
        <v>12</v>
      </c>
      <c r="E38" s="3">
        <f>Tabell6[[#This Row],[Att fördela]]</f>
        <v>-1.3571428571428572</v>
      </c>
      <c r="F38">
        <f>Tabell6[[#This Row],[Pris/m3 ink.moms]]</f>
        <v>15.780000000000001</v>
      </c>
      <c r="G38" s="2">
        <f>(Tabell4101112131415[[#This Row],[Förbrukning]]+Tabell4101112131415[[#This Row],[Utjämning]])*Tabell4101112131415[[#This Row],[Kr/m3]]</f>
        <v>167.94428571428571</v>
      </c>
      <c r="H38" s="8">
        <f>Tabell6[[#This Row],[Summa fast avg/hushåll]]</f>
        <v>578.16714285714284</v>
      </c>
      <c r="I38" s="8">
        <f>Tabell6[[#This Row],[Medlems avg]]/14</f>
        <v>1000</v>
      </c>
      <c r="J38" s="8"/>
      <c r="K38" s="8">
        <f>IF(Tabell4101112131415[[#This Row],[Nuvarande]], SUM(Tabell4101112131415[[#This Row],[Summa förbrukning]:[Lån]])+Tabell4101112131415[[#This Row],[Korr]],0)</f>
        <v>1746.1114285714284</v>
      </c>
      <c r="L38" s="2"/>
    </row>
    <row r="39" spans="1:12" x14ac:dyDescent="0.25">
      <c r="A39" s="4">
        <f>Tabell6[[#This Row],[Avläsnings datum]]</f>
        <v>44681</v>
      </c>
      <c r="B39">
        <v>1398</v>
      </c>
      <c r="C39">
        <f t="shared" si="5"/>
        <v>1383</v>
      </c>
      <c r="D39">
        <f t="shared" si="6"/>
        <v>15</v>
      </c>
      <c r="E39" s="3">
        <f>Tabell6[[#This Row],[Att fördela]]</f>
        <v>-2.7142857142857144</v>
      </c>
      <c r="F39">
        <f>Tabell6[[#This Row],[Pris/m3 ink.moms]]</f>
        <v>15.780000000000001</v>
      </c>
      <c r="G39" s="2">
        <f>(Tabell4101112131415[[#This Row],[Förbrukning]]+Tabell4101112131415[[#This Row],[Utjämning]])*Tabell4101112131415[[#This Row],[Kr/m3]]</f>
        <v>193.86857142857141</v>
      </c>
      <c r="H39" s="8">
        <f>Tabell6[[#This Row],[Summa fast avg/hushåll]]</f>
        <v>578.16714285714284</v>
      </c>
      <c r="I39" s="8">
        <f>Tabell6[[#This Row],[Medlems avg]]/14</f>
        <v>1000</v>
      </c>
      <c r="J39" s="8"/>
      <c r="K39" s="8">
        <f>IF(Tabell4101112131415[[#This Row],[Nuvarande]], SUM(Tabell4101112131415[[#This Row],[Summa förbrukning]:[Lån]])+Tabell4101112131415[[#This Row],[Korr]],0)</f>
        <v>1772.0357142857142</v>
      </c>
      <c r="L39" s="2"/>
    </row>
    <row r="40" spans="1:12" x14ac:dyDescent="0.25">
      <c r="A40" s="4">
        <f>Tabell6[[#This Row],[Avläsnings datum]]</f>
        <v>44804</v>
      </c>
      <c r="B40">
        <v>1409</v>
      </c>
      <c r="C40">
        <f t="shared" si="5"/>
        <v>1398</v>
      </c>
      <c r="D40">
        <f t="shared" si="6"/>
        <v>11</v>
      </c>
      <c r="E40" s="3">
        <f>Tabell6[[#This Row],[Att fördela]]</f>
        <v>-7.1428571428571425E-2</v>
      </c>
      <c r="F40">
        <f>Tabell6[[#This Row],[Pris/m3 ink.moms]]</f>
        <v>15.780000000000001</v>
      </c>
      <c r="G40" s="2">
        <f>(Tabell4101112131415[[#This Row],[Förbrukning]]+Tabell4101112131415[[#This Row],[Utjämning]])*Tabell4101112131415[[#This Row],[Kr/m3]]</f>
        <v>172.45285714285717</v>
      </c>
      <c r="H40" s="8">
        <f>Tabell6[[#This Row],[Summa fast avg/hushåll]]</f>
        <v>578.16714285714284</v>
      </c>
      <c r="I40" s="8">
        <f>Tabell6[[#This Row],[Medlems avg]]/14</f>
        <v>1000</v>
      </c>
      <c r="J40" s="8"/>
      <c r="K40" s="8">
        <f>IF(Tabell4101112131415[[#This Row],[Nuvarande]], SUM(Tabell4101112131415[[#This Row],[Summa förbrukning]:[Lån]])+Tabell4101112131415[[#This Row],[Korr]],0)</f>
        <v>1750.62</v>
      </c>
      <c r="L40" s="2"/>
    </row>
    <row r="41" spans="1:12" x14ac:dyDescent="0.25">
      <c r="A41" s="4">
        <f>Tabell6[[#This Row],[Avläsnings datum]]</f>
        <v>44926</v>
      </c>
      <c r="B41">
        <v>1422</v>
      </c>
      <c r="C41">
        <f t="shared" si="5"/>
        <v>1409</v>
      </c>
      <c r="D41">
        <f t="shared" si="6"/>
        <v>13</v>
      </c>
      <c r="E41" s="3">
        <f>Tabell6[[#This Row],[Att fördela]]</f>
        <v>0</v>
      </c>
      <c r="F41">
        <f>Tabell6[[#This Row],[Pris/m3 ink.moms]]</f>
        <v>15.780000000000001</v>
      </c>
      <c r="G41" s="2">
        <f>(Tabell4101112131415[[#This Row],[Förbrukning]]+Tabell4101112131415[[#This Row],[Utjämning]])*Tabell4101112131415[[#This Row],[Kr/m3]]</f>
        <v>205.14000000000001</v>
      </c>
      <c r="H41" s="8">
        <f>Tabell6[[#This Row],[Summa fast avg/hushåll]]</f>
        <v>578.16714285714284</v>
      </c>
      <c r="I41" s="8">
        <f>Tabell6[[#This Row],[Medlems avg]]/14</f>
        <v>1000</v>
      </c>
      <c r="J41" s="8"/>
      <c r="K41" s="8">
        <f>IF(Tabell4101112131415[[#This Row],[Nuvarande]], SUM(Tabell4101112131415[[#This Row],[Summa förbrukning]:[Lån]])+Tabell4101112131415[[#This Row],[Korr]],0)</f>
        <v>1783.3071428571429</v>
      </c>
      <c r="L41" s="2"/>
    </row>
    <row r="42" spans="1:12" x14ac:dyDescent="0.25">
      <c r="A42" s="4">
        <f>Tabell6[[#This Row],[Avläsnings datum]]</f>
        <v>45046</v>
      </c>
      <c r="B42">
        <v>1433</v>
      </c>
      <c r="C42">
        <f t="shared" si="5"/>
        <v>1422</v>
      </c>
      <c r="D42">
        <f t="shared" si="6"/>
        <v>11</v>
      </c>
      <c r="E42" s="3">
        <f>Tabell6[[#This Row],[Att fördela]]</f>
        <v>0.14285714285714285</v>
      </c>
      <c r="F42">
        <f>Tabell6[[#This Row],[Pris/m3 ink.moms]]</f>
        <v>17.829999999999998</v>
      </c>
      <c r="G42" s="2">
        <f>(Tabell4101112131415[[#This Row],[Förbrukning]]+Tabell4101112131415[[#This Row],[Utjämning]])*Tabell4101112131415[[#This Row],[Kr/m3]]</f>
        <v>198.67714285714283</v>
      </c>
      <c r="H42" s="8">
        <f>Tabell6[[#This Row],[Summa fast avg/hushåll]]</f>
        <v>652.99952380952379</v>
      </c>
      <c r="I42" s="8">
        <f>Tabell6[[#This Row],[Medlems avg]]/14</f>
        <v>1000</v>
      </c>
      <c r="J42" s="8"/>
      <c r="K42" s="8">
        <f>IF(Tabell4101112131415[[#This Row],[Nuvarande]], SUM(Tabell4101112131415[[#This Row],[Summa förbrukning]:[Lån]])+Tabell4101112131415[[#This Row],[Korr]],0)</f>
        <v>1851.6766666666667</v>
      </c>
      <c r="L42" s="2"/>
    </row>
    <row r="43" spans="1:12" x14ac:dyDescent="0.25">
      <c r="A43" s="4">
        <f>Tabell6[[#This Row],[Avläsnings datum]]</f>
        <v>45169</v>
      </c>
      <c r="B43">
        <v>1445</v>
      </c>
      <c r="C43">
        <f t="shared" si="5"/>
        <v>1433</v>
      </c>
      <c r="D43">
        <f t="shared" si="6"/>
        <v>12</v>
      </c>
      <c r="E43" s="3">
        <f>Tabell6[[#This Row],[Att fördela]]</f>
        <v>-2.2142857142857144</v>
      </c>
      <c r="F43">
        <f>Tabell6[[#This Row],[Pris/m3 ink.moms]]</f>
        <v>17.829999999999998</v>
      </c>
      <c r="G43" s="2">
        <f>(Tabell4101112131415[[#This Row],[Förbrukning]]+Tabell4101112131415[[#This Row],[Utjämning]])*Tabell4101112131415[[#This Row],[Kr/m3]]</f>
        <v>174.47928571428568</v>
      </c>
      <c r="H43" s="8">
        <f>Tabell6[[#This Row],[Summa fast avg/hushåll]]</f>
        <v>652.99952380952379</v>
      </c>
      <c r="I43" s="8">
        <f>Tabell6[[#This Row],[Medlems avg]]/14</f>
        <v>1000</v>
      </c>
      <c r="J43" s="8"/>
      <c r="K43" s="8">
        <f>IF(Tabell4101112131415[[#This Row],[Nuvarande]], SUM(Tabell4101112131415[[#This Row],[Summa förbrukning]:[Lån]])+Tabell4101112131415[[#This Row],[Korr]],0)</f>
        <v>1827.4788095238096</v>
      </c>
      <c r="L43" s="2"/>
    </row>
    <row r="44" spans="1:12" x14ac:dyDescent="0.25">
      <c r="A44" s="4">
        <f>Tabell6[[#This Row],[Avläsnings datum]]</f>
        <v>45291</v>
      </c>
      <c r="B44">
        <v>1456</v>
      </c>
      <c r="C44">
        <f t="shared" si="5"/>
        <v>1445</v>
      </c>
      <c r="D44">
        <f t="shared" si="6"/>
        <v>11</v>
      </c>
      <c r="E44" s="3">
        <f>Tabell6[[#This Row],[Att fördela]]</f>
        <v>-0.7857142857142857</v>
      </c>
      <c r="F44">
        <f>Tabell6[[#This Row],[Pris/m3 ink.moms]]</f>
        <v>17.829999999999998</v>
      </c>
      <c r="G44" s="2">
        <f>(Tabell4101112131415[[#This Row],[Förbrukning]]+Tabell4101112131415[[#This Row],[Utjämning]])*Tabell4101112131415[[#This Row],[Kr/m3]]</f>
        <v>182.12071428571426</v>
      </c>
      <c r="H44" s="8">
        <f>Tabell6[[#This Row],[Summa fast avg/hushåll]]</f>
        <v>652.99952380952379</v>
      </c>
      <c r="I44" s="8">
        <f>Tabell6[[#This Row],[Medlems avg]]/14</f>
        <v>1000</v>
      </c>
      <c r="J44" s="8"/>
      <c r="K44" s="8">
        <f>IF(Tabell4101112131415[[#This Row],[Nuvarande]], SUM(Tabell4101112131415[[#This Row],[Summa förbrukning]:[Lån]])+Tabell4101112131415[[#This Row],[Korr]],0)</f>
        <v>1835.1202380952382</v>
      </c>
      <c r="L44" s="2"/>
    </row>
    <row r="45" spans="1:12" x14ac:dyDescent="0.25">
      <c r="A45" s="4">
        <f>Tabell6[[#This Row],[Avläsnings datum]]</f>
        <v>45412</v>
      </c>
      <c r="B45">
        <v>1466</v>
      </c>
      <c r="C45">
        <f t="shared" si="5"/>
        <v>1456</v>
      </c>
      <c r="D45">
        <f t="shared" si="6"/>
        <v>10</v>
      </c>
      <c r="E45" s="3">
        <f>Tabell6[[#This Row],[Att fördela]]</f>
        <v>-7.1428571428571425E-2</v>
      </c>
      <c r="F45">
        <f>Tabell6[[#This Row],[Pris/m3 ink.moms]]</f>
        <v>17.829999999999998</v>
      </c>
      <c r="G45" s="2">
        <f>(Tabell4101112131415[[#This Row],[Förbrukning]]+Tabell4101112131415[[#This Row],[Utjämning]])*Tabell4101112131415[[#This Row],[Kr/m3]]</f>
        <v>177.02642857142857</v>
      </c>
      <c r="H45" s="8">
        <f>Tabell6[[#This Row],[Summa fast avg/hushåll]]</f>
        <v>652.99952380952379</v>
      </c>
      <c r="I45" s="8">
        <f>Tabell6[[#This Row],[Medlems avg]]/14</f>
        <v>1000</v>
      </c>
      <c r="J45" s="8"/>
      <c r="K45" s="8">
        <f>IF(Tabell4101112131415[[#This Row],[Nuvarande]], SUM(Tabell4101112131415[[#This Row],[Summa förbrukning]:[Lån]])+Tabell4101112131415[[#This Row],[Korr]],0)</f>
        <v>1830.0259523809523</v>
      </c>
      <c r="L45" s="2"/>
    </row>
    <row r="46" spans="1:12" x14ac:dyDescent="0.25">
      <c r="A46" s="4">
        <f>Tabell6[[#This Row],[Avläsnings datum]]</f>
        <v>45535</v>
      </c>
      <c r="B46">
        <v>1478</v>
      </c>
      <c r="C46">
        <f t="shared" si="5"/>
        <v>1466</v>
      </c>
      <c r="D46">
        <f t="shared" si="6"/>
        <v>12</v>
      </c>
      <c r="E46" s="3">
        <f>Tabell6[[#This Row],[Att fördela]]</f>
        <v>-1.3571428571428572</v>
      </c>
      <c r="F46">
        <f>Tabell6[[#This Row],[Pris/m3 ink.moms]]</f>
        <v>21</v>
      </c>
      <c r="G46" s="2">
        <f>(Tabell4101112131415[[#This Row],[Förbrukning]]+Tabell4101112131415[[#This Row],[Utjämning]])*Tabell4101112131415[[#This Row],[Kr/m3]]</f>
        <v>223.5</v>
      </c>
      <c r="H46" s="8">
        <f>Tabell6[[#This Row],[Summa fast avg/hushåll]]</f>
        <v>763.97428571428566</v>
      </c>
      <c r="I46" s="8">
        <f>Tabell6[[#This Row],[Medlems avg]]/14</f>
        <v>1000</v>
      </c>
      <c r="J46" s="8"/>
      <c r="K46" s="8">
        <f>IF(Tabell4101112131415[[#This Row],[Nuvarande]], SUM(Tabell4101112131415[[#This Row],[Summa förbrukning]:[Lån]])+Tabell4101112131415[[#This Row],[Korr]],0)</f>
        <v>1987.4742857142855</v>
      </c>
      <c r="L46" s="2"/>
    </row>
    <row r="47" spans="1:12" x14ac:dyDescent="0.25">
      <c r="A47" s="4">
        <f>Tabell6[[#This Row],[Avläsnings datum]]</f>
        <v>45657</v>
      </c>
      <c r="B47">
        <v>1489</v>
      </c>
      <c r="C47">
        <f t="shared" si="5"/>
        <v>1478</v>
      </c>
      <c r="D47">
        <f t="shared" si="6"/>
        <v>11</v>
      </c>
      <c r="E47" s="3">
        <f>Tabell6[[#This Row],[Att fördela]]</f>
        <v>-1.7142857142857142</v>
      </c>
      <c r="F47">
        <f>Tabell6[[#This Row],[Pris/m3 ink.moms]]</f>
        <v>21</v>
      </c>
      <c r="G47" s="2">
        <f>(Tabell4101112131415[[#This Row],[Förbrukning]]+Tabell4101112131415[[#This Row],[Utjämning]])*Tabell4101112131415[[#This Row],[Kr/m3]]</f>
        <v>195.00000000000003</v>
      </c>
      <c r="H47" s="8">
        <f>Tabell6[[#This Row],[Summa fast avg/hushåll]]</f>
        <v>763.97428571428566</v>
      </c>
      <c r="I47" s="8">
        <f>Tabell6[[#This Row],[Medlems avg]]/14</f>
        <v>1000</v>
      </c>
      <c r="J47" s="8"/>
      <c r="K47" s="8">
        <f>IF(Tabell4101112131415[[#This Row],[Nuvarande]], SUM(Tabell4101112131415[[#This Row],[Summa förbrukning]:[Lån]])+Tabell4101112131415[[#This Row],[Korr]],0)</f>
        <v>1958.9742857142855</v>
      </c>
      <c r="L47" s="2"/>
    </row>
    <row r="48" spans="1:12" x14ac:dyDescent="0.25">
      <c r="A48" s="4">
        <f>Tabell6[[#This Row],[Avläsnings datum]]</f>
        <v>45777</v>
      </c>
      <c r="B48">
        <v>1499</v>
      </c>
      <c r="C48">
        <f t="shared" si="5"/>
        <v>1489</v>
      </c>
      <c r="D48">
        <f t="shared" si="6"/>
        <v>10</v>
      </c>
      <c r="E48" s="3">
        <f>Tabell6[[#This Row],[Att fördela]]</f>
        <v>-1.5</v>
      </c>
      <c r="F48">
        <f>Tabell6[[#This Row],[Pris/m3 ink.moms]]</f>
        <v>24</v>
      </c>
      <c r="G48" s="2">
        <f>(Tabell4101112131415[[#This Row],[Förbrukning]]+Tabell4101112131415[[#This Row],[Utjämning]])*Tabell4101112131415[[#This Row],[Kr/m3]]</f>
        <v>204</v>
      </c>
      <c r="H48" s="8">
        <f>Tabell6[[#This Row],[Summa fast avg/hushåll]]</f>
        <v>879.14738095238101</v>
      </c>
      <c r="I48" s="8">
        <f>Tabell6[[#This Row],[Medlems avg]]/14</f>
        <v>1000</v>
      </c>
      <c r="J48" s="8"/>
      <c r="K48" s="8">
        <f>IF(Tabell4101112131415[[#This Row],[Nuvarande]], SUM(Tabell4101112131415[[#This Row],[Summa förbrukning]:[Lån]])+Tabell4101112131415[[#This Row],[Korr]],0)</f>
        <v>2083.1473809523809</v>
      </c>
      <c r="L48" s="2"/>
    </row>
    <row r="49" spans="1:12" x14ac:dyDescent="0.25">
      <c r="A49" s="4">
        <f>Tabell6[[#This Row],[Avläsnings datum]]</f>
        <v>45900</v>
      </c>
      <c r="C49">
        <f t="shared" si="5"/>
        <v>1499</v>
      </c>
      <c r="D49">
        <f t="shared" si="6"/>
        <v>0</v>
      </c>
      <c r="E49" s="3">
        <f>Tabell6[[#This Row],[Att fördela]]</f>
        <v>0</v>
      </c>
      <c r="F49">
        <f>Tabell6[[#This Row],[Pris/m3 ink.moms]]</f>
        <v>24</v>
      </c>
      <c r="G49" s="2">
        <f>(Tabell4101112131415[[#This Row],[Förbrukning]]+Tabell4101112131415[[#This Row],[Utjämning]])*Tabell4101112131415[[#This Row],[Kr/m3]]</f>
        <v>0</v>
      </c>
      <c r="H49" s="8">
        <f>Tabell6[[#This Row],[Summa fast avg/hushåll]]</f>
        <v>879.14738095238101</v>
      </c>
      <c r="I49" s="8">
        <f>Tabell6[[#This Row],[Medlems avg]]/14</f>
        <v>1000</v>
      </c>
      <c r="J49" s="8"/>
      <c r="K49" s="8">
        <f>IF(Tabell4101112131415[[#This Row],[Nuvarande]], SUM(Tabell4101112131415[[#This Row],[Summa förbrukning]:[Lån]])+Tabell4101112131415[[#This Row],[Korr]],0)</f>
        <v>0</v>
      </c>
      <c r="L49" s="2"/>
    </row>
    <row r="50" spans="1:12" x14ac:dyDescent="0.25">
      <c r="A50" s="4">
        <f>Tabell6[[#This Row],[Avläsnings datum]]</f>
        <v>46022</v>
      </c>
      <c r="C50">
        <f t="shared" si="5"/>
        <v>0</v>
      </c>
      <c r="D50">
        <f t="shared" si="6"/>
        <v>0</v>
      </c>
      <c r="E50" s="3">
        <f>Tabell6[[#This Row],[Att fördela]]</f>
        <v>0</v>
      </c>
      <c r="F50">
        <f>Tabell6[[#This Row],[Pris/m3 ink.moms]]</f>
        <v>24</v>
      </c>
      <c r="G50" s="2">
        <f>(Tabell4101112131415[[#This Row],[Förbrukning]]+Tabell4101112131415[[#This Row],[Utjämning]])*Tabell4101112131415[[#This Row],[Kr/m3]]</f>
        <v>0</v>
      </c>
      <c r="H50" s="8">
        <f>Tabell6[[#This Row],[Summa fast avg/hushåll]]</f>
        <v>879.14738095238101</v>
      </c>
      <c r="I50" s="8">
        <f>Tabell6[[#This Row],[Medlems avg]]/14</f>
        <v>1000</v>
      </c>
      <c r="J50" s="8"/>
      <c r="K50" s="8">
        <f>IF(Tabell4101112131415[[#This Row],[Nuvarande]], SUM(Tabell4101112131415[[#This Row],[Summa förbrukning]:[Lån]])+Tabell4101112131415[[#This Row],[Korr]],0)</f>
        <v>0</v>
      </c>
      <c r="L50" s="2"/>
    </row>
    <row r="51" spans="1:12" x14ac:dyDescent="0.25">
      <c r="A51" s="4">
        <f>Tabell6[[#This Row],[Avläsnings datum]]</f>
        <v>46142</v>
      </c>
      <c r="C51">
        <f t="shared" si="5"/>
        <v>0</v>
      </c>
      <c r="D51">
        <f t="shared" si="6"/>
        <v>0</v>
      </c>
      <c r="E51" s="3">
        <f>Tabell6[[#This Row],[Att fördela]]</f>
        <v>0</v>
      </c>
      <c r="F51">
        <f>Tabell6[[#This Row],[Pris/m3 ink.moms]]</f>
        <v>24</v>
      </c>
      <c r="G51" s="2">
        <f>(Tabell4101112131415[[#This Row],[Förbrukning]]+Tabell4101112131415[[#This Row],[Utjämning]])*Tabell4101112131415[[#This Row],[Kr/m3]]</f>
        <v>0</v>
      </c>
      <c r="H51" s="8">
        <f>Tabell6[[#This Row],[Summa fast avg/hushåll]]</f>
        <v>879.14738095238101</v>
      </c>
      <c r="I51" s="8">
        <f>Tabell6[[#This Row],[Medlems avg]]/14</f>
        <v>1000</v>
      </c>
      <c r="J51" s="8"/>
      <c r="K51" s="8">
        <f>IF(Tabell4101112131415[[#This Row],[Nuvarande]], SUM(Tabell4101112131415[[#This Row],[Summa förbrukning]:[Lån]])+Tabell4101112131415[[#This Row],[Korr]],0)</f>
        <v>0</v>
      </c>
      <c r="L51" s="2"/>
    </row>
    <row r="52" spans="1:12" x14ac:dyDescent="0.25">
      <c r="A52" s="4">
        <f>Tabell6[[#This Row],[Avläsnings datum]]</f>
        <v>46265</v>
      </c>
      <c r="C52">
        <f t="shared" si="5"/>
        <v>0</v>
      </c>
      <c r="D52">
        <f t="shared" si="6"/>
        <v>0</v>
      </c>
      <c r="E52" s="3">
        <f>Tabell6[[#This Row],[Att fördela]]</f>
        <v>0</v>
      </c>
      <c r="F52">
        <f>Tabell6[[#This Row],[Pris/m3 ink.moms]]</f>
        <v>24</v>
      </c>
      <c r="G52" s="2">
        <f>(Tabell4101112131415[[#This Row],[Förbrukning]]+Tabell4101112131415[[#This Row],[Utjämning]])*Tabell4101112131415[[#This Row],[Kr/m3]]</f>
        <v>0</v>
      </c>
      <c r="H52" s="8">
        <f>Tabell6[[#This Row],[Summa fast avg/hushåll]]</f>
        <v>879.14738095238101</v>
      </c>
      <c r="I52" s="8">
        <f>Tabell6[[#This Row],[Medlems avg]]/14</f>
        <v>1000</v>
      </c>
      <c r="J52" s="8"/>
      <c r="K52" s="8">
        <f>IF(Tabell4101112131415[[#This Row],[Nuvarande]], SUM(Tabell4101112131415[[#This Row],[Summa förbrukning]:[Lån]])+Tabell4101112131415[[#This Row],[Korr]],0)</f>
        <v>0</v>
      </c>
      <c r="L52" s="2"/>
    </row>
    <row r="53" spans="1:12" x14ac:dyDescent="0.25">
      <c r="A53" s="4">
        <f>Tabell6[[#This Row],[Avläsnings datum]]</f>
        <v>46387</v>
      </c>
      <c r="C53">
        <f t="shared" si="5"/>
        <v>0</v>
      </c>
      <c r="D53">
        <f t="shared" si="6"/>
        <v>0</v>
      </c>
      <c r="E53" s="3">
        <f>Tabell6[[#This Row],[Att fördela]]</f>
        <v>0</v>
      </c>
      <c r="F53">
        <f>Tabell6[[#This Row],[Pris/m3 ink.moms]]</f>
        <v>24</v>
      </c>
      <c r="G53" s="2">
        <f>(Tabell4101112131415[[#This Row],[Förbrukning]]+Tabell4101112131415[[#This Row],[Utjämning]])*Tabell4101112131415[[#This Row],[Kr/m3]]</f>
        <v>0</v>
      </c>
      <c r="H53" s="8">
        <f>Tabell6[[#This Row],[Summa fast avg/hushåll]]</f>
        <v>879.14738095238101</v>
      </c>
      <c r="I53" s="8">
        <f>Tabell6[[#This Row],[Medlems avg]]/14</f>
        <v>1000</v>
      </c>
      <c r="J53" s="8"/>
      <c r="K53" s="8">
        <f>IF(Tabell4101112131415[[#This Row],[Nuvarande]], SUM(Tabell4101112131415[[#This Row],[Summa förbrukning]:[Lån]])+Tabell4101112131415[[#This Row],[Korr]],0)</f>
        <v>0</v>
      </c>
      <c r="L53" s="2"/>
    </row>
    <row r="54" spans="1:12" x14ac:dyDescent="0.25">
      <c r="A54" s="4">
        <f>Tabell6[[#This Row],[Avläsnings datum]]</f>
        <v>46507</v>
      </c>
      <c r="C54">
        <f t="shared" si="5"/>
        <v>0</v>
      </c>
      <c r="D54">
        <f t="shared" si="6"/>
        <v>0</v>
      </c>
      <c r="E54" s="3">
        <f>Tabell6[[#This Row],[Att fördela]]</f>
        <v>0</v>
      </c>
      <c r="F54">
        <f>Tabell6[[#This Row],[Pris/m3 ink.moms]]</f>
        <v>24</v>
      </c>
      <c r="G54" s="2">
        <f>(Tabell4101112131415[[#This Row],[Förbrukning]]+Tabell4101112131415[[#This Row],[Utjämning]])*Tabell4101112131415[[#This Row],[Kr/m3]]</f>
        <v>0</v>
      </c>
      <c r="H54" s="8">
        <f>Tabell6[[#This Row],[Summa fast avg/hushåll]]</f>
        <v>879.14738095238101</v>
      </c>
      <c r="I54" s="8">
        <f>Tabell6[[#This Row],[Medlems avg]]/14</f>
        <v>1000</v>
      </c>
      <c r="J54" s="8"/>
      <c r="K54" s="8">
        <f>IF(Tabell4101112131415[[#This Row],[Nuvarande]], SUM(Tabell4101112131415[[#This Row],[Summa förbrukning]:[Lån]])+Tabell4101112131415[[#This Row],[Korr]],0)</f>
        <v>0</v>
      </c>
      <c r="L54" s="2"/>
    </row>
    <row r="55" spans="1:12" x14ac:dyDescent="0.25">
      <c r="A55" s="4">
        <f>Tabell6[[#This Row],[Avläsnings datum]]</f>
        <v>46630</v>
      </c>
      <c r="C55">
        <f t="shared" si="5"/>
        <v>0</v>
      </c>
      <c r="D55">
        <f t="shared" si="6"/>
        <v>0</v>
      </c>
      <c r="E55" s="3">
        <f>Tabell6[[#This Row],[Att fördela]]</f>
        <v>0</v>
      </c>
      <c r="F55">
        <f>Tabell6[[#This Row],[Pris/m3 ink.moms]]</f>
        <v>24</v>
      </c>
      <c r="G55" s="2">
        <f>(Tabell4101112131415[[#This Row],[Förbrukning]]+Tabell4101112131415[[#This Row],[Utjämning]])*Tabell4101112131415[[#This Row],[Kr/m3]]</f>
        <v>0</v>
      </c>
      <c r="H55" s="8">
        <f>Tabell6[[#This Row],[Summa fast avg/hushåll]]</f>
        <v>879.14738095238101</v>
      </c>
      <c r="I55" s="8">
        <f>Tabell6[[#This Row],[Medlems avg]]/14</f>
        <v>1000</v>
      </c>
      <c r="J55" s="8"/>
      <c r="K55" s="8">
        <f>IF(Tabell4101112131415[[#This Row],[Nuvarande]], SUM(Tabell4101112131415[[#This Row],[Summa förbrukning]:[Lån]])+Tabell4101112131415[[#This Row],[Korr]],0)</f>
        <v>0</v>
      </c>
      <c r="L55" s="2"/>
    </row>
    <row r="56" spans="1:12" x14ac:dyDescent="0.25">
      <c r="A56" s="4">
        <f>Tabell6[[#This Row],[Avläsnings datum]]</f>
        <v>46752</v>
      </c>
      <c r="C56">
        <f t="shared" si="5"/>
        <v>0</v>
      </c>
      <c r="D56">
        <f t="shared" si="6"/>
        <v>0</v>
      </c>
      <c r="E56" s="3">
        <f>Tabell6[[#This Row],[Att fördela]]</f>
        <v>0</v>
      </c>
      <c r="F56">
        <f>Tabell6[[#This Row],[Pris/m3 ink.moms]]</f>
        <v>24</v>
      </c>
      <c r="G56" s="2">
        <f>(Tabell4101112131415[[#This Row],[Förbrukning]]+Tabell4101112131415[[#This Row],[Utjämning]])*Tabell4101112131415[[#This Row],[Kr/m3]]</f>
        <v>0</v>
      </c>
      <c r="H56" s="8">
        <f>Tabell6[[#This Row],[Summa fast avg/hushåll]]</f>
        <v>879.14738095238101</v>
      </c>
      <c r="I56" s="8">
        <f>Tabell6[[#This Row],[Medlems avg]]/14</f>
        <v>1000</v>
      </c>
      <c r="J56" s="8"/>
      <c r="K56" s="8">
        <f>IF(Tabell4101112131415[[#This Row],[Nuvarande]], SUM(Tabell4101112131415[[#This Row],[Summa förbrukning]:[Lån]])+Tabell4101112131415[[#This Row],[Korr]],0)</f>
        <v>0</v>
      </c>
      <c r="L56" s="2"/>
    </row>
    <row r="57" spans="1:12" x14ac:dyDescent="0.25">
      <c r="A57" s="4">
        <f>Tabell6[[#This Row],[Avläsnings datum]]</f>
        <v>46873</v>
      </c>
      <c r="C57">
        <f t="shared" si="5"/>
        <v>0</v>
      </c>
      <c r="D57">
        <f t="shared" si="6"/>
        <v>0</v>
      </c>
      <c r="E57" s="3">
        <f>Tabell6[[#This Row],[Att fördela]]</f>
        <v>0</v>
      </c>
      <c r="F57">
        <f>Tabell6[[#This Row],[Pris/m3 ink.moms]]</f>
        <v>24</v>
      </c>
      <c r="G57" s="2">
        <f>(Tabell4101112131415[[#This Row],[Förbrukning]]+Tabell4101112131415[[#This Row],[Utjämning]])*Tabell4101112131415[[#This Row],[Kr/m3]]</f>
        <v>0</v>
      </c>
      <c r="H57" s="8">
        <f>Tabell6[[#This Row],[Summa fast avg/hushåll]]</f>
        <v>879.14738095238101</v>
      </c>
      <c r="I57" s="8">
        <f>Tabell6[[#This Row],[Medlems avg]]/14</f>
        <v>1000</v>
      </c>
      <c r="J57" s="8"/>
      <c r="K57" s="8">
        <f>IF(Tabell4101112131415[[#This Row],[Nuvarande]], SUM(Tabell4101112131415[[#This Row],[Summa förbrukning]:[Lån]])+Tabell4101112131415[[#This Row],[Korr]],0)</f>
        <v>0</v>
      </c>
      <c r="L57" s="2"/>
    </row>
    <row r="58" spans="1:12" x14ac:dyDescent="0.25">
      <c r="A58" s="4">
        <f>Tabell6[[#This Row],[Avläsnings datum]]</f>
        <v>46996</v>
      </c>
      <c r="C58">
        <f t="shared" si="5"/>
        <v>0</v>
      </c>
      <c r="D58">
        <f t="shared" si="6"/>
        <v>0</v>
      </c>
      <c r="E58" s="3">
        <f>Tabell6[[#This Row],[Att fördela]]</f>
        <v>0</v>
      </c>
      <c r="F58">
        <f>Tabell6[[#This Row],[Pris/m3 ink.moms]]</f>
        <v>24</v>
      </c>
      <c r="G58" s="2">
        <f>(Tabell4101112131415[[#This Row],[Förbrukning]]+Tabell4101112131415[[#This Row],[Utjämning]])*Tabell4101112131415[[#This Row],[Kr/m3]]</f>
        <v>0</v>
      </c>
      <c r="H58" s="8">
        <f>Tabell6[[#This Row],[Summa fast avg/hushåll]]</f>
        <v>879.14738095238101</v>
      </c>
      <c r="I58" s="8">
        <f>Tabell6[[#This Row],[Medlems avg]]/14</f>
        <v>1000</v>
      </c>
      <c r="J58" s="8"/>
      <c r="K58" s="8">
        <f>IF(Tabell4101112131415[[#This Row],[Nuvarande]], SUM(Tabell4101112131415[[#This Row],[Summa förbrukning]:[Lån]])+Tabell4101112131415[[#This Row],[Korr]],0)</f>
        <v>0</v>
      </c>
      <c r="L58" s="2"/>
    </row>
    <row r="59" spans="1:12" x14ac:dyDescent="0.25">
      <c r="A59" s="4">
        <f>Tabell6[[#This Row],[Avläsnings datum]]</f>
        <v>47118</v>
      </c>
      <c r="C59">
        <f t="shared" si="5"/>
        <v>0</v>
      </c>
      <c r="D59">
        <f t="shared" si="6"/>
        <v>0</v>
      </c>
      <c r="E59" s="3">
        <f>Tabell6[[#This Row],[Att fördela]]</f>
        <v>0</v>
      </c>
      <c r="F59">
        <f>Tabell6[[#This Row],[Pris/m3 ink.moms]]</f>
        <v>24</v>
      </c>
      <c r="G59" s="2">
        <f>(Tabell4101112131415[[#This Row],[Förbrukning]]+Tabell4101112131415[[#This Row],[Utjämning]])*Tabell4101112131415[[#This Row],[Kr/m3]]</f>
        <v>0</v>
      </c>
      <c r="H59" s="8">
        <f>Tabell6[[#This Row],[Summa fast avg/hushåll]]</f>
        <v>879.14738095238101</v>
      </c>
      <c r="I59" s="8">
        <f>Tabell6[[#This Row],[Medlems avg]]/14</f>
        <v>1000</v>
      </c>
      <c r="J59" s="8"/>
      <c r="K59" s="8">
        <f>IF(Tabell4101112131415[[#This Row],[Nuvarande]], SUM(Tabell4101112131415[[#This Row],[Summa förbrukning]:[Lån]])+Tabell4101112131415[[#This Row],[Korr]],0)</f>
        <v>0</v>
      </c>
      <c r="L59" s="2"/>
    </row>
    <row r="60" spans="1:12" x14ac:dyDescent="0.25">
      <c r="A60" s="4">
        <f>Tabell6[[#This Row],[Avläsnings datum]]</f>
        <v>47238</v>
      </c>
      <c r="C60">
        <f t="shared" si="5"/>
        <v>0</v>
      </c>
      <c r="D60">
        <f t="shared" si="6"/>
        <v>0</v>
      </c>
      <c r="E60" s="3">
        <f>Tabell6[[#This Row],[Att fördela]]</f>
        <v>0</v>
      </c>
      <c r="F60">
        <f>Tabell6[[#This Row],[Pris/m3 ink.moms]]</f>
        <v>24</v>
      </c>
      <c r="G60" s="2">
        <f>(Tabell4101112131415[[#This Row],[Förbrukning]]+Tabell4101112131415[[#This Row],[Utjämning]])*Tabell4101112131415[[#This Row],[Kr/m3]]</f>
        <v>0</v>
      </c>
      <c r="H60" s="8">
        <f>Tabell6[[#This Row],[Summa fast avg/hushåll]]</f>
        <v>879.14738095238101</v>
      </c>
      <c r="I60" s="8">
        <f>Tabell6[[#This Row],[Medlems avg]]/14</f>
        <v>1000</v>
      </c>
      <c r="J60" s="8"/>
      <c r="K60" s="8">
        <f>IF(Tabell4101112131415[[#This Row],[Nuvarande]], SUM(Tabell4101112131415[[#This Row],[Summa förbrukning]:[Lån]])+Tabell4101112131415[[#This Row],[Korr]],0)</f>
        <v>0</v>
      </c>
      <c r="L60" s="2"/>
    </row>
  </sheetData>
  <pageMargins left="0.7" right="0.7" top="0.75" bottom="0.75" header="0.3" footer="0.3"/>
  <pageSetup paperSize="9" orientation="portrait" r:id="rId1"/>
  <ignoredErrors>
    <ignoredError sqref="A21:A3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31</vt:i4>
      </vt:variant>
      <vt:variant>
        <vt:lpstr>Namngivna områden</vt:lpstr>
      </vt:variant>
      <vt:variant>
        <vt:i4>70</vt:i4>
      </vt:variant>
    </vt:vector>
  </HeadingPairs>
  <TitlesOfParts>
    <vt:vector size="101" baseType="lpstr">
      <vt:lpstr>Lån</vt:lpstr>
      <vt:lpstr>Huvud mätare</vt:lpstr>
      <vt:lpstr>Gräsv.6</vt:lpstr>
      <vt:lpstr>Gräsv.8</vt:lpstr>
      <vt:lpstr>Gräsv.10</vt:lpstr>
      <vt:lpstr>Gräsv.12</vt:lpstr>
      <vt:lpstr>Gräsv.14</vt:lpstr>
      <vt:lpstr>Gräsv.16</vt:lpstr>
      <vt:lpstr>Gräsv.18</vt:lpstr>
      <vt:lpstr>Gräsv.20</vt:lpstr>
      <vt:lpstr>Gräsv.22</vt:lpstr>
      <vt:lpstr>Gräsv.24</vt:lpstr>
      <vt:lpstr>Gräsv.26</vt:lpstr>
      <vt:lpstr>Gräsv.28</vt:lpstr>
      <vt:lpstr>Gräsv.30</vt:lpstr>
      <vt:lpstr>Gräsv.32</vt:lpstr>
      <vt:lpstr>Blad1</vt:lpstr>
      <vt:lpstr>Giro.6</vt:lpstr>
      <vt:lpstr>Giro.8</vt:lpstr>
      <vt:lpstr>Giro.10</vt:lpstr>
      <vt:lpstr>Giro.12</vt:lpstr>
      <vt:lpstr>Giro.14</vt:lpstr>
      <vt:lpstr>Giro.16</vt:lpstr>
      <vt:lpstr>Giro.18</vt:lpstr>
      <vt:lpstr>Giro.20</vt:lpstr>
      <vt:lpstr>Giro.22</vt:lpstr>
      <vt:lpstr>Giro.24</vt:lpstr>
      <vt:lpstr>Giro.26</vt:lpstr>
      <vt:lpstr>Giro.28</vt:lpstr>
      <vt:lpstr>Giro.30</vt:lpstr>
      <vt:lpstr>Giro.32</vt:lpstr>
      <vt:lpstr>Giro.10!Företagsnamn</vt:lpstr>
      <vt:lpstr>Giro.12!Företagsnamn</vt:lpstr>
      <vt:lpstr>Giro.14!Företagsnamn</vt:lpstr>
      <vt:lpstr>Giro.16!Företagsnamn</vt:lpstr>
      <vt:lpstr>Giro.18!Företagsnamn</vt:lpstr>
      <vt:lpstr>Giro.20!Företagsnamn</vt:lpstr>
      <vt:lpstr>Giro.22!Företagsnamn</vt:lpstr>
      <vt:lpstr>Giro.24!Företagsnamn</vt:lpstr>
      <vt:lpstr>Giro.26!Företagsnamn</vt:lpstr>
      <vt:lpstr>Giro.28!Företagsnamn</vt:lpstr>
      <vt:lpstr>Giro.30!Företagsnamn</vt:lpstr>
      <vt:lpstr>Giro.32!Företagsnamn</vt:lpstr>
      <vt:lpstr>Giro.8!Företagsnamn</vt:lpstr>
      <vt:lpstr>Företagsnamn</vt:lpstr>
      <vt:lpstr>Giro.10!KolumnRubrik1</vt:lpstr>
      <vt:lpstr>Giro.12!KolumnRubrik1</vt:lpstr>
      <vt:lpstr>Giro.14!KolumnRubrik1</vt:lpstr>
      <vt:lpstr>Giro.16!KolumnRubrik1</vt:lpstr>
      <vt:lpstr>Giro.18!KolumnRubrik1</vt:lpstr>
      <vt:lpstr>Giro.20!KolumnRubrik1</vt:lpstr>
      <vt:lpstr>Giro.22!KolumnRubrik1</vt:lpstr>
      <vt:lpstr>Giro.24!KolumnRubrik1</vt:lpstr>
      <vt:lpstr>Giro.26!KolumnRubrik1</vt:lpstr>
      <vt:lpstr>Giro.28!KolumnRubrik1</vt:lpstr>
      <vt:lpstr>Giro.30!KolumnRubrik1</vt:lpstr>
      <vt:lpstr>Giro.32!KolumnRubrik1</vt:lpstr>
      <vt:lpstr>Giro.8!KolumnRubrik1</vt:lpstr>
      <vt:lpstr>KolumnRubrik1</vt:lpstr>
      <vt:lpstr>Giro.10!RadRubrikAvsnitt1..D5</vt:lpstr>
      <vt:lpstr>Giro.12!RadRubrikAvsnitt1..D5</vt:lpstr>
      <vt:lpstr>Giro.14!RadRubrikAvsnitt1..D5</vt:lpstr>
      <vt:lpstr>Giro.16!RadRubrikAvsnitt1..D5</vt:lpstr>
      <vt:lpstr>Giro.18!RadRubrikAvsnitt1..D5</vt:lpstr>
      <vt:lpstr>Giro.20!RadRubrikAvsnitt1..D5</vt:lpstr>
      <vt:lpstr>Giro.22!RadRubrikAvsnitt1..D5</vt:lpstr>
      <vt:lpstr>Giro.24!RadRubrikAvsnitt1..D5</vt:lpstr>
      <vt:lpstr>Giro.26!RadRubrikAvsnitt1..D5</vt:lpstr>
      <vt:lpstr>Giro.28!RadRubrikAvsnitt1..D5</vt:lpstr>
      <vt:lpstr>Giro.30!RadRubrikAvsnitt1..D5</vt:lpstr>
      <vt:lpstr>Giro.32!RadRubrikAvsnitt1..D5</vt:lpstr>
      <vt:lpstr>Giro.8!RadRubrikAvsnitt1..D5</vt:lpstr>
      <vt:lpstr>RadRubrikAvsnitt1..D5</vt:lpstr>
      <vt:lpstr>Giro.10!Utskriftsområde</vt:lpstr>
      <vt:lpstr>Giro.12!Utskriftsområde</vt:lpstr>
      <vt:lpstr>Giro.14!Utskriftsområde</vt:lpstr>
      <vt:lpstr>Giro.16!Utskriftsområde</vt:lpstr>
      <vt:lpstr>Giro.18!Utskriftsområde</vt:lpstr>
      <vt:lpstr>Giro.20!Utskriftsområde</vt:lpstr>
      <vt:lpstr>Giro.22!Utskriftsområde</vt:lpstr>
      <vt:lpstr>Giro.24!Utskriftsområde</vt:lpstr>
      <vt:lpstr>Giro.26!Utskriftsområde</vt:lpstr>
      <vt:lpstr>Giro.28!Utskriftsområde</vt:lpstr>
      <vt:lpstr>Giro.30!Utskriftsområde</vt:lpstr>
      <vt:lpstr>Giro.32!Utskriftsområde</vt:lpstr>
      <vt:lpstr>Giro.6!Utskriftsområde</vt:lpstr>
      <vt:lpstr>Giro.8!Utskriftsområde</vt:lpstr>
      <vt:lpstr>Giro.10!Utskriftsrubriker</vt:lpstr>
      <vt:lpstr>Giro.12!Utskriftsrubriker</vt:lpstr>
      <vt:lpstr>Giro.14!Utskriftsrubriker</vt:lpstr>
      <vt:lpstr>Giro.16!Utskriftsrubriker</vt:lpstr>
      <vt:lpstr>Giro.18!Utskriftsrubriker</vt:lpstr>
      <vt:lpstr>Giro.20!Utskriftsrubriker</vt:lpstr>
      <vt:lpstr>Giro.22!Utskriftsrubriker</vt:lpstr>
      <vt:lpstr>Giro.24!Utskriftsrubriker</vt:lpstr>
      <vt:lpstr>Giro.26!Utskriftsrubriker</vt:lpstr>
      <vt:lpstr>Giro.28!Utskriftsrubriker</vt:lpstr>
      <vt:lpstr>Giro.30!Utskriftsrubriker</vt:lpstr>
      <vt:lpstr>Giro.32!Utskriftsrubriker</vt:lpstr>
      <vt:lpstr>Giro.6!Utskriftsrubriker</vt:lpstr>
      <vt:lpstr>Giro.8!Utskriftsrubriker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Henrik Thörnblom</dc:creator>
  <cp:keywords/>
  <dc:description/>
  <cp:lastModifiedBy>Henrik Thörnblom</cp:lastModifiedBy>
  <cp:revision/>
  <cp:lastPrinted>2025-05-29T12:49:41Z</cp:lastPrinted>
  <dcterms:created xsi:type="dcterms:W3CDTF">2011-09-18T13:43:21Z</dcterms:created>
  <dcterms:modified xsi:type="dcterms:W3CDTF">2025-05-29T12:50:21Z</dcterms:modified>
  <cp:category/>
  <cp:contentStatus/>
</cp:coreProperties>
</file>