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601482bb1d6e4f73/Desktop/MSBA/2nd semester/Optimization/"/>
    </mc:Choice>
  </mc:AlternateContent>
  <xr:revisionPtr revIDLastSave="1101" documentId="8_{EB577A20-AF0D-428E-8B71-68609BF172B9}" xr6:coauthVersionLast="47" xr6:coauthVersionMax="47" xr10:uidLastSave="{72FD5C23-F03B-47EF-8852-479B213784DE}"/>
  <bookViews>
    <workbookView xWindow="-110" yWindow="-110" windowWidth="19420" windowHeight="11500" xr2:uid="{7ABC8E68-D54D-4169-A46F-3ADA8DAA4C21}"/>
  </bookViews>
  <sheets>
    <sheet name="Demand equations" sheetId="1" r:id="rId1"/>
    <sheet name="NLP Model" sheetId="2" r:id="rId2"/>
    <sheet name="Spreadsheet model" sheetId="3" r:id="rId3"/>
    <sheet name="A few more constraints" sheetId="4" r:id="rId4"/>
    <sheet name="Solution 4_STS" sheetId="6" state="veryHidden" r:id="rId5"/>
    <sheet name="Solver table one way analysis" sheetId="7" r:id="rId6"/>
  </sheets>
  <definedNames>
    <definedName name="ChartData" localSheetId="5">'Solver table one way analysis'!$I$10:$I$60</definedName>
    <definedName name="InputValues" localSheetId="5">'Solver table one way analysis'!$A$10:$A$60</definedName>
    <definedName name="OutputAddresses" localSheetId="5">'Solver table one way analysis'!$B$9:$F$9</definedName>
    <definedName name="OutputValues" localSheetId="5">'Solver table one way analysis'!$B$10:$F$60</definedName>
    <definedName name="solver_adj" localSheetId="3" hidden="1">'A few more constraints'!$C$5:$C$6</definedName>
    <definedName name="solver_adj" localSheetId="2" hidden="1">'Spreadsheet model'!$C$6:$C$7</definedName>
    <definedName name="solver_cvg" localSheetId="3" hidden="1">0.0001</definedName>
    <definedName name="solver_cvg" localSheetId="2" hidden="1">0.0001</definedName>
    <definedName name="solver_drv" localSheetId="3" hidden="1">1</definedName>
    <definedName name="solver_drv" localSheetId="2" hidden="1">1</definedName>
    <definedName name="solver_eng" localSheetId="3" hidden="1">1</definedName>
    <definedName name="solver_eng" localSheetId="2" hidden="1">1</definedName>
    <definedName name="solver_est" localSheetId="3" hidden="1">1</definedName>
    <definedName name="solver_est" localSheetId="2" hidden="1">1</definedName>
    <definedName name="solver_itr" localSheetId="3" hidden="1">2147483647</definedName>
    <definedName name="solver_itr" localSheetId="2" hidden="1">2147483647</definedName>
    <definedName name="solver_lhs1" localSheetId="3" hidden="1">'A few more constraints'!$B$12:$B$16</definedName>
    <definedName name="solver_lhs1" localSheetId="2" hidden="1">'Spreadsheet model'!$B$13:$B$15</definedName>
    <definedName name="solver_mip" localSheetId="3" hidden="1">2147483647</definedName>
    <definedName name="solver_mip" localSheetId="2" hidden="1">2147483647</definedName>
    <definedName name="solver_mni" localSheetId="3" hidden="1">30</definedName>
    <definedName name="solver_mni" localSheetId="2" hidden="1">30</definedName>
    <definedName name="solver_mrt" localSheetId="3" hidden="1">0.075</definedName>
    <definedName name="solver_mrt" localSheetId="2" hidden="1">0.075</definedName>
    <definedName name="solver_msl" localSheetId="3" hidden="1">1</definedName>
    <definedName name="solver_msl" localSheetId="2" hidden="1">1</definedName>
    <definedName name="solver_neg" localSheetId="3" hidden="1">1</definedName>
    <definedName name="solver_neg" localSheetId="2" hidden="1">1</definedName>
    <definedName name="solver_nod" localSheetId="3" hidden="1">2147483647</definedName>
    <definedName name="solver_nod" localSheetId="2" hidden="1">2147483647</definedName>
    <definedName name="solver_num" localSheetId="3" hidden="1">1</definedName>
    <definedName name="solver_num" localSheetId="2" hidden="1">1</definedName>
    <definedName name="solver_nwt" localSheetId="3" hidden="1">1</definedName>
    <definedName name="solver_nwt" localSheetId="2" hidden="1">1</definedName>
    <definedName name="solver_opt" localSheetId="3" hidden="1">'A few more constraints'!$B$9</definedName>
    <definedName name="solver_opt" localSheetId="2" hidden="1">'Spreadsheet model'!$B$10</definedName>
    <definedName name="solver_pre" localSheetId="3" hidden="1">0.000001</definedName>
    <definedName name="solver_pre" localSheetId="2" hidden="1">0.000001</definedName>
    <definedName name="solver_rbv" localSheetId="3" hidden="1">2</definedName>
    <definedName name="solver_rbv" localSheetId="2" hidden="1">2</definedName>
    <definedName name="solver_rel1" localSheetId="3" hidden="1">1</definedName>
    <definedName name="solver_rel1" localSheetId="2" hidden="1">1</definedName>
    <definedName name="solver_rhs1" localSheetId="3" hidden="1">'A few more constraints'!$D$12:$D$16</definedName>
    <definedName name="solver_rhs1" localSheetId="2" hidden="1">'Spreadsheet model'!$D$13:$D$15</definedName>
    <definedName name="solver_rlx" localSheetId="3" hidden="1">2</definedName>
    <definedName name="solver_rlx" localSheetId="2" hidden="1">2</definedName>
    <definedName name="solver_rsd" localSheetId="3" hidden="1">0</definedName>
    <definedName name="solver_rsd" localSheetId="2" hidden="1">0</definedName>
    <definedName name="solver_scl" localSheetId="3" hidden="1">1</definedName>
    <definedName name="solver_scl" localSheetId="2" hidden="1">1</definedName>
    <definedName name="solver_sho" localSheetId="3" hidden="1">2</definedName>
    <definedName name="solver_sho" localSheetId="2" hidden="1">2</definedName>
    <definedName name="solver_ssz" localSheetId="3" hidden="1">100</definedName>
    <definedName name="solver_ssz" localSheetId="2" hidden="1">100</definedName>
    <definedName name="solver_tim" localSheetId="3" hidden="1">2147483647</definedName>
    <definedName name="solver_tim" localSheetId="2" hidden="1">2147483647</definedName>
    <definedName name="solver_tol" localSheetId="3" hidden="1">0.01</definedName>
    <definedName name="solver_tol" localSheetId="2" hidden="1">0.01</definedName>
    <definedName name="solver_typ" localSheetId="3" hidden="1">1</definedName>
    <definedName name="solver_typ" localSheetId="2" hidden="1">1</definedName>
    <definedName name="solver_val" localSheetId="3" hidden="1">0</definedName>
    <definedName name="solver_val" localSheetId="2" hidden="1">0</definedName>
    <definedName name="solver_ver" localSheetId="3"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7" l="1"/>
  <c r="H9" i="7"/>
  <c r="I59" i="7" s="1"/>
  <c r="B16" i="4"/>
  <c r="B15" i="4"/>
  <c r="F6" i="4"/>
  <c r="F5" i="4"/>
  <c r="F7" i="3"/>
  <c r="F6" i="3"/>
  <c r="B10" i="3" s="1"/>
  <c r="I14" i="7" l="1"/>
  <c r="I29" i="7"/>
  <c r="I44" i="7"/>
  <c r="I15" i="7"/>
  <c r="I30" i="7"/>
  <c r="I48" i="7"/>
  <c r="I16" i="7"/>
  <c r="I31" i="7"/>
  <c r="I49" i="7"/>
  <c r="I17" i="7"/>
  <c r="I32" i="7"/>
  <c r="I50" i="7"/>
  <c r="I18" i="7"/>
  <c r="I36" i="7"/>
  <c r="I51" i="7"/>
  <c r="I19" i="7"/>
  <c r="I37" i="7"/>
  <c r="I52" i="7"/>
  <c r="I20" i="7"/>
  <c r="I38" i="7"/>
  <c r="I53" i="7"/>
  <c r="I24" i="7"/>
  <c r="I39" i="7"/>
  <c r="I54" i="7"/>
  <c r="I25" i="7"/>
  <c r="I40" i="7"/>
  <c r="I55" i="7"/>
  <c r="I26" i="7"/>
  <c r="I41" i="7"/>
  <c r="I56" i="7"/>
  <c r="I12" i="7"/>
  <c r="I27" i="7"/>
  <c r="I42" i="7"/>
  <c r="I60" i="7"/>
  <c r="I13" i="7"/>
  <c r="I28" i="7"/>
  <c r="I43" i="7"/>
  <c r="I21" i="7"/>
  <c r="I33" i="7"/>
  <c r="I45" i="7"/>
  <c r="I57" i="7"/>
  <c r="I10" i="7"/>
  <c r="I22" i="7"/>
  <c r="I34" i="7"/>
  <c r="I46" i="7"/>
  <c r="I58" i="7"/>
  <c r="I11" i="7"/>
  <c r="I23" i="7"/>
  <c r="I35" i="7"/>
  <c r="I47" i="7"/>
  <c r="B14" i="4"/>
  <c r="B9" i="4"/>
  <c r="B12" i="4"/>
  <c r="B13" i="4"/>
  <c r="B13" i="3"/>
  <c r="B14" i="3"/>
  <c r="B1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Garima Vijay</author>
  </authors>
  <commentList>
    <comment ref="B10" authorId="0" shapeId="0" xr:uid="{1761FE3B-DD04-4FC2-8323-3BC6CAEDFC67}">
      <text>
        <r>
          <rPr>
            <sz val="9"/>
            <color indexed="81"/>
            <rFont val="Tahoma"/>
            <family val="2"/>
          </rPr>
          <t>Solver could not find a feasible solution.</t>
        </r>
      </text>
    </comment>
    <comment ref="B11" authorId="0" shapeId="0" xr:uid="{347D6E07-D69C-4E0F-B506-54BA5D1EDA9E}">
      <text>
        <r>
          <rPr>
            <sz val="9"/>
            <color indexed="81"/>
            <rFont val="Tahoma"/>
            <family val="2"/>
          </rPr>
          <t>Solver could not find a feasible solution.</t>
        </r>
      </text>
    </comment>
    <comment ref="B12" authorId="0" shapeId="0" xr:uid="{44C554BB-E328-4367-B5CF-94F74F358A68}">
      <text>
        <r>
          <rPr>
            <sz val="9"/>
            <color indexed="81"/>
            <rFont val="Tahoma"/>
            <family val="2"/>
          </rPr>
          <t>Solver could not find a feasible solution.</t>
        </r>
      </text>
    </comment>
    <comment ref="B13" authorId="0" shapeId="0" xr:uid="{7ABA0930-2597-44B4-A600-84A2C924D594}">
      <text>
        <r>
          <rPr>
            <sz val="9"/>
            <color indexed="81"/>
            <rFont val="Tahoma"/>
            <family val="2"/>
          </rPr>
          <t>Solver could not find a feasible solution.</t>
        </r>
      </text>
    </comment>
    <comment ref="B14" authorId="0" shapeId="0" xr:uid="{7B905CEB-785B-4FD2-9510-EB15E2E2FB07}">
      <text>
        <r>
          <rPr>
            <sz val="9"/>
            <color indexed="81"/>
            <rFont val="Tahoma"/>
            <family val="2"/>
          </rPr>
          <t>Solver could not find a feasible solution.</t>
        </r>
      </text>
    </comment>
    <comment ref="B15" authorId="0" shapeId="0" xr:uid="{E7900D8E-ECDB-4149-A74E-CCC61D1CCCC3}">
      <text>
        <r>
          <rPr>
            <sz val="9"/>
            <color indexed="81"/>
            <rFont val="Tahoma"/>
            <family val="2"/>
          </rPr>
          <t>Solver could not find a feasible solution.</t>
        </r>
      </text>
    </comment>
    <comment ref="B16" authorId="0" shapeId="0" xr:uid="{58C2E961-DF44-4695-9478-93685A1CB00A}">
      <text>
        <r>
          <rPr>
            <sz val="9"/>
            <color indexed="81"/>
            <rFont val="Tahoma"/>
            <family val="2"/>
          </rPr>
          <t>Solver could not find a feasible solution.</t>
        </r>
      </text>
    </comment>
    <comment ref="B17" authorId="0" shapeId="0" xr:uid="{62750867-24F2-49B2-B04B-3D40E4E2ADA3}">
      <text>
        <r>
          <rPr>
            <sz val="9"/>
            <color indexed="81"/>
            <rFont val="Tahoma"/>
            <family val="2"/>
          </rPr>
          <t>Solver could not find a feasible solution.</t>
        </r>
      </text>
    </comment>
    <comment ref="B18" authorId="0" shapeId="0" xr:uid="{B22059C1-5339-43A9-89A1-F3EDA75C0F83}">
      <text>
        <r>
          <rPr>
            <sz val="9"/>
            <color indexed="81"/>
            <rFont val="Tahoma"/>
            <family val="2"/>
          </rPr>
          <t>Solver could not find a feasible solution.</t>
        </r>
      </text>
    </comment>
    <comment ref="B19" authorId="0" shapeId="0" xr:uid="{654BA1BA-F288-48AE-91D8-9E50A590CB94}">
      <text>
        <r>
          <rPr>
            <sz val="9"/>
            <color indexed="81"/>
            <rFont val="Tahoma"/>
            <family val="2"/>
          </rPr>
          <t>Solver could not find a feasible solution.</t>
        </r>
      </text>
    </comment>
    <comment ref="B20" authorId="0" shapeId="0" xr:uid="{5F4A8CD5-BC36-4BD6-B6EB-4A08C9B6FA3F}">
      <text>
        <r>
          <rPr>
            <sz val="9"/>
            <color indexed="81"/>
            <rFont val="Tahoma"/>
            <family val="2"/>
          </rPr>
          <t>Solver could not find a feasible solution.</t>
        </r>
      </text>
    </comment>
    <comment ref="B21" authorId="0" shapeId="0" xr:uid="{25BE7363-1AC5-475F-B060-8B93BF23DA5D}">
      <text>
        <r>
          <rPr>
            <sz val="9"/>
            <color indexed="81"/>
            <rFont val="Tahoma"/>
            <family val="2"/>
          </rPr>
          <t>Solver could not find a feasible solution.</t>
        </r>
      </text>
    </comment>
    <comment ref="B22" authorId="0" shapeId="0" xr:uid="{007E2D48-F4B7-4151-ABD5-ECC99759C67D}">
      <text>
        <r>
          <rPr>
            <sz val="9"/>
            <color indexed="81"/>
            <rFont val="Tahoma"/>
            <family val="2"/>
          </rPr>
          <t>Solver could not find a feasible solution.</t>
        </r>
      </text>
    </comment>
    <comment ref="B23" authorId="0" shapeId="0" xr:uid="{2D3F2768-9109-432C-BFA5-72B79111DC54}">
      <text>
        <r>
          <rPr>
            <sz val="9"/>
            <color indexed="81"/>
            <rFont val="Tahoma"/>
            <family val="2"/>
          </rPr>
          <t>Solver could not find a feasible solution.</t>
        </r>
      </text>
    </comment>
    <comment ref="B24" authorId="0" shapeId="0" xr:uid="{37C4F4FB-8DA5-4562-80E5-14BB4A05D835}">
      <text>
        <r>
          <rPr>
            <sz val="9"/>
            <color indexed="81"/>
            <rFont val="Tahoma"/>
            <family val="2"/>
          </rPr>
          <t>Solver could not find a feasible solution.</t>
        </r>
      </text>
    </comment>
    <comment ref="B25" authorId="0" shapeId="0" xr:uid="{505CA2B5-52A1-42C0-8CD0-B8AA23604ABB}">
      <text>
        <r>
          <rPr>
            <sz val="9"/>
            <color indexed="81"/>
            <rFont val="Tahoma"/>
            <family val="2"/>
          </rPr>
          <t>Solver could not find a feasible solution.</t>
        </r>
      </text>
    </comment>
    <comment ref="B26" authorId="0" shapeId="0" xr:uid="{7D6A1074-6C69-4431-99E8-393EE711946D}">
      <text>
        <r>
          <rPr>
            <sz val="9"/>
            <color indexed="81"/>
            <rFont val="Tahoma"/>
            <family val="2"/>
          </rPr>
          <t>Solver could not find a feasible solution.</t>
        </r>
      </text>
    </comment>
    <comment ref="B27" authorId="0" shapeId="0" xr:uid="{AA64B7BB-6B78-4121-B1CB-3A3275B8F757}">
      <text>
        <r>
          <rPr>
            <sz val="9"/>
            <color indexed="81"/>
            <rFont val="Tahoma"/>
            <family val="2"/>
          </rPr>
          <t>Solver could not find a feasible solution.</t>
        </r>
      </text>
    </comment>
    <comment ref="B28" authorId="0" shapeId="0" xr:uid="{11F5F546-3AE3-4FAA-818E-D05F453AFC85}">
      <text>
        <r>
          <rPr>
            <sz val="9"/>
            <color indexed="81"/>
            <rFont val="Tahoma"/>
            <family val="2"/>
          </rPr>
          <t>Solver could not find a feasible solution.</t>
        </r>
      </text>
    </comment>
    <comment ref="B29" authorId="0" shapeId="0" xr:uid="{EBC709FB-9EF5-46BD-A8C6-443B7EDADF3B}">
      <text>
        <r>
          <rPr>
            <sz val="9"/>
            <color indexed="81"/>
            <rFont val="Tahoma"/>
            <family val="2"/>
          </rPr>
          <t>Solver could not find a feasible solution.</t>
        </r>
      </text>
    </comment>
    <comment ref="B30" authorId="0" shapeId="0" xr:uid="{ECFE2DB0-106A-40C4-9BE0-57A743E4A6BD}">
      <text>
        <r>
          <rPr>
            <sz val="9"/>
            <color indexed="81"/>
            <rFont val="Tahoma"/>
            <family val="2"/>
          </rPr>
          <t>Solver could not find a feasible solution.</t>
        </r>
      </text>
    </comment>
    <comment ref="B31" authorId="0" shapeId="0" xr:uid="{E920AFB4-D3E4-436B-9868-3C734ACC695D}">
      <text>
        <r>
          <rPr>
            <sz val="9"/>
            <color indexed="81"/>
            <rFont val="Tahoma"/>
            <family val="2"/>
          </rPr>
          <t>Solver could not find a feasible solution.</t>
        </r>
      </text>
    </comment>
    <comment ref="B32" authorId="0" shapeId="0" xr:uid="{DCA4D182-B8C8-4361-8189-BFBB644FD2C1}">
      <text>
        <r>
          <rPr>
            <sz val="9"/>
            <color indexed="81"/>
            <rFont val="Tahoma"/>
            <family val="2"/>
          </rPr>
          <t>Solver converged in probability to a global solution.</t>
        </r>
      </text>
    </comment>
    <comment ref="B33" authorId="0" shapeId="0" xr:uid="{C5AABFBB-9953-4863-A293-73F51D1A9EF0}">
      <text>
        <r>
          <rPr>
            <sz val="9"/>
            <color indexed="81"/>
            <rFont val="Tahoma"/>
            <family val="2"/>
          </rPr>
          <t>Solver converged in probability to a global solution.</t>
        </r>
      </text>
    </comment>
    <comment ref="B34" authorId="0" shapeId="0" xr:uid="{239690B7-ECC8-433F-9507-122FBA233D28}">
      <text>
        <r>
          <rPr>
            <sz val="9"/>
            <color indexed="81"/>
            <rFont val="Tahoma"/>
            <family val="2"/>
          </rPr>
          <t>Solver converged in probability to a global solution.</t>
        </r>
      </text>
    </comment>
    <comment ref="B35" authorId="0" shapeId="0" xr:uid="{9297006B-04C7-437A-BF7A-FA6611DC0AEA}">
      <text>
        <r>
          <rPr>
            <sz val="9"/>
            <color indexed="81"/>
            <rFont val="Tahoma"/>
            <family val="2"/>
          </rPr>
          <t>Solver converged in probability to a global solution.</t>
        </r>
      </text>
    </comment>
    <comment ref="B36" authorId="0" shapeId="0" xr:uid="{8A3AD3EE-037E-48B7-8197-28E578682865}">
      <text>
        <r>
          <rPr>
            <sz val="9"/>
            <color indexed="81"/>
            <rFont val="Tahoma"/>
            <family val="2"/>
          </rPr>
          <t>Solver converged in probability to a global solution.</t>
        </r>
      </text>
    </comment>
    <comment ref="B37" authorId="0" shapeId="0" xr:uid="{0F15D9E8-8DEB-450C-9B09-74F2B27EA589}">
      <text>
        <r>
          <rPr>
            <sz val="9"/>
            <color indexed="81"/>
            <rFont val="Tahoma"/>
            <family val="2"/>
          </rPr>
          <t>Solver converged in probability to a global solution.</t>
        </r>
      </text>
    </comment>
    <comment ref="B38" authorId="0" shapeId="0" xr:uid="{37219190-F668-4FC7-8ECB-A0AFD4F8ED1B}">
      <text>
        <r>
          <rPr>
            <sz val="9"/>
            <color indexed="81"/>
            <rFont val="Tahoma"/>
            <family val="2"/>
          </rPr>
          <t>Solver converged in probability to a global solution.</t>
        </r>
      </text>
    </comment>
    <comment ref="B39" authorId="0" shapeId="0" xr:uid="{DAE3492B-757F-4283-ABB8-085F7B94F28B}">
      <text>
        <r>
          <rPr>
            <sz val="9"/>
            <color indexed="81"/>
            <rFont val="Tahoma"/>
            <family val="2"/>
          </rPr>
          <t>Solver converged in probability to a global solution.</t>
        </r>
      </text>
    </comment>
    <comment ref="B40" authorId="0" shapeId="0" xr:uid="{41877606-183B-434A-BE25-6A4106E3D42E}">
      <text>
        <r>
          <rPr>
            <sz val="9"/>
            <color indexed="81"/>
            <rFont val="Tahoma"/>
            <family val="2"/>
          </rPr>
          <t>Solver converged in probability to a global solution.</t>
        </r>
      </text>
    </comment>
    <comment ref="B41" authorId="0" shapeId="0" xr:uid="{1E6D4250-F15A-46F0-B529-88A27B836FFA}">
      <text>
        <r>
          <rPr>
            <sz val="9"/>
            <color indexed="81"/>
            <rFont val="Tahoma"/>
            <family val="2"/>
          </rPr>
          <t>Solver converged in probability to a global solution.</t>
        </r>
      </text>
    </comment>
    <comment ref="B42" authorId="0" shapeId="0" xr:uid="{0C96A00C-A0CF-4149-A3A8-42B7266C0FCE}">
      <text>
        <r>
          <rPr>
            <sz val="9"/>
            <color indexed="81"/>
            <rFont val="Tahoma"/>
            <family val="2"/>
          </rPr>
          <t>Solver converged in probability to a global solution.</t>
        </r>
      </text>
    </comment>
    <comment ref="B43" authorId="0" shapeId="0" xr:uid="{511A7DA3-5F0A-4122-B9C5-2D0E1CE7D2DD}">
      <text>
        <r>
          <rPr>
            <sz val="9"/>
            <color indexed="81"/>
            <rFont val="Tahoma"/>
            <family val="2"/>
          </rPr>
          <t>Solver converged in probability to a global solution.</t>
        </r>
      </text>
    </comment>
    <comment ref="B44" authorId="0" shapeId="0" xr:uid="{F1B500F7-3D28-451C-A38F-B93F5E2075AA}">
      <text>
        <r>
          <rPr>
            <sz val="9"/>
            <color indexed="81"/>
            <rFont val="Tahoma"/>
            <family val="2"/>
          </rPr>
          <t>Solver converged in probability to a global solution.</t>
        </r>
      </text>
    </comment>
    <comment ref="B45" authorId="0" shapeId="0" xr:uid="{A5158EDC-1F6C-4F15-87CE-8F438702DB35}">
      <text>
        <r>
          <rPr>
            <sz val="9"/>
            <color indexed="81"/>
            <rFont val="Tahoma"/>
            <family val="2"/>
          </rPr>
          <t>Solver converged in probability to a global solution.</t>
        </r>
      </text>
    </comment>
    <comment ref="B46" authorId="0" shapeId="0" xr:uid="{06C5DD45-FBB9-49BC-A88A-2869777D907F}">
      <text>
        <r>
          <rPr>
            <sz val="9"/>
            <color indexed="81"/>
            <rFont val="Tahoma"/>
            <family val="2"/>
          </rPr>
          <t>Solver converged in probability to a global solution.</t>
        </r>
      </text>
    </comment>
    <comment ref="B47" authorId="0" shapeId="0" xr:uid="{6049885E-444D-4AFE-B640-675E7B2C2834}">
      <text>
        <r>
          <rPr>
            <sz val="9"/>
            <color indexed="81"/>
            <rFont val="Tahoma"/>
            <family val="2"/>
          </rPr>
          <t>Solver converged in probability to a global solution.</t>
        </r>
      </text>
    </comment>
    <comment ref="B48" authorId="0" shapeId="0" xr:uid="{93ED3EBA-3E4D-4A4A-9053-0F0C75351301}">
      <text>
        <r>
          <rPr>
            <sz val="9"/>
            <color indexed="81"/>
            <rFont val="Tahoma"/>
            <family val="2"/>
          </rPr>
          <t>Solver converged in probability to a global solution.</t>
        </r>
      </text>
    </comment>
    <comment ref="B49" authorId="0" shapeId="0" xr:uid="{D557E001-EF29-46C6-A20F-6C640E133705}">
      <text>
        <r>
          <rPr>
            <sz val="9"/>
            <color indexed="81"/>
            <rFont val="Tahoma"/>
            <family val="2"/>
          </rPr>
          <t>Solver converged in probability to a global solution.</t>
        </r>
      </text>
    </comment>
    <comment ref="B50" authorId="0" shapeId="0" xr:uid="{2675EB9E-CD37-4265-A852-0D35B577E8A5}">
      <text>
        <r>
          <rPr>
            <sz val="9"/>
            <color indexed="81"/>
            <rFont val="Tahoma"/>
            <family val="2"/>
          </rPr>
          <t>Solver converged in probability to a global solution.</t>
        </r>
      </text>
    </comment>
    <comment ref="B51" authorId="0" shapeId="0" xr:uid="{DDE970B6-DC35-404D-9B48-C80A5DF54B9F}">
      <text>
        <r>
          <rPr>
            <sz val="9"/>
            <color indexed="81"/>
            <rFont val="Tahoma"/>
            <family val="2"/>
          </rPr>
          <t>Solver converged in probability to a global solution.</t>
        </r>
      </text>
    </comment>
    <comment ref="B52" authorId="0" shapeId="0" xr:uid="{955487BE-3D9E-4EFA-8A11-79E790F7EEA9}">
      <text>
        <r>
          <rPr>
            <sz val="9"/>
            <color indexed="81"/>
            <rFont val="Tahoma"/>
            <family val="2"/>
          </rPr>
          <t>Solver converged in probability to a global solution.</t>
        </r>
      </text>
    </comment>
    <comment ref="B53" authorId="0" shapeId="0" xr:uid="{95B6BC74-E548-41C1-8534-3066130FCD5A}">
      <text>
        <r>
          <rPr>
            <sz val="9"/>
            <color indexed="81"/>
            <rFont val="Tahoma"/>
            <family val="2"/>
          </rPr>
          <t>Solver converged in probability to a global solution.</t>
        </r>
      </text>
    </comment>
    <comment ref="B54" authorId="0" shapeId="0" xr:uid="{6D4B6B53-2C0C-481C-9D68-A622908063D3}">
      <text>
        <r>
          <rPr>
            <sz val="9"/>
            <color indexed="81"/>
            <rFont val="Tahoma"/>
            <family val="2"/>
          </rPr>
          <t>Solver converged in probability to a global solution.</t>
        </r>
      </text>
    </comment>
    <comment ref="B55" authorId="0" shapeId="0" xr:uid="{2DD149E3-01AD-42F6-B168-7D4849DD9557}">
      <text>
        <r>
          <rPr>
            <sz val="9"/>
            <color indexed="81"/>
            <rFont val="Tahoma"/>
            <family val="2"/>
          </rPr>
          <t>Solver converged in probability to a global solution.</t>
        </r>
      </text>
    </comment>
    <comment ref="B56" authorId="0" shapeId="0" xr:uid="{C0B3958C-D2A5-464F-9137-CBF014B18F8C}">
      <text>
        <r>
          <rPr>
            <sz val="9"/>
            <color indexed="81"/>
            <rFont val="Tahoma"/>
            <family val="2"/>
          </rPr>
          <t>Solver converged in probability to a global solution.</t>
        </r>
      </text>
    </comment>
    <comment ref="B57" authorId="0" shapeId="0" xr:uid="{9DE11566-6A2A-4DAE-BA56-DB14574DFBEF}">
      <text>
        <r>
          <rPr>
            <sz val="9"/>
            <color indexed="81"/>
            <rFont val="Tahoma"/>
            <family val="2"/>
          </rPr>
          <t>Solver converged in probability to a global solution.</t>
        </r>
      </text>
    </comment>
    <comment ref="B58" authorId="0" shapeId="0" xr:uid="{C5E25E29-41DD-4F67-B5F7-639F672DD98A}">
      <text>
        <r>
          <rPr>
            <sz val="9"/>
            <color indexed="81"/>
            <rFont val="Tahoma"/>
            <family val="2"/>
          </rPr>
          <t>Solver converged in probability to a global solution.</t>
        </r>
      </text>
    </comment>
    <comment ref="B59" authorId="0" shapeId="0" xr:uid="{B98D277D-ABC3-43F2-9F02-5D9FFFED00CE}">
      <text>
        <r>
          <rPr>
            <sz val="9"/>
            <color indexed="81"/>
            <rFont val="Tahoma"/>
            <family val="2"/>
          </rPr>
          <t>Solver converged in probability to a global solution.</t>
        </r>
      </text>
    </comment>
    <comment ref="B60" authorId="0" shapeId="0" xr:uid="{293C57E0-A155-44A3-9E43-8B439EE472CA}">
      <text>
        <r>
          <rPr>
            <sz val="9"/>
            <color indexed="81"/>
            <rFont val="Tahoma"/>
            <family val="2"/>
          </rPr>
          <t>Solver converged in probability to a global solution.</t>
        </r>
      </text>
    </comment>
  </commentList>
</comments>
</file>

<file path=xl/sharedStrings.xml><?xml version="1.0" encoding="utf-8"?>
<sst xmlns="http://schemas.openxmlformats.org/spreadsheetml/2006/main" count="121" uniqueCount="65">
  <si>
    <t>Demand and Price for Aqua Spa</t>
  </si>
  <si>
    <t>Period</t>
  </si>
  <si>
    <t>Price</t>
  </si>
  <si>
    <t>Demand</t>
  </si>
  <si>
    <t>Price and Demand for Hydro Luxe</t>
  </si>
  <si>
    <t xml:space="preserve">Model </t>
  </si>
  <si>
    <t>Decision variables</t>
  </si>
  <si>
    <t>Price of Aqua-spa</t>
  </si>
  <si>
    <t>Price of Hydro-Luxe</t>
  </si>
  <si>
    <t>Input variables</t>
  </si>
  <si>
    <t xml:space="preserve">D1 = </t>
  </si>
  <si>
    <t>Demand for Aqua Spa</t>
  </si>
  <si>
    <t xml:space="preserve">D2 = </t>
  </si>
  <si>
    <t>p1</t>
  </si>
  <si>
    <t>p2</t>
  </si>
  <si>
    <r>
      <t>1,733,350.64P1</t>
    </r>
    <r>
      <rPr>
        <sz val="12"/>
        <color theme="1"/>
        <rFont val="Calibri"/>
        <family val="2"/>
        <scheme val="minor"/>
      </rPr>
      <t>-1.36</t>
    </r>
  </si>
  <si>
    <t xml:space="preserve">Objective function </t>
  </si>
  <si>
    <t xml:space="preserve">Maximize </t>
  </si>
  <si>
    <t>C1 =</t>
  </si>
  <si>
    <t xml:space="preserve">C2 = </t>
  </si>
  <si>
    <t>[(p1 - C1)*D1 + (p2-C2)*D2)</t>
  </si>
  <si>
    <t>Demand for Hydro-Luxe</t>
  </si>
  <si>
    <t>Cost for Aqua spa</t>
  </si>
  <si>
    <t>Cost for Hydro-Luxe</t>
  </si>
  <si>
    <t>Constraints</t>
  </si>
  <si>
    <t>D1 + D2 &lt;= 280</t>
  </si>
  <si>
    <t>8D1 + 10 D2 &lt;= 2600</t>
  </si>
  <si>
    <t>3D1 + 4D2 &lt;= 1100</t>
  </si>
  <si>
    <t>Price for aqua spa</t>
  </si>
  <si>
    <t>Price for hydro-luxe</t>
  </si>
  <si>
    <t>p2 =</t>
  </si>
  <si>
    <t>p1 =</t>
  </si>
  <si>
    <t>Constant</t>
  </si>
  <si>
    <t>Elasticity</t>
  </si>
  <si>
    <t>Cost</t>
  </si>
  <si>
    <t>Pump requirement</t>
  </si>
  <si>
    <t>Tube material</t>
  </si>
  <si>
    <t>Labor hours</t>
  </si>
  <si>
    <t>Objective function</t>
  </si>
  <si>
    <t>Tube material requirement</t>
  </si>
  <si>
    <t>Labor hours requirement</t>
  </si>
  <si>
    <t>Non-negativity constraint: p1&gt;= 0, p2&gt;= 0</t>
  </si>
  <si>
    <t>&lt;=</t>
  </si>
  <si>
    <t xml:space="preserve">Spreadsheet model </t>
  </si>
  <si>
    <t>Cap on aqua spa price</t>
  </si>
  <si>
    <t>Cap on hydro-luxe price</t>
  </si>
  <si>
    <t>$D$14</t>
  </si>
  <si>
    <t>$B$9,$C$5:$C$6,$F$5:$F$6</t>
  </si>
  <si>
    <t>One-way analysis for Solver model in Solution 4 worksheet</t>
  </si>
  <si>
    <t>Labor hours (cell $D$14) values along side, output cell(s) along top</t>
  </si>
  <si>
    <t>$B$9</t>
  </si>
  <si>
    <t>$C$5</t>
  </si>
  <si>
    <t>$C$6</t>
  </si>
  <si>
    <t>$F$5</t>
  </si>
  <si>
    <t>$F$6</t>
  </si>
  <si>
    <t>Data for chart</t>
  </si>
  <si>
    <t>Not feasible</t>
  </si>
  <si>
    <t>1,099,135.82P2-1.25</t>
  </si>
  <si>
    <t xml:space="preserve">First equation for aqua hot tub tells us about the negative relationship between demand and prices with elasticity equals (-1.36), which means if price increases by 1 unit, demand would decrease by 1.36%. The constant value (1733350.64) describes the value of demand when price equals 1. 
Similarly, demand for hydro-luxe is also negatively related to its prices with elasticity equals (-1.25), which means when price increases by 1 unit, demand would decrease by 1.25%. The constant parameter (= 1099135.82) describes the value of hydro-luxe demand when price equals 1. </t>
  </si>
  <si>
    <t xml:space="preserve">Since our decision variables are prices which can be non-integer as well, so demand also has become non-integer. </t>
  </si>
  <si>
    <t xml:space="preserve">We can consider rounding it off : for instance, we can take D1 = 163 and D2 = 117. </t>
  </si>
  <si>
    <t xml:space="preserve">When comparing both the solutions, we can see price for aqua spa has increased from 913 to 1011, leading demand to reduce from 163 to 142. While price for hydro-luxe has decreased from 1509 to 1320, making demand increase from 117 to 138. </t>
  </si>
  <si>
    <t>Insights:</t>
  </si>
  <si>
    <t xml:space="preserve">1. Labor hours from 500 to 920 are not feasible, which means anything less than these many number of labor hours, it would not be feasible for the organization. </t>
  </si>
  <si>
    <t xml:space="preserve">2. With labor hours more than 920, we can see no parameter (profits, prices or even quantities) are sensitive to the labor hours, which means labor hours doesn’t have an important impact on our input variables, decision variables and output variables.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</si>
</sst>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9" x14ac:knownFonts="1">
    <font>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sz val="11"/>
      <color rgb="FFFFFFFF"/>
      <name val="Calibri"/>
      <family val="2"/>
      <scheme val="minor"/>
    </font>
    <font>
      <sz val="9"/>
      <color indexed="81"/>
      <name val="Tahoma"/>
      <family val="2"/>
    </font>
  </fonts>
  <fills count="9">
    <fill>
      <patternFill patternType="none"/>
    </fill>
    <fill>
      <patternFill patternType="gray125"/>
    </fill>
    <fill>
      <patternFill patternType="solid">
        <fgColor theme="0" tint="-4.9989318521683403E-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indexed="47"/>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3">
    <xf numFmtId="0" fontId="0" fillId="0" borderId="0" xfId="0"/>
    <xf numFmtId="0" fontId="0" fillId="0" borderId="4" xfId="0" applyBorder="1" applyAlignment="1">
      <alignment horizontal="center" vertical="center"/>
    </xf>
    <xf numFmtId="0" fontId="1" fillId="0" borderId="4" xfId="0" applyFont="1" applyBorder="1" applyAlignment="1">
      <alignment horizontal="center" vertical="center"/>
    </xf>
    <xf numFmtId="0" fontId="0" fillId="0" borderId="5" xfId="0" applyBorder="1" applyAlignment="1">
      <alignment horizontal="center" vertical="center"/>
    </xf>
    <xf numFmtId="0" fontId="1" fillId="0" borderId="5" xfId="0" applyFont="1" applyBorder="1" applyAlignment="1">
      <alignment horizontal="center" vertical="center"/>
    </xf>
    <xf numFmtId="8" fontId="0" fillId="0" borderId="5" xfId="0" applyNumberFormat="1" applyBorder="1" applyAlignment="1">
      <alignment horizontal="center" vertical="center"/>
    </xf>
    <xf numFmtId="0" fontId="2" fillId="0" borderId="0" xfId="0" applyFont="1"/>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2" fillId="0" borderId="4" xfId="0" applyFont="1" applyBorder="1" applyAlignment="1">
      <alignment horizontal="center" vertical="center"/>
    </xf>
    <xf numFmtId="8" fontId="2" fillId="0" borderId="5" xfId="0" applyNumberFormat="1" applyFont="1" applyBorder="1" applyAlignment="1">
      <alignment horizontal="center" vertical="center"/>
    </xf>
    <xf numFmtId="0" fontId="2" fillId="0" borderId="5" xfId="0" applyFont="1" applyBorder="1" applyAlignment="1">
      <alignment horizontal="center" vertical="center"/>
    </xf>
    <xf numFmtId="0" fontId="6"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5" xfId="0" applyBorder="1"/>
    <xf numFmtId="0" fontId="0" fillId="0" borderId="0" xfId="0" applyAlignment="1">
      <alignment vertical="top" wrapText="1"/>
    </xf>
    <xf numFmtId="0" fontId="6" fillId="2" borderId="6" xfId="0" applyFont="1" applyFill="1" applyBorder="1" applyAlignment="1">
      <alignment vertical="top" wrapText="1"/>
    </xf>
    <xf numFmtId="0" fontId="6" fillId="2" borderId="7" xfId="0" applyFont="1" applyFill="1" applyBorder="1" applyAlignment="1">
      <alignment vertical="top" wrapText="1"/>
    </xf>
    <xf numFmtId="0" fontId="6" fillId="2" borderId="8" xfId="0" applyFont="1" applyFill="1" applyBorder="1" applyAlignment="1">
      <alignment vertical="top" wrapText="1"/>
    </xf>
    <xf numFmtId="0" fontId="0" fillId="0" borderId="0" xfId="0" applyAlignment="1">
      <alignment horizontal="center" vertical="center"/>
    </xf>
    <xf numFmtId="0" fontId="5" fillId="0" borderId="0" xfId="0" applyFont="1" applyAlignment="1">
      <alignment horizontal="center" vertical="center"/>
    </xf>
    <xf numFmtId="4" fontId="0" fillId="0" borderId="0" xfId="0" applyNumberFormat="1" applyAlignment="1">
      <alignment horizontal="center" vertical="center"/>
    </xf>
    <xf numFmtId="0" fontId="0" fillId="0" borderId="10" xfId="0" applyBorder="1" applyAlignment="1">
      <alignment horizontal="center" vertical="center"/>
    </xf>
    <xf numFmtId="0" fontId="6" fillId="2" borderId="9" xfId="0" applyFont="1" applyFill="1" applyBorder="1"/>
    <xf numFmtId="0" fontId="0" fillId="0" borderId="12" xfId="0" applyBorder="1" applyAlignment="1">
      <alignment horizontal="center" vertical="center"/>
    </xf>
    <xf numFmtId="0" fontId="6" fillId="4" borderId="0" xfId="0" applyFont="1" applyFill="1"/>
    <xf numFmtId="164" fontId="0" fillId="5" borderId="0" xfId="0" applyNumberFormat="1" applyFill="1" applyAlignment="1">
      <alignment horizontal="center" vertical="center"/>
    </xf>
    <xf numFmtId="164" fontId="0" fillId="5" borderId="12" xfId="0" applyNumberFormat="1" applyFill="1" applyBorder="1" applyAlignment="1">
      <alignment horizontal="center" vertical="center"/>
    </xf>
    <xf numFmtId="0" fontId="0" fillId="6" borderId="0" xfId="0" applyFill="1" applyAlignment="1">
      <alignment horizontal="center" vertical="center"/>
    </xf>
    <xf numFmtId="0" fontId="6" fillId="3" borderId="0" xfId="0" applyFont="1" applyFill="1"/>
    <xf numFmtId="2" fontId="5" fillId="0" borderId="0" xfId="0" applyNumberFormat="1" applyFont="1" applyAlignment="1">
      <alignment horizontal="center" vertical="center"/>
    </xf>
    <xf numFmtId="2" fontId="0" fillId="6" borderId="0" xfId="0" applyNumberFormat="1" applyFill="1" applyAlignment="1">
      <alignment horizontal="center" vertical="center"/>
    </xf>
    <xf numFmtId="2" fontId="0" fillId="5" borderId="0" xfId="0" applyNumberFormat="1" applyFill="1" applyAlignment="1">
      <alignment horizontal="center" vertical="center"/>
    </xf>
    <xf numFmtId="2" fontId="0" fillId="5" borderId="0" xfId="0" applyNumberFormat="1" applyFill="1" applyAlignment="1">
      <alignment horizontal="center"/>
    </xf>
    <xf numFmtId="2" fontId="0" fillId="5" borderId="12" xfId="0" applyNumberFormat="1" applyFill="1" applyBorder="1" applyAlignment="1">
      <alignment horizontal="center"/>
    </xf>
    <xf numFmtId="49" fontId="0" fillId="0" borderId="0" xfId="0" applyNumberFormat="1"/>
    <xf numFmtId="0" fontId="0" fillId="0" borderId="0" xfId="0" applyAlignment="1">
      <alignment horizontal="right" textRotation="90"/>
    </xf>
    <xf numFmtId="0" fontId="0" fillId="0" borderId="14" xfId="0" applyBorder="1"/>
    <xf numFmtId="0" fontId="0" fillId="0" borderId="15" xfId="0" applyBorder="1"/>
    <xf numFmtId="0" fontId="0" fillId="0" borderId="17" xfId="0" applyBorder="1"/>
    <xf numFmtId="0" fontId="0" fillId="7" borderId="0" xfId="0" applyFill="1" applyAlignment="1">
      <alignment horizontal="right" textRotation="90"/>
    </xf>
    <xf numFmtId="0" fontId="7" fillId="0" borderId="0" xfId="0" applyFont="1"/>
    <xf numFmtId="0" fontId="0" fillId="8" borderId="13" xfId="0" applyFill="1" applyBorder="1"/>
    <xf numFmtId="0" fontId="0" fillId="8" borderId="16" xfId="0" applyFill="1" applyBorder="1"/>
    <xf numFmtId="0" fontId="0" fillId="0" borderId="16" xfId="0" applyBorder="1"/>
    <xf numFmtId="2" fontId="0" fillId="0" borderId="0" xfId="0" applyNumberFormat="1"/>
    <xf numFmtId="2" fontId="0" fillId="0" borderId="17" xfId="0" applyNumberFormat="1" applyBorder="1"/>
    <xf numFmtId="0" fontId="0" fillId="0" borderId="18" xfId="0" applyBorder="1"/>
    <xf numFmtId="2" fontId="0" fillId="0" borderId="19" xfId="0" applyNumberFormat="1" applyBorder="1"/>
    <xf numFmtId="2" fontId="0" fillId="0" borderId="20" xfId="0" applyNumberFormat="1" applyBorder="1"/>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r>
              <a:rPr lang="en-US" baseline="0"/>
              <a:t> and price for Aqua Spa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'Demand equations'!$C$3</c:f>
              <c:strCache>
                <c:ptCount val="1"/>
                <c:pt idx="0">
                  <c:v>Demand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cmpd="sng">
                <a:solidFill>
                  <a:schemeClr val="accent4"/>
                </a:solidFill>
                <a:prstDash val="solid"/>
              </a:ln>
              <a:effectLst/>
            </c:spPr>
            <c:trendlineType val="power"/>
            <c:dispRSqr val="1"/>
            <c:dispEq val="1"/>
            <c:trendlineLbl>
              <c:layout>
                <c:manualLayout>
                  <c:x val="-0.32974122153492347"/>
                  <c:y val="1.0851368361863503E-2"/>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rendlineLbl>
          </c:trendline>
          <c:xVal>
            <c:numRef>
              <c:f>'Demand equations'!$B$4:$B$27</c:f>
              <c:numCache>
                <c:formatCode>"$"#,##0.00_);[Red]\("$"#,##0.00\)</c:formatCode>
                <c:ptCount val="24"/>
                <c:pt idx="0">
                  <c:v>1090</c:v>
                </c:pt>
                <c:pt idx="1">
                  <c:v>1225</c:v>
                </c:pt>
                <c:pt idx="2">
                  <c:v>1170</c:v>
                </c:pt>
                <c:pt idx="3">
                  <c:v>1270</c:v>
                </c:pt>
                <c:pt idx="4">
                  <c:v>1275</c:v>
                </c:pt>
                <c:pt idx="5">
                  <c:v>1190</c:v>
                </c:pt>
                <c:pt idx="6">
                  <c:v>1000</c:v>
                </c:pt>
                <c:pt idx="7">
                  <c:v>899</c:v>
                </c:pt>
                <c:pt idx="8">
                  <c:v>1075</c:v>
                </c:pt>
                <c:pt idx="9">
                  <c:v>1075</c:v>
                </c:pt>
                <c:pt idx="10">
                  <c:v>989</c:v>
                </c:pt>
                <c:pt idx="11">
                  <c:v>979</c:v>
                </c:pt>
                <c:pt idx="12">
                  <c:v>1105</c:v>
                </c:pt>
                <c:pt idx="13">
                  <c:v>980</c:v>
                </c:pt>
                <c:pt idx="14">
                  <c:v>879</c:v>
                </c:pt>
                <c:pt idx="15">
                  <c:v>1080</c:v>
                </c:pt>
                <c:pt idx="16">
                  <c:v>1179</c:v>
                </c:pt>
                <c:pt idx="17">
                  <c:v>1239</c:v>
                </c:pt>
                <c:pt idx="18">
                  <c:v>1120</c:v>
                </c:pt>
                <c:pt idx="19">
                  <c:v>1009</c:v>
                </c:pt>
                <c:pt idx="20">
                  <c:v>989</c:v>
                </c:pt>
                <c:pt idx="21">
                  <c:v>909</c:v>
                </c:pt>
                <c:pt idx="22">
                  <c:v>1000</c:v>
                </c:pt>
                <c:pt idx="23">
                  <c:v>1109</c:v>
                </c:pt>
              </c:numCache>
            </c:numRef>
          </c:xVal>
          <c:yVal>
            <c:numRef>
              <c:f>'Demand equations'!$C$4:$C$27</c:f>
              <c:numCache>
                <c:formatCode>General</c:formatCode>
                <c:ptCount val="24"/>
                <c:pt idx="0">
                  <c:v>140</c:v>
                </c:pt>
                <c:pt idx="1">
                  <c:v>95</c:v>
                </c:pt>
                <c:pt idx="2">
                  <c:v>113</c:v>
                </c:pt>
                <c:pt idx="3">
                  <c:v>99</c:v>
                </c:pt>
                <c:pt idx="4">
                  <c:v>100</c:v>
                </c:pt>
                <c:pt idx="5">
                  <c:v>107</c:v>
                </c:pt>
                <c:pt idx="6">
                  <c:v>149</c:v>
                </c:pt>
                <c:pt idx="7">
                  <c:v>154</c:v>
                </c:pt>
                <c:pt idx="8">
                  <c:v>120</c:v>
                </c:pt>
                <c:pt idx="9">
                  <c:v>124</c:v>
                </c:pt>
                <c:pt idx="10">
                  <c:v>148</c:v>
                </c:pt>
                <c:pt idx="11">
                  <c:v>138</c:v>
                </c:pt>
                <c:pt idx="12">
                  <c:v>130</c:v>
                </c:pt>
                <c:pt idx="13">
                  <c:v>149</c:v>
                </c:pt>
                <c:pt idx="14">
                  <c:v>158</c:v>
                </c:pt>
                <c:pt idx="15">
                  <c:v>123</c:v>
                </c:pt>
                <c:pt idx="16">
                  <c:v>116</c:v>
                </c:pt>
                <c:pt idx="17">
                  <c:v>110</c:v>
                </c:pt>
                <c:pt idx="18">
                  <c:v>126</c:v>
                </c:pt>
                <c:pt idx="19">
                  <c:v>142</c:v>
                </c:pt>
                <c:pt idx="20">
                  <c:v>156</c:v>
                </c:pt>
                <c:pt idx="21">
                  <c:v>161</c:v>
                </c:pt>
                <c:pt idx="22">
                  <c:v>134</c:v>
                </c:pt>
                <c:pt idx="23">
                  <c:v>124</c:v>
                </c:pt>
              </c:numCache>
            </c:numRef>
          </c:yVal>
          <c:smooth val="0"/>
          <c:extLst>
            <c:ext xmlns:c16="http://schemas.microsoft.com/office/drawing/2014/chart" uri="{C3380CC4-5D6E-409C-BE32-E72D297353CC}">
              <c16:uniqueId val="{00000000-F27F-434F-9FDC-75C689F9C74B}"/>
            </c:ext>
          </c:extLst>
        </c:ser>
        <c:dLbls>
          <c:showLegendKey val="0"/>
          <c:showVal val="0"/>
          <c:showCatName val="0"/>
          <c:showSerName val="0"/>
          <c:showPercent val="0"/>
          <c:showBubbleSize val="0"/>
        </c:dLbls>
        <c:axId val="203524208"/>
        <c:axId val="194921312"/>
      </c:scatterChart>
      <c:valAx>
        <c:axId val="203524208"/>
        <c:scaling>
          <c:orientation val="minMax"/>
          <c:min val="8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21312"/>
        <c:crosses val="autoZero"/>
        <c:crossBetween val="midCat"/>
      </c:valAx>
      <c:valAx>
        <c:axId val="194921312"/>
        <c:scaling>
          <c:orientation val="minMax"/>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2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 and price for Hydro</a:t>
            </a:r>
            <a:r>
              <a:rPr lang="en-US" baseline="0"/>
              <a:t> Luxe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'Demand equations'!$N$3</c:f>
              <c:strCache>
                <c:ptCount val="1"/>
                <c:pt idx="0">
                  <c:v>Demand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92D050"/>
                </a:solidFill>
                <a:prstDash val="solid"/>
              </a:ln>
              <a:effectLst/>
            </c:spPr>
            <c:trendlineType val="power"/>
            <c:dispRSqr val="1"/>
            <c:dispEq val="1"/>
            <c:trendlineLbl>
              <c:layout>
                <c:manualLayout>
                  <c:x val="-0.328298357969038"/>
                  <c:y val="-3.4474135700322474E-3"/>
                </c:manualLayout>
              </c:layout>
              <c:numFmt formatCode="#,##0.00" sourceLinked="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rendlineLbl>
          </c:trendline>
          <c:xVal>
            <c:numRef>
              <c:f>'Demand equations'!$M$4:$M$27</c:f>
              <c:numCache>
                <c:formatCode>"$"#,##0.00_);[Red]\("$"#,##0.00\)</c:formatCode>
                <c:ptCount val="24"/>
                <c:pt idx="0">
                  <c:v>1300</c:v>
                </c:pt>
                <c:pt idx="1">
                  <c:v>1310</c:v>
                </c:pt>
                <c:pt idx="2">
                  <c:v>1230</c:v>
                </c:pt>
                <c:pt idx="3">
                  <c:v>1210</c:v>
                </c:pt>
                <c:pt idx="4">
                  <c:v>1270</c:v>
                </c:pt>
                <c:pt idx="5">
                  <c:v>1319</c:v>
                </c:pt>
                <c:pt idx="6">
                  <c:v>1179</c:v>
                </c:pt>
                <c:pt idx="7">
                  <c:v>1169</c:v>
                </c:pt>
                <c:pt idx="8">
                  <c:v>1175</c:v>
                </c:pt>
                <c:pt idx="9">
                  <c:v>1215</c:v>
                </c:pt>
                <c:pt idx="10">
                  <c:v>1195</c:v>
                </c:pt>
                <c:pt idx="11">
                  <c:v>1230</c:v>
                </c:pt>
                <c:pt idx="12">
                  <c:v>1245</c:v>
                </c:pt>
                <c:pt idx="13">
                  <c:v>1210</c:v>
                </c:pt>
                <c:pt idx="14">
                  <c:v>1219</c:v>
                </c:pt>
                <c:pt idx="15">
                  <c:v>1230</c:v>
                </c:pt>
                <c:pt idx="16">
                  <c:v>1230</c:v>
                </c:pt>
                <c:pt idx="17">
                  <c:v>1270</c:v>
                </c:pt>
                <c:pt idx="18">
                  <c:v>1219</c:v>
                </c:pt>
                <c:pt idx="19">
                  <c:v>1169</c:v>
                </c:pt>
                <c:pt idx="20">
                  <c:v>1219</c:v>
                </c:pt>
                <c:pt idx="21">
                  <c:v>1132</c:v>
                </c:pt>
                <c:pt idx="22">
                  <c:v>1129</c:v>
                </c:pt>
                <c:pt idx="23">
                  <c:v>1135</c:v>
                </c:pt>
              </c:numCache>
            </c:numRef>
          </c:xVal>
          <c:yVal>
            <c:numRef>
              <c:f>'Demand equations'!$N$4:$N$27</c:f>
              <c:numCache>
                <c:formatCode>General</c:formatCode>
                <c:ptCount val="24"/>
                <c:pt idx="0">
                  <c:v>144</c:v>
                </c:pt>
                <c:pt idx="1">
                  <c:v>139</c:v>
                </c:pt>
                <c:pt idx="2">
                  <c:v>152</c:v>
                </c:pt>
                <c:pt idx="3">
                  <c:v>157</c:v>
                </c:pt>
                <c:pt idx="4">
                  <c:v>148</c:v>
                </c:pt>
                <c:pt idx="5">
                  <c:v>139</c:v>
                </c:pt>
                <c:pt idx="6">
                  <c:v>154</c:v>
                </c:pt>
                <c:pt idx="7">
                  <c:v>168</c:v>
                </c:pt>
                <c:pt idx="8">
                  <c:v>162</c:v>
                </c:pt>
                <c:pt idx="9">
                  <c:v>154</c:v>
                </c:pt>
                <c:pt idx="10">
                  <c:v>158</c:v>
                </c:pt>
                <c:pt idx="11">
                  <c:v>155</c:v>
                </c:pt>
                <c:pt idx="12">
                  <c:v>147</c:v>
                </c:pt>
                <c:pt idx="13">
                  <c:v>149</c:v>
                </c:pt>
                <c:pt idx="14">
                  <c:v>149</c:v>
                </c:pt>
                <c:pt idx="15">
                  <c:v>148</c:v>
                </c:pt>
                <c:pt idx="16">
                  <c:v>146</c:v>
                </c:pt>
                <c:pt idx="17">
                  <c:v>144</c:v>
                </c:pt>
                <c:pt idx="18">
                  <c:v>158</c:v>
                </c:pt>
                <c:pt idx="19">
                  <c:v>155</c:v>
                </c:pt>
                <c:pt idx="20">
                  <c:v>158</c:v>
                </c:pt>
                <c:pt idx="21">
                  <c:v>167</c:v>
                </c:pt>
                <c:pt idx="22">
                  <c:v>171</c:v>
                </c:pt>
                <c:pt idx="23">
                  <c:v>169</c:v>
                </c:pt>
              </c:numCache>
            </c:numRef>
          </c:yVal>
          <c:smooth val="0"/>
          <c:extLst>
            <c:ext xmlns:c16="http://schemas.microsoft.com/office/drawing/2014/chart" uri="{C3380CC4-5D6E-409C-BE32-E72D297353CC}">
              <c16:uniqueId val="{00000000-F12D-4AEC-AEC8-7CD9FDA5902C}"/>
            </c:ext>
          </c:extLst>
        </c:ser>
        <c:dLbls>
          <c:showLegendKey val="0"/>
          <c:showVal val="0"/>
          <c:showCatName val="0"/>
          <c:showSerName val="0"/>
          <c:showPercent val="0"/>
          <c:showBubbleSize val="0"/>
        </c:dLbls>
        <c:axId val="318578640"/>
        <c:axId val="323561872"/>
      </c:scatterChart>
      <c:valAx>
        <c:axId val="318578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61872"/>
        <c:crosses val="autoZero"/>
        <c:crossBetween val="midCat"/>
      </c:valAx>
      <c:valAx>
        <c:axId val="323561872"/>
        <c:scaling>
          <c:orientation val="minMax"/>
          <c:min val="1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Demand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78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'Solver table one way analysis'!$I$6</c:f>
          <c:strCache>
            <c:ptCount val="1"/>
            <c:pt idx="0">
              <c:v>Sensitivity of $B$9 to Labor hours</c:v>
            </c:pt>
          </c:strCache>
        </c:strRef>
      </c:tx>
      <c:overlay val="0"/>
      <c:txPr>
        <a:bodyPr/>
        <a:lstStyle/>
        <a:p>
          <a:pPr>
            <a:defRPr sz="1200"/>
          </a:pPr>
          <a:endParaRPr lang="en-US"/>
        </a:p>
      </c:txPr>
    </c:title>
    <c:autoTitleDeleted val="0"/>
    <c:plotArea>
      <c:layout/>
      <c:lineChart>
        <c:grouping val="standard"/>
        <c:varyColors val="0"/>
        <c:ser>
          <c:idx val="0"/>
          <c:order val="0"/>
          <c:cat>
            <c:numRef>
              <c:f>'Solver table one way analysis'!$A$10:$A$60</c:f>
              <c:numCache>
                <c:formatCode>General</c:formatCode>
                <c:ptCount val="51"/>
                <c:pt idx="0">
                  <c:v>500</c:v>
                </c:pt>
                <c:pt idx="1">
                  <c:v>520</c:v>
                </c:pt>
                <c:pt idx="2">
                  <c:v>540</c:v>
                </c:pt>
                <c:pt idx="3">
                  <c:v>560</c:v>
                </c:pt>
                <c:pt idx="4">
                  <c:v>580</c:v>
                </c:pt>
                <c:pt idx="5">
                  <c:v>600</c:v>
                </c:pt>
                <c:pt idx="6">
                  <c:v>620</c:v>
                </c:pt>
                <c:pt idx="7">
                  <c:v>640</c:v>
                </c:pt>
                <c:pt idx="8">
                  <c:v>660</c:v>
                </c:pt>
                <c:pt idx="9">
                  <c:v>680</c:v>
                </c:pt>
                <c:pt idx="10">
                  <c:v>700</c:v>
                </c:pt>
                <c:pt idx="11">
                  <c:v>720</c:v>
                </c:pt>
                <c:pt idx="12">
                  <c:v>740</c:v>
                </c:pt>
                <c:pt idx="13">
                  <c:v>760</c:v>
                </c:pt>
                <c:pt idx="14">
                  <c:v>780</c:v>
                </c:pt>
                <c:pt idx="15">
                  <c:v>800</c:v>
                </c:pt>
                <c:pt idx="16">
                  <c:v>820</c:v>
                </c:pt>
                <c:pt idx="17">
                  <c:v>840</c:v>
                </c:pt>
                <c:pt idx="18">
                  <c:v>860</c:v>
                </c:pt>
                <c:pt idx="19">
                  <c:v>880</c:v>
                </c:pt>
                <c:pt idx="20">
                  <c:v>900</c:v>
                </c:pt>
                <c:pt idx="21">
                  <c:v>920</c:v>
                </c:pt>
                <c:pt idx="22">
                  <c:v>940</c:v>
                </c:pt>
                <c:pt idx="23">
                  <c:v>960</c:v>
                </c:pt>
                <c:pt idx="24">
                  <c:v>980</c:v>
                </c:pt>
                <c:pt idx="25">
                  <c:v>1000</c:v>
                </c:pt>
                <c:pt idx="26">
                  <c:v>1020</c:v>
                </c:pt>
                <c:pt idx="27">
                  <c:v>1040</c:v>
                </c:pt>
                <c:pt idx="28">
                  <c:v>1060</c:v>
                </c:pt>
                <c:pt idx="29">
                  <c:v>1080</c:v>
                </c:pt>
                <c:pt idx="30">
                  <c:v>1100</c:v>
                </c:pt>
                <c:pt idx="31">
                  <c:v>1120</c:v>
                </c:pt>
                <c:pt idx="32">
                  <c:v>1140</c:v>
                </c:pt>
                <c:pt idx="33">
                  <c:v>1160</c:v>
                </c:pt>
                <c:pt idx="34">
                  <c:v>1180</c:v>
                </c:pt>
                <c:pt idx="35">
                  <c:v>1200</c:v>
                </c:pt>
                <c:pt idx="36">
                  <c:v>1220</c:v>
                </c:pt>
                <c:pt idx="37">
                  <c:v>1240</c:v>
                </c:pt>
                <c:pt idx="38">
                  <c:v>1260</c:v>
                </c:pt>
                <c:pt idx="39">
                  <c:v>1280</c:v>
                </c:pt>
                <c:pt idx="40">
                  <c:v>1300</c:v>
                </c:pt>
                <c:pt idx="41">
                  <c:v>1320</c:v>
                </c:pt>
                <c:pt idx="42">
                  <c:v>1340</c:v>
                </c:pt>
                <c:pt idx="43">
                  <c:v>1360</c:v>
                </c:pt>
                <c:pt idx="44">
                  <c:v>1380</c:v>
                </c:pt>
                <c:pt idx="45">
                  <c:v>1400</c:v>
                </c:pt>
                <c:pt idx="46">
                  <c:v>1420</c:v>
                </c:pt>
                <c:pt idx="47">
                  <c:v>1440</c:v>
                </c:pt>
                <c:pt idx="48">
                  <c:v>1460</c:v>
                </c:pt>
                <c:pt idx="49">
                  <c:v>1480</c:v>
                </c:pt>
                <c:pt idx="50">
                  <c:v>1500</c:v>
                </c:pt>
              </c:numCache>
            </c:numRef>
          </c:cat>
          <c:val>
            <c:numRef>
              <c:f>'Solver table one way analysis'!$I$10:$I$60</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249945.73454474309</c:v>
                </c:pt>
                <c:pt idx="23">
                  <c:v>250224.00649564344</c:v>
                </c:pt>
                <c:pt idx="24">
                  <c:v>250418.66497203807</c:v>
                </c:pt>
                <c:pt idx="25">
                  <c:v>250418.66497203807</c:v>
                </c:pt>
                <c:pt idx="26">
                  <c:v>250418.66497203807</c:v>
                </c:pt>
                <c:pt idx="27">
                  <c:v>250418.66497203807</c:v>
                </c:pt>
                <c:pt idx="28">
                  <c:v>250418.66497203807</c:v>
                </c:pt>
                <c:pt idx="29">
                  <c:v>250418.66497203807</c:v>
                </c:pt>
                <c:pt idx="30">
                  <c:v>250418.66497203807</c:v>
                </c:pt>
                <c:pt idx="31">
                  <c:v>250418.66497203807</c:v>
                </c:pt>
                <c:pt idx="32">
                  <c:v>250418.66497203807</c:v>
                </c:pt>
                <c:pt idx="33">
                  <c:v>250418.66497203807</c:v>
                </c:pt>
                <c:pt idx="34">
                  <c:v>250418.66497203807</c:v>
                </c:pt>
                <c:pt idx="35">
                  <c:v>250418.66497203807</c:v>
                </c:pt>
                <c:pt idx="36">
                  <c:v>250418.66497203807</c:v>
                </c:pt>
                <c:pt idx="37">
                  <c:v>250418.66497203807</c:v>
                </c:pt>
                <c:pt idx="38">
                  <c:v>250418.66497203807</c:v>
                </c:pt>
                <c:pt idx="39">
                  <c:v>250418.66497203807</c:v>
                </c:pt>
                <c:pt idx="40">
                  <c:v>250418.66497203807</c:v>
                </c:pt>
                <c:pt idx="41">
                  <c:v>250418.66497203807</c:v>
                </c:pt>
                <c:pt idx="42">
                  <c:v>250418.66497203807</c:v>
                </c:pt>
                <c:pt idx="43">
                  <c:v>250418.66497203807</c:v>
                </c:pt>
                <c:pt idx="44">
                  <c:v>250418.66497203807</c:v>
                </c:pt>
                <c:pt idx="45">
                  <c:v>250418.66497203807</c:v>
                </c:pt>
                <c:pt idx="46">
                  <c:v>250418.66497203807</c:v>
                </c:pt>
                <c:pt idx="47">
                  <c:v>250418.66497203807</c:v>
                </c:pt>
                <c:pt idx="48">
                  <c:v>250418.66497203807</c:v>
                </c:pt>
                <c:pt idx="49">
                  <c:v>250418.66497203807</c:v>
                </c:pt>
                <c:pt idx="50">
                  <c:v>250418.66497203807</c:v>
                </c:pt>
              </c:numCache>
            </c:numRef>
          </c:val>
          <c:smooth val="0"/>
          <c:extLst>
            <c:ext xmlns:c16="http://schemas.microsoft.com/office/drawing/2014/chart" uri="{C3380CC4-5D6E-409C-BE32-E72D297353CC}">
              <c16:uniqueId val="{00000001-ADB3-4256-8993-0E6C4B5A16A7}"/>
            </c:ext>
          </c:extLst>
        </c:ser>
        <c:dLbls>
          <c:showLegendKey val="0"/>
          <c:showVal val="0"/>
          <c:showCatName val="0"/>
          <c:showSerName val="0"/>
          <c:showPercent val="0"/>
          <c:showBubbleSize val="0"/>
        </c:dLbls>
        <c:marker val="1"/>
        <c:smooth val="0"/>
        <c:axId val="1166100272"/>
        <c:axId val="1511263936"/>
      </c:lineChart>
      <c:catAx>
        <c:axId val="1166100272"/>
        <c:scaling>
          <c:orientation val="minMax"/>
        </c:scaling>
        <c:delete val="0"/>
        <c:axPos val="b"/>
        <c:title>
          <c:tx>
            <c:rich>
              <a:bodyPr/>
              <a:lstStyle/>
              <a:p>
                <a:pPr>
                  <a:defRPr/>
                </a:pPr>
                <a:r>
                  <a:rPr lang="en-US"/>
                  <a:t>Labor hours ($D$14)</a:t>
                </a:r>
              </a:p>
            </c:rich>
          </c:tx>
          <c:overlay val="0"/>
        </c:title>
        <c:numFmt formatCode="General" sourceLinked="1"/>
        <c:majorTickMark val="out"/>
        <c:minorTickMark val="none"/>
        <c:tickLblPos val="nextTo"/>
        <c:crossAx val="1511263936"/>
        <c:crosses val="autoZero"/>
        <c:auto val="1"/>
        <c:lblAlgn val="ctr"/>
        <c:lblOffset val="100"/>
        <c:noMultiLvlLbl val="0"/>
      </c:catAx>
      <c:valAx>
        <c:axId val="1511263936"/>
        <c:scaling>
          <c:orientation val="minMax"/>
        </c:scaling>
        <c:delete val="0"/>
        <c:axPos val="l"/>
        <c:majorGridlines/>
        <c:numFmt formatCode="General" sourceLinked="1"/>
        <c:majorTickMark val="out"/>
        <c:minorTickMark val="none"/>
        <c:tickLblPos val="nextTo"/>
        <c:crossAx val="116610027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232832</xdr:colOff>
      <xdr:row>0</xdr:row>
      <xdr:rowOff>113594</xdr:rowOff>
    </xdr:from>
    <xdr:to>
      <xdr:col>10</xdr:col>
      <xdr:colOff>42333</xdr:colOff>
      <xdr:row>14</xdr:row>
      <xdr:rowOff>91721</xdr:rowOff>
    </xdr:to>
    <xdr:graphicFrame macro="">
      <xdr:nvGraphicFramePr>
        <xdr:cNvPr id="2" name="Chart 1">
          <a:extLst>
            <a:ext uri="{FF2B5EF4-FFF2-40B4-BE49-F238E27FC236}">
              <a16:creationId xmlns:a16="http://schemas.microsoft.com/office/drawing/2014/main" id="{698BDF8D-CBE2-9052-EAE6-F85692E1B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225777</xdr:colOff>
      <xdr:row>15</xdr:row>
      <xdr:rowOff>7761</xdr:rowOff>
    </xdr:from>
    <xdr:to>
      <xdr:col>10</xdr:col>
      <xdr:colOff>49389</xdr:colOff>
      <xdr:row>27</xdr:row>
      <xdr:rowOff>21166</xdr:rowOff>
    </xdr:to>
    <xdr:graphicFrame macro="">
      <xdr:nvGraphicFramePr>
        <xdr:cNvPr id="3" name="Chart 2">
          <a:extLst>
            <a:ext uri="{FF2B5EF4-FFF2-40B4-BE49-F238E27FC236}">
              <a16:creationId xmlns:a16="http://schemas.microsoft.com/office/drawing/2014/main" id="{4C5A453A-6ADB-B5EF-F5DD-FFA750BFB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67734</xdr:colOff>
      <xdr:row>4</xdr:row>
      <xdr:rowOff>148167</xdr:rowOff>
    </xdr:from>
    <xdr:to>
      <xdr:col>18</xdr:col>
      <xdr:colOff>67734</xdr:colOff>
      <xdr:row>19</xdr:row>
      <xdr:rowOff>82550</xdr:rowOff>
    </xdr:to>
    <xdr:graphicFrame macro="">
      <xdr:nvGraphicFramePr>
        <xdr:cNvPr id="2" name="STS_1_Chart">
          <a:extLst>
            <a:ext uri="{FF2B5EF4-FFF2-40B4-BE49-F238E27FC236}">
              <a16:creationId xmlns:a16="http://schemas.microsoft.com/office/drawing/2014/main" id="{BA50B33B-EE2E-1102-2F91-B6D188BD5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2</xdr:row>
      <xdr:rowOff>205317</xdr:rowOff>
    </xdr:from>
    <xdr:to>
      <xdr:col>16</xdr:col>
      <xdr:colOff>0</xdr:colOff>
      <xdr:row>4</xdr:row>
      <xdr:rowOff>27517</xdr:rowOff>
    </xdr:to>
    <xdr:sp macro="" textlink="">
      <xdr:nvSpPr>
        <xdr:cNvPr id="3" name="TextBox 2">
          <a:extLst>
            <a:ext uri="{FF2B5EF4-FFF2-40B4-BE49-F238E27FC236}">
              <a16:creationId xmlns:a16="http://schemas.microsoft.com/office/drawing/2014/main" id="{B6CFDD21-35D2-42B6-40ED-25FE80C320C9}"/>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F9EF-8864-480B-B521-DB3AF6A8D312}">
  <dimension ref="A1:N30"/>
  <sheetViews>
    <sheetView tabSelected="1" zoomScale="90" zoomScaleNormal="90" workbookViewId="0">
      <selection activeCell="S13" sqref="S13"/>
    </sheetView>
  </sheetViews>
  <sheetFormatPr defaultRowHeight="12" x14ac:dyDescent="0.3"/>
  <cols>
    <col min="1" max="1" width="8.7265625" style="6"/>
    <col min="2" max="2" width="11.54296875" style="6" customWidth="1"/>
    <col min="3" max="12" width="8.7265625" style="6"/>
    <col min="13" max="13" width="11.08984375" style="6" customWidth="1"/>
    <col min="14" max="16384" width="8.7265625" style="6"/>
  </cols>
  <sheetData>
    <row r="1" spans="1:14" ht="12.5" thickBot="1" x14ac:dyDescent="0.35"/>
    <row r="2" spans="1:14" ht="15" thickBot="1" x14ac:dyDescent="0.35">
      <c r="A2" s="56" t="s">
        <v>0</v>
      </c>
      <c r="B2" s="57"/>
      <c r="C2" s="58"/>
      <c r="L2" s="59" t="s">
        <v>4</v>
      </c>
      <c r="M2" s="60"/>
      <c r="N2" s="61"/>
    </row>
    <row r="3" spans="1:14" ht="15" thickBot="1" x14ac:dyDescent="0.35">
      <c r="A3" s="7" t="s">
        <v>1</v>
      </c>
      <c r="B3" s="8" t="s">
        <v>2</v>
      </c>
      <c r="C3" s="8" t="s">
        <v>3</v>
      </c>
      <c r="L3" s="2" t="s">
        <v>1</v>
      </c>
      <c r="M3" s="4" t="s">
        <v>2</v>
      </c>
      <c r="N3" s="4" t="s">
        <v>3</v>
      </c>
    </row>
    <row r="4" spans="1:14" ht="15" thickBot="1" x14ac:dyDescent="0.35">
      <c r="A4" s="9">
        <v>1</v>
      </c>
      <c r="B4" s="10">
        <v>1090</v>
      </c>
      <c r="C4" s="11">
        <v>140</v>
      </c>
      <c r="L4" s="1">
        <v>1</v>
      </c>
      <c r="M4" s="5">
        <v>1300</v>
      </c>
      <c r="N4" s="3">
        <v>144</v>
      </c>
    </row>
    <row r="5" spans="1:14" ht="15" thickBot="1" x14ac:dyDescent="0.35">
      <c r="A5" s="9">
        <v>2</v>
      </c>
      <c r="B5" s="10">
        <v>1225</v>
      </c>
      <c r="C5" s="11">
        <v>95</v>
      </c>
      <c r="L5" s="1">
        <v>2</v>
      </c>
      <c r="M5" s="5">
        <v>1310</v>
      </c>
      <c r="N5" s="3">
        <v>139</v>
      </c>
    </row>
    <row r="6" spans="1:14" ht="15" thickBot="1" x14ac:dyDescent="0.35">
      <c r="A6" s="9">
        <v>3</v>
      </c>
      <c r="B6" s="10">
        <v>1170</v>
      </c>
      <c r="C6" s="11">
        <v>113</v>
      </c>
      <c r="L6" s="1">
        <v>3</v>
      </c>
      <c r="M6" s="5">
        <v>1230</v>
      </c>
      <c r="N6" s="3">
        <v>152</v>
      </c>
    </row>
    <row r="7" spans="1:14" ht="15" thickBot="1" x14ac:dyDescent="0.35">
      <c r="A7" s="9">
        <v>4</v>
      </c>
      <c r="B7" s="10">
        <v>1270</v>
      </c>
      <c r="C7" s="11">
        <v>99</v>
      </c>
      <c r="L7" s="1">
        <v>4</v>
      </c>
      <c r="M7" s="5">
        <v>1210</v>
      </c>
      <c r="N7" s="3">
        <v>157</v>
      </c>
    </row>
    <row r="8" spans="1:14" ht="15" thickBot="1" x14ac:dyDescent="0.35">
      <c r="A8" s="9">
        <v>5</v>
      </c>
      <c r="B8" s="10">
        <v>1275</v>
      </c>
      <c r="C8" s="11">
        <v>100</v>
      </c>
      <c r="L8" s="1">
        <v>5</v>
      </c>
      <c r="M8" s="5">
        <v>1270</v>
      </c>
      <c r="N8" s="3">
        <v>148</v>
      </c>
    </row>
    <row r="9" spans="1:14" ht="15" thickBot="1" x14ac:dyDescent="0.35">
      <c r="A9" s="9">
        <v>6</v>
      </c>
      <c r="B9" s="10">
        <v>1190</v>
      </c>
      <c r="C9" s="11">
        <v>107</v>
      </c>
      <c r="L9" s="1">
        <v>6</v>
      </c>
      <c r="M9" s="5">
        <v>1319</v>
      </c>
      <c r="N9" s="3">
        <v>139</v>
      </c>
    </row>
    <row r="10" spans="1:14" ht="15" thickBot="1" x14ac:dyDescent="0.35">
      <c r="A10" s="9">
        <v>7</v>
      </c>
      <c r="B10" s="10">
        <v>1000</v>
      </c>
      <c r="C10" s="11">
        <v>149</v>
      </c>
      <c r="L10" s="1">
        <v>7</v>
      </c>
      <c r="M10" s="5">
        <v>1179</v>
      </c>
      <c r="N10" s="3">
        <v>154</v>
      </c>
    </row>
    <row r="11" spans="1:14" ht="15" thickBot="1" x14ac:dyDescent="0.35">
      <c r="A11" s="9">
        <v>8</v>
      </c>
      <c r="B11" s="10">
        <v>899</v>
      </c>
      <c r="C11" s="11">
        <v>154</v>
      </c>
      <c r="L11" s="1">
        <v>8</v>
      </c>
      <c r="M11" s="5">
        <v>1169</v>
      </c>
      <c r="N11" s="3">
        <v>168</v>
      </c>
    </row>
    <row r="12" spans="1:14" ht="15" thickBot="1" x14ac:dyDescent="0.35">
      <c r="A12" s="9">
        <v>9</v>
      </c>
      <c r="B12" s="10">
        <v>1075</v>
      </c>
      <c r="C12" s="11">
        <v>120</v>
      </c>
      <c r="L12" s="1">
        <v>9</v>
      </c>
      <c r="M12" s="5">
        <v>1175</v>
      </c>
      <c r="N12" s="3">
        <v>162</v>
      </c>
    </row>
    <row r="13" spans="1:14" ht="15" thickBot="1" x14ac:dyDescent="0.35">
      <c r="A13" s="9">
        <v>10</v>
      </c>
      <c r="B13" s="10">
        <v>1075</v>
      </c>
      <c r="C13" s="11">
        <v>124</v>
      </c>
      <c r="L13" s="1">
        <v>10</v>
      </c>
      <c r="M13" s="5">
        <v>1215</v>
      </c>
      <c r="N13" s="3">
        <v>154</v>
      </c>
    </row>
    <row r="14" spans="1:14" ht="15" thickBot="1" x14ac:dyDescent="0.35">
      <c r="A14" s="9">
        <v>11</v>
      </c>
      <c r="B14" s="10">
        <v>989</v>
      </c>
      <c r="C14" s="11">
        <v>148</v>
      </c>
      <c r="L14" s="1">
        <v>11</v>
      </c>
      <c r="M14" s="5">
        <v>1195</v>
      </c>
      <c r="N14" s="3">
        <v>158</v>
      </c>
    </row>
    <row r="15" spans="1:14" ht="15" thickBot="1" x14ac:dyDescent="0.35">
      <c r="A15" s="9">
        <v>12</v>
      </c>
      <c r="B15" s="10">
        <v>979</v>
      </c>
      <c r="C15" s="11">
        <v>138</v>
      </c>
      <c r="L15" s="1">
        <v>12</v>
      </c>
      <c r="M15" s="5">
        <v>1230</v>
      </c>
      <c r="N15" s="3">
        <v>155</v>
      </c>
    </row>
    <row r="16" spans="1:14" ht="15" thickBot="1" x14ac:dyDescent="0.35">
      <c r="A16" s="9">
        <v>13</v>
      </c>
      <c r="B16" s="10">
        <v>1105</v>
      </c>
      <c r="C16" s="11">
        <v>130</v>
      </c>
      <c r="L16" s="1">
        <v>13</v>
      </c>
      <c r="M16" s="5">
        <v>1245</v>
      </c>
      <c r="N16" s="3">
        <v>147</v>
      </c>
    </row>
    <row r="17" spans="1:14" ht="15" thickBot="1" x14ac:dyDescent="0.35">
      <c r="A17" s="9">
        <v>14</v>
      </c>
      <c r="B17" s="10">
        <v>980</v>
      </c>
      <c r="C17" s="11">
        <v>149</v>
      </c>
      <c r="L17" s="1">
        <v>14</v>
      </c>
      <c r="M17" s="5">
        <v>1210</v>
      </c>
      <c r="N17" s="3">
        <v>149</v>
      </c>
    </row>
    <row r="18" spans="1:14" ht="15" thickBot="1" x14ac:dyDescent="0.35">
      <c r="A18" s="9">
        <v>15</v>
      </c>
      <c r="B18" s="10">
        <v>879</v>
      </c>
      <c r="C18" s="11">
        <v>158</v>
      </c>
      <c r="L18" s="1">
        <v>15</v>
      </c>
      <c r="M18" s="5">
        <v>1219</v>
      </c>
      <c r="N18" s="3">
        <v>149</v>
      </c>
    </row>
    <row r="19" spans="1:14" ht="15" thickBot="1" x14ac:dyDescent="0.35">
      <c r="A19" s="9">
        <v>16</v>
      </c>
      <c r="B19" s="10">
        <v>1080</v>
      </c>
      <c r="C19" s="11">
        <v>123</v>
      </c>
      <c r="L19" s="1">
        <v>16</v>
      </c>
      <c r="M19" s="5">
        <v>1230</v>
      </c>
      <c r="N19" s="3">
        <v>148</v>
      </c>
    </row>
    <row r="20" spans="1:14" ht="15" thickBot="1" x14ac:dyDescent="0.35">
      <c r="A20" s="9">
        <v>17</v>
      </c>
      <c r="B20" s="10">
        <v>1179</v>
      </c>
      <c r="C20" s="11">
        <v>116</v>
      </c>
      <c r="L20" s="1">
        <v>17</v>
      </c>
      <c r="M20" s="5">
        <v>1230</v>
      </c>
      <c r="N20" s="3">
        <v>146</v>
      </c>
    </row>
    <row r="21" spans="1:14" ht="15" thickBot="1" x14ac:dyDescent="0.35">
      <c r="A21" s="9">
        <v>18</v>
      </c>
      <c r="B21" s="10">
        <v>1239</v>
      </c>
      <c r="C21" s="11">
        <v>110</v>
      </c>
      <c r="L21" s="1">
        <v>18</v>
      </c>
      <c r="M21" s="5">
        <v>1270</v>
      </c>
      <c r="N21" s="3">
        <v>144</v>
      </c>
    </row>
    <row r="22" spans="1:14" ht="15" thickBot="1" x14ac:dyDescent="0.35">
      <c r="A22" s="9">
        <v>19</v>
      </c>
      <c r="B22" s="10">
        <v>1120</v>
      </c>
      <c r="C22" s="11">
        <v>126</v>
      </c>
      <c r="L22" s="1">
        <v>19</v>
      </c>
      <c r="M22" s="5">
        <v>1219</v>
      </c>
      <c r="N22" s="3">
        <v>158</v>
      </c>
    </row>
    <row r="23" spans="1:14" ht="15" thickBot="1" x14ac:dyDescent="0.35">
      <c r="A23" s="9">
        <v>20</v>
      </c>
      <c r="B23" s="10">
        <v>1009</v>
      </c>
      <c r="C23" s="11">
        <v>142</v>
      </c>
      <c r="L23" s="1">
        <v>20</v>
      </c>
      <c r="M23" s="5">
        <v>1169</v>
      </c>
      <c r="N23" s="3">
        <v>155</v>
      </c>
    </row>
    <row r="24" spans="1:14" ht="15" thickBot="1" x14ac:dyDescent="0.35">
      <c r="A24" s="9">
        <v>21</v>
      </c>
      <c r="B24" s="10">
        <v>989</v>
      </c>
      <c r="C24" s="11">
        <v>156</v>
      </c>
      <c r="L24" s="1">
        <v>21</v>
      </c>
      <c r="M24" s="5">
        <v>1219</v>
      </c>
      <c r="N24" s="3">
        <v>158</v>
      </c>
    </row>
    <row r="25" spans="1:14" ht="15" thickBot="1" x14ac:dyDescent="0.35">
      <c r="A25" s="9">
        <v>22</v>
      </c>
      <c r="B25" s="10">
        <v>909</v>
      </c>
      <c r="C25" s="11">
        <v>161</v>
      </c>
      <c r="L25" s="1">
        <v>22</v>
      </c>
      <c r="M25" s="5">
        <v>1132</v>
      </c>
      <c r="N25" s="3">
        <v>167</v>
      </c>
    </row>
    <row r="26" spans="1:14" ht="15" thickBot="1" x14ac:dyDescent="0.35">
      <c r="A26" s="9">
        <v>23</v>
      </c>
      <c r="B26" s="10">
        <v>1000</v>
      </c>
      <c r="C26" s="11">
        <v>134</v>
      </c>
      <c r="L26" s="1">
        <v>23</v>
      </c>
      <c r="M26" s="5">
        <v>1129</v>
      </c>
      <c r="N26" s="3">
        <v>171</v>
      </c>
    </row>
    <row r="27" spans="1:14" ht="15" thickBot="1" x14ac:dyDescent="0.35">
      <c r="A27" s="9">
        <v>24</v>
      </c>
      <c r="B27" s="10">
        <v>1109</v>
      </c>
      <c r="C27" s="11">
        <v>124</v>
      </c>
      <c r="L27" s="1">
        <v>24</v>
      </c>
      <c r="M27" s="5">
        <v>1135</v>
      </c>
      <c r="N27" s="3">
        <v>169</v>
      </c>
    </row>
    <row r="30" spans="1:14" ht="80.5" customHeight="1" x14ac:dyDescent="0.3">
      <c r="A30" s="62" t="s">
        <v>58</v>
      </c>
      <c r="B30" s="62"/>
      <c r="C30" s="62"/>
      <c r="D30" s="62"/>
      <c r="E30" s="62"/>
      <c r="F30" s="62"/>
      <c r="G30" s="62"/>
      <c r="H30" s="62"/>
      <c r="I30" s="62"/>
      <c r="J30" s="62"/>
      <c r="K30" s="62"/>
      <c r="L30" s="62"/>
      <c r="M30" s="62"/>
      <c r="N30" s="62"/>
    </row>
  </sheetData>
  <mergeCells count="3">
    <mergeCell ref="A2:C2"/>
    <mergeCell ref="L2:N2"/>
    <mergeCell ref="A30:N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6A598-8ACF-483D-9C95-4B23D4E0849E}">
  <dimension ref="A2:F21"/>
  <sheetViews>
    <sheetView showGridLines="0" workbookViewId="0">
      <selection activeCell="H21" sqref="H21"/>
    </sheetView>
  </sheetViews>
  <sheetFormatPr defaultRowHeight="14.5" x14ac:dyDescent="0.35"/>
  <cols>
    <col min="2" max="2" width="18.1796875" customWidth="1"/>
    <col min="3" max="3" width="6" customWidth="1"/>
  </cols>
  <sheetData>
    <row r="2" spans="1:6" x14ac:dyDescent="0.35">
      <c r="A2" s="12" t="s">
        <v>5</v>
      </c>
    </row>
    <row r="3" spans="1:6" ht="15" thickBot="1" x14ac:dyDescent="0.4"/>
    <row r="4" spans="1:6" x14ac:dyDescent="0.35">
      <c r="A4" s="13" t="s">
        <v>6</v>
      </c>
      <c r="B4" s="14"/>
      <c r="C4" s="14"/>
      <c r="D4" s="14"/>
      <c r="E4" s="14"/>
      <c r="F4" s="15"/>
    </row>
    <row r="5" spans="1:6" x14ac:dyDescent="0.35">
      <c r="A5" s="16" t="s">
        <v>13</v>
      </c>
      <c r="B5" t="s">
        <v>7</v>
      </c>
      <c r="F5" s="17"/>
    </row>
    <row r="6" spans="1:6" x14ac:dyDescent="0.35">
      <c r="A6" s="16" t="s">
        <v>14</v>
      </c>
      <c r="B6" t="s">
        <v>8</v>
      </c>
      <c r="F6" s="17"/>
    </row>
    <row r="7" spans="1:6" x14ac:dyDescent="0.35">
      <c r="A7" s="16"/>
      <c r="F7" s="17"/>
    </row>
    <row r="8" spans="1:6" x14ac:dyDescent="0.35">
      <c r="A8" s="16" t="s">
        <v>9</v>
      </c>
      <c r="F8" s="17"/>
    </row>
    <row r="9" spans="1:6" ht="15.5" x14ac:dyDescent="0.35">
      <c r="A9" s="16" t="s">
        <v>10</v>
      </c>
      <c r="B9" t="s">
        <v>15</v>
      </c>
      <c r="D9" t="s">
        <v>11</v>
      </c>
      <c r="F9" s="17"/>
    </row>
    <row r="10" spans="1:6" x14ac:dyDescent="0.35">
      <c r="A10" s="16" t="s">
        <v>12</v>
      </c>
      <c r="B10" t="s">
        <v>57</v>
      </c>
      <c r="D10" t="s">
        <v>21</v>
      </c>
      <c r="F10" s="17"/>
    </row>
    <row r="11" spans="1:6" x14ac:dyDescent="0.35">
      <c r="A11" s="16" t="s">
        <v>18</v>
      </c>
      <c r="B11">
        <v>240</v>
      </c>
      <c r="D11" t="s">
        <v>22</v>
      </c>
      <c r="F11" s="17"/>
    </row>
    <row r="12" spans="1:6" x14ac:dyDescent="0.35">
      <c r="A12" s="16" t="s">
        <v>19</v>
      </c>
      <c r="B12">
        <v>300</v>
      </c>
      <c r="D12" t="s">
        <v>23</v>
      </c>
      <c r="F12" s="17"/>
    </row>
    <row r="13" spans="1:6" x14ac:dyDescent="0.35">
      <c r="A13" s="16"/>
      <c r="F13" s="17"/>
    </row>
    <row r="14" spans="1:6" x14ac:dyDescent="0.35">
      <c r="A14" s="16" t="s">
        <v>16</v>
      </c>
      <c r="F14" s="17"/>
    </row>
    <row r="15" spans="1:6" x14ac:dyDescent="0.35">
      <c r="A15" s="16" t="s">
        <v>17</v>
      </c>
      <c r="B15" t="s">
        <v>20</v>
      </c>
      <c r="F15" s="17"/>
    </row>
    <row r="16" spans="1:6" x14ac:dyDescent="0.35">
      <c r="A16" s="16"/>
      <c r="F16" s="17"/>
    </row>
    <row r="17" spans="1:6" x14ac:dyDescent="0.35">
      <c r="A17" s="16" t="s">
        <v>24</v>
      </c>
      <c r="F17" s="17"/>
    </row>
    <row r="18" spans="1:6" x14ac:dyDescent="0.35">
      <c r="A18" s="16" t="s">
        <v>25</v>
      </c>
      <c r="F18" s="17"/>
    </row>
    <row r="19" spans="1:6" x14ac:dyDescent="0.35">
      <c r="A19" s="16" t="s">
        <v>26</v>
      </c>
      <c r="F19" s="17"/>
    </row>
    <row r="20" spans="1:6" ht="15" thickBot="1" x14ac:dyDescent="0.4">
      <c r="A20" s="18" t="s">
        <v>27</v>
      </c>
      <c r="B20" s="19"/>
      <c r="C20" s="19"/>
      <c r="D20" s="19"/>
      <c r="E20" s="19"/>
      <c r="F20" s="20"/>
    </row>
    <row r="21" spans="1:6" x14ac:dyDescent="0.35">
      <c r="A21" s="16"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01369-6AC5-47F0-95E5-C08F45509218}">
  <dimension ref="A3:J19"/>
  <sheetViews>
    <sheetView workbookViewId="0">
      <selection activeCell="A19" sqref="A19"/>
    </sheetView>
  </sheetViews>
  <sheetFormatPr defaultRowHeight="14.5" x14ac:dyDescent="0.35"/>
  <cols>
    <col min="1" max="1" width="27.6328125" customWidth="1"/>
    <col min="2" max="2" width="15.08984375" customWidth="1"/>
    <col min="4" max="4" width="11.26953125" bestFit="1" customWidth="1"/>
    <col min="8" max="8" width="11.81640625" customWidth="1"/>
  </cols>
  <sheetData>
    <row r="3" spans="1:10" x14ac:dyDescent="0.35">
      <c r="A3" s="35" t="s">
        <v>43</v>
      </c>
    </row>
    <row r="4" spans="1:10" ht="15" thickBot="1" x14ac:dyDescent="0.4"/>
    <row r="5" spans="1:10" s="21" customFormat="1" ht="31.5" customHeight="1" x14ac:dyDescent="0.35">
      <c r="A5" s="22" t="s">
        <v>6</v>
      </c>
      <c r="B5" s="23"/>
      <c r="C5" s="23"/>
      <c r="D5" s="23" t="s">
        <v>32</v>
      </c>
      <c r="E5" s="23" t="s">
        <v>33</v>
      </c>
      <c r="F5" s="23" t="s">
        <v>3</v>
      </c>
      <c r="G5" s="23" t="s">
        <v>34</v>
      </c>
      <c r="H5" s="23" t="s">
        <v>35</v>
      </c>
      <c r="I5" s="23" t="s">
        <v>36</v>
      </c>
      <c r="J5" s="24" t="s">
        <v>37</v>
      </c>
    </row>
    <row r="6" spans="1:10" x14ac:dyDescent="0.35">
      <c r="A6" s="16" t="s">
        <v>28</v>
      </c>
      <c r="B6" s="25" t="s">
        <v>31</v>
      </c>
      <c r="C6" s="26">
        <v>913.26849289795382</v>
      </c>
      <c r="D6" s="27">
        <v>1733350.64</v>
      </c>
      <c r="E6" s="25">
        <v>-1.36</v>
      </c>
      <c r="F6" s="34">
        <f>D6*(C6^E6)</f>
        <v>163.10696213728849</v>
      </c>
      <c r="G6" s="34">
        <v>240</v>
      </c>
      <c r="H6" s="25">
        <v>1</v>
      </c>
      <c r="I6" s="25">
        <v>8</v>
      </c>
      <c r="J6" s="28">
        <v>3</v>
      </c>
    </row>
    <row r="7" spans="1:10" x14ac:dyDescent="0.35">
      <c r="A7" s="16" t="s">
        <v>29</v>
      </c>
      <c r="B7" s="25" t="s">
        <v>30</v>
      </c>
      <c r="C7" s="26">
        <v>1508.7255387686903</v>
      </c>
      <c r="D7" s="27">
        <v>1099135.82</v>
      </c>
      <c r="E7" s="25">
        <v>-1.25</v>
      </c>
      <c r="F7" s="34">
        <f>D7*(C7^E7)</f>
        <v>116.89301463165789</v>
      </c>
      <c r="G7" s="34">
        <v>300</v>
      </c>
      <c r="H7" s="25">
        <v>1</v>
      </c>
      <c r="I7" s="25">
        <v>10</v>
      </c>
      <c r="J7" s="28">
        <v>4</v>
      </c>
    </row>
    <row r="8" spans="1:10" x14ac:dyDescent="0.35">
      <c r="A8" s="16"/>
      <c r="J8" s="17"/>
    </row>
    <row r="9" spans="1:10" x14ac:dyDescent="0.35">
      <c r="A9" s="29" t="s">
        <v>38</v>
      </c>
      <c r="J9" s="17"/>
    </row>
    <row r="10" spans="1:10" x14ac:dyDescent="0.35">
      <c r="A10" s="16" t="s">
        <v>17</v>
      </c>
      <c r="B10" s="31">
        <f>((C6-G6)*F6) + ((C7-G7)*F7)</f>
        <v>251106.35066828292</v>
      </c>
      <c r="J10" s="17"/>
    </row>
    <row r="11" spans="1:10" x14ac:dyDescent="0.35">
      <c r="A11" s="16"/>
      <c r="J11" s="17"/>
    </row>
    <row r="12" spans="1:10" x14ac:dyDescent="0.35">
      <c r="A12" s="29" t="s">
        <v>24</v>
      </c>
      <c r="J12" s="17"/>
    </row>
    <row r="13" spans="1:10" x14ac:dyDescent="0.35">
      <c r="A13" s="16" t="s">
        <v>35</v>
      </c>
      <c r="B13" s="32">
        <f>SUMPRODUCT(F6:F7,H6:H7)</f>
        <v>279.9999767689464</v>
      </c>
      <c r="C13" s="25" t="s">
        <v>42</v>
      </c>
      <c r="D13" s="25">
        <v>280</v>
      </c>
      <c r="J13" s="17"/>
    </row>
    <row r="14" spans="1:10" x14ac:dyDescent="0.35">
      <c r="A14" s="16" t="s">
        <v>39</v>
      </c>
      <c r="B14" s="32">
        <f>SUMPRODUCT(F6:F7, I6:I7)</f>
        <v>2473.7858434148866</v>
      </c>
      <c r="C14" s="25" t="s">
        <v>42</v>
      </c>
      <c r="D14" s="25">
        <v>2600</v>
      </c>
      <c r="J14" s="17"/>
    </row>
    <row r="15" spans="1:10" ht="15" thickBot="1" x14ac:dyDescent="0.4">
      <c r="A15" s="18" t="s">
        <v>40</v>
      </c>
      <c r="B15" s="33">
        <f>SUMPRODUCT(F6:F7, J6:J7)</f>
        <v>956.89294493849707</v>
      </c>
      <c r="C15" s="30" t="s">
        <v>42</v>
      </c>
      <c r="D15" s="30">
        <v>1100</v>
      </c>
      <c r="E15" s="19"/>
      <c r="F15" s="19"/>
      <c r="G15" s="19"/>
      <c r="H15" s="19"/>
      <c r="I15" s="19"/>
      <c r="J15" s="20"/>
    </row>
    <row r="18" spans="1:1" x14ac:dyDescent="0.35">
      <c r="A18" t="s">
        <v>59</v>
      </c>
    </row>
    <row r="19" spans="1:1" x14ac:dyDescent="0.35">
      <c r="A19"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6FD18-3BE3-4345-B08C-3CC4D40ACD7C}">
  <dimension ref="A3:J18"/>
  <sheetViews>
    <sheetView topLeftCell="A2" workbookViewId="0">
      <selection activeCell="A18" sqref="A18:J18"/>
    </sheetView>
  </sheetViews>
  <sheetFormatPr defaultRowHeight="14.5" x14ac:dyDescent="0.35"/>
  <cols>
    <col min="1" max="1" width="28.36328125" customWidth="1"/>
    <col min="4" max="4" width="11.08984375" customWidth="1"/>
    <col min="8" max="8" width="13.54296875" customWidth="1"/>
  </cols>
  <sheetData>
    <row r="3" spans="1:10" ht="15" thickBot="1" x14ac:dyDescent="0.4"/>
    <row r="4" spans="1:10" ht="33" customHeight="1" x14ac:dyDescent="0.35">
      <c r="A4" s="22" t="s">
        <v>6</v>
      </c>
      <c r="B4" s="23"/>
      <c r="C4" s="23"/>
      <c r="D4" s="23" t="s">
        <v>32</v>
      </c>
      <c r="E4" s="23" t="s">
        <v>33</v>
      </c>
      <c r="F4" s="23" t="s">
        <v>3</v>
      </c>
      <c r="G4" s="23" t="s">
        <v>34</v>
      </c>
      <c r="H4" s="23" t="s">
        <v>35</v>
      </c>
      <c r="I4" s="23" t="s">
        <v>36</v>
      </c>
      <c r="J4" s="24" t="s">
        <v>37</v>
      </c>
    </row>
    <row r="5" spans="1:10" x14ac:dyDescent="0.35">
      <c r="A5" s="16" t="s">
        <v>28</v>
      </c>
      <c r="B5" s="25" t="s">
        <v>31</v>
      </c>
      <c r="C5" s="36">
        <v>1011.9924926757813</v>
      </c>
      <c r="D5" s="27">
        <v>1733350.64</v>
      </c>
      <c r="E5" s="25">
        <v>-1.36</v>
      </c>
      <c r="F5" s="37">
        <f>D5*(C5^E5)</f>
        <v>141.85521610954001</v>
      </c>
      <c r="G5" s="34">
        <v>240</v>
      </c>
      <c r="H5" s="25">
        <v>1</v>
      </c>
      <c r="I5" s="25">
        <v>8</v>
      </c>
      <c r="J5" s="28">
        <v>3</v>
      </c>
    </row>
    <row r="6" spans="1:10" x14ac:dyDescent="0.35">
      <c r="A6" s="16" t="s">
        <v>29</v>
      </c>
      <c r="B6" s="25" t="s">
        <v>30</v>
      </c>
      <c r="C6" s="36">
        <v>1320</v>
      </c>
      <c r="D6" s="27">
        <v>1099135.82</v>
      </c>
      <c r="E6" s="25">
        <v>-1.25</v>
      </c>
      <c r="F6" s="37">
        <f>D6*(C6^E6)</f>
        <v>138.14461087114964</v>
      </c>
      <c r="G6" s="34">
        <v>300</v>
      </c>
      <c r="H6" s="25">
        <v>1</v>
      </c>
      <c r="I6" s="25">
        <v>10</v>
      </c>
      <c r="J6" s="28">
        <v>4</v>
      </c>
    </row>
    <row r="7" spans="1:10" x14ac:dyDescent="0.35">
      <c r="A7" s="16"/>
      <c r="J7" s="17"/>
    </row>
    <row r="8" spans="1:10" x14ac:dyDescent="0.35">
      <c r="A8" s="29" t="s">
        <v>38</v>
      </c>
      <c r="J8" s="17"/>
    </row>
    <row r="9" spans="1:10" x14ac:dyDescent="0.35">
      <c r="A9" s="16" t="s">
        <v>17</v>
      </c>
      <c r="B9" s="31">
        <f>((C5-G5)*F5) + ((C6-G6)*F6)</f>
        <v>250418.66497203807</v>
      </c>
      <c r="J9" s="17"/>
    </row>
    <row r="10" spans="1:10" x14ac:dyDescent="0.35">
      <c r="A10" s="16"/>
      <c r="J10" s="17"/>
    </row>
    <row r="11" spans="1:10" x14ac:dyDescent="0.35">
      <c r="A11" s="29" t="s">
        <v>24</v>
      </c>
      <c r="J11" s="17"/>
    </row>
    <row r="12" spans="1:10" x14ac:dyDescent="0.35">
      <c r="A12" s="16" t="s">
        <v>35</v>
      </c>
      <c r="B12" s="38">
        <f>SUMPRODUCT(F5:F6,H5:H6)</f>
        <v>279.99982698068965</v>
      </c>
      <c r="C12" s="25" t="s">
        <v>42</v>
      </c>
      <c r="D12" s="25">
        <v>280</v>
      </c>
      <c r="J12" s="17"/>
    </row>
    <row r="13" spans="1:10" x14ac:dyDescent="0.35">
      <c r="A13" s="16" t="s">
        <v>39</v>
      </c>
      <c r="B13" s="38">
        <f>SUMPRODUCT(F5:F6, I5:I6)</f>
        <v>2516.2878375878163</v>
      </c>
      <c r="C13" s="25" t="s">
        <v>42</v>
      </c>
      <c r="D13" s="25">
        <v>2600</v>
      </c>
      <c r="J13" s="17"/>
    </row>
    <row r="14" spans="1:10" x14ac:dyDescent="0.35">
      <c r="A14" s="16" t="s">
        <v>40</v>
      </c>
      <c r="B14" s="38">
        <f>SUMPRODUCT(F5:F6, J5:J6)</f>
        <v>978.14409181321855</v>
      </c>
      <c r="C14" s="25" t="s">
        <v>42</v>
      </c>
      <c r="D14" s="25">
        <v>1100</v>
      </c>
      <c r="J14" s="17"/>
    </row>
    <row r="15" spans="1:10" x14ac:dyDescent="0.35">
      <c r="A15" s="16" t="s">
        <v>44</v>
      </c>
      <c r="B15" s="39">
        <f>C5</f>
        <v>1011.9924926757813</v>
      </c>
      <c r="C15" s="25" t="s">
        <v>42</v>
      </c>
      <c r="D15" s="25">
        <v>1100</v>
      </c>
      <c r="J15" s="17"/>
    </row>
    <row r="16" spans="1:10" ht="15" thickBot="1" x14ac:dyDescent="0.4">
      <c r="A16" s="18" t="s">
        <v>45</v>
      </c>
      <c r="B16" s="40">
        <f>C6</f>
        <v>1320</v>
      </c>
      <c r="C16" s="30" t="s">
        <v>42</v>
      </c>
      <c r="D16" s="30">
        <v>1320</v>
      </c>
      <c r="E16" s="19"/>
      <c r="F16" s="19"/>
      <c r="G16" s="19"/>
      <c r="H16" s="19"/>
      <c r="I16" s="19"/>
      <c r="J16" s="20"/>
    </row>
    <row r="18" spans="1:10" ht="36.5" customHeight="1" x14ac:dyDescent="0.35">
      <c r="A18" s="62" t="s">
        <v>61</v>
      </c>
      <c r="B18" s="62"/>
      <c r="C18" s="62"/>
      <c r="D18" s="62"/>
      <c r="E18" s="62"/>
      <c r="F18" s="62"/>
      <c r="G18" s="62"/>
      <c r="H18" s="62"/>
      <c r="I18" s="62"/>
      <c r="J18" s="62"/>
    </row>
  </sheetData>
  <mergeCells count="1">
    <mergeCell ref="A18:J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49A3C-E870-4CF0-AE7A-D57932CC65F2}">
  <dimension ref="A1:B15"/>
  <sheetViews>
    <sheetView workbookViewId="0"/>
  </sheetViews>
  <sheetFormatPr defaultRowHeight="14.5" x14ac:dyDescent="0.35"/>
  <sheetData>
    <row r="1" spans="1:2" x14ac:dyDescent="0.35">
      <c r="A1">
        <v>1</v>
      </c>
    </row>
    <row r="2" spans="1:2" x14ac:dyDescent="0.35">
      <c r="A2" t="s">
        <v>46</v>
      </c>
    </row>
    <row r="3" spans="1:2" x14ac:dyDescent="0.35">
      <c r="A3">
        <v>1</v>
      </c>
    </row>
    <row r="4" spans="1:2" x14ac:dyDescent="0.35">
      <c r="A4">
        <v>500</v>
      </c>
    </row>
    <row r="5" spans="1:2" x14ac:dyDescent="0.35">
      <c r="A5">
        <v>1500</v>
      </c>
    </row>
    <row r="6" spans="1:2" x14ac:dyDescent="0.35">
      <c r="A6">
        <v>20</v>
      </c>
    </row>
    <row r="8" spans="1:2" x14ac:dyDescent="0.35">
      <c r="A8" s="41"/>
      <c r="B8" s="41"/>
    </row>
    <row r="9" spans="1:2" x14ac:dyDescent="0.35">
      <c r="A9" t="s">
        <v>47</v>
      </c>
    </row>
    <row r="10" spans="1:2" x14ac:dyDescent="0.35">
      <c r="A10" t="s">
        <v>37</v>
      </c>
    </row>
    <row r="15" spans="1:2" x14ac:dyDescent="0.35">
      <c r="B15"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A741B-A9EE-4808-BDC9-85F4943082E0}">
  <dimension ref="A1:K60"/>
  <sheetViews>
    <sheetView topLeftCell="A18" zoomScale="75" workbookViewId="0">
      <selection activeCell="J23" sqref="J23"/>
    </sheetView>
  </sheetViews>
  <sheetFormatPr defaultRowHeight="14.5" x14ac:dyDescent="0.35"/>
  <sheetData>
    <row r="1" spans="1:11" x14ac:dyDescent="0.35">
      <c r="B1" t="s">
        <v>62</v>
      </c>
    </row>
    <row r="2" spans="1:11" x14ac:dyDescent="0.35">
      <c r="B2" t="s">
        <v>63</v>
      </c>
    </row>
    <row r="3" spans="1:11" ht="60" customHeight="1" x14ac:dyDescent="0.35">
      <c r="B3" s="62" t="s">
        <v>64</v>
      </c>
      <c r="C3" s="62"/>
      <c r="D3" s="62"/>
      <c r="E3" s="62"/>
      <c r="F3" s="62"/>
      <c r="G3" s="62"/>
      <c r="H3" s="62"/>
      <c r="I3" s="62"/>
      <c r="J3" s="62"/>
      <c r="K3" s="62"/>
    </row>
    <row r="6" spans="1:11" x14ac:dyDescent="0.35">
      <c r="A6" s="12" t="s">
        <v>48</v>
      </c>
      <c r="I6" s="47" t="str">
        <f>CONCATENATE("Sensitivity of ",$I$9," to ","Labor hours")</f>
        <v>Sensitivity of $B$9 to Labor hours</v>
      </c>
    </row>
    <row r="8" spans="1:11" x14ac:dyDescent="0.35">
      <c r="A8" t="s">
        <v>49</v>
      </c>
      <c r="I8" t="s">
        <v>55</v>
      </c>
    </row>
    <row r="9" spans="1:11" ht="27" x14ac:dyDescent="0.35">
      <c r="B9" s="42" t="s">
        <v>50</v>
      </c>
      <c r="C9" s="42" t="s">
        <v>51</v>
      </c>
      <c r="D9" s="42" t="s">
        <v>52</v>
      </c>
      <c r="E9" s="42" t="s">
        <v>53</v>
      </c>
      <c r="F9" s="42" t="s">
        <v>54</v>
      </c>
      <c r="H9" s="47">
        <f>MATCH($I$9,OutputAddresses,0)</f>
        <v>1</v>
      </c>
      <c r="I9" s="46" t="s">
        <v>50</v>
      </c>
    </row>
    <row r="10" spans="1:11" x14ac:dyDescent="0.35">
      <c r="A10">
        <v>500</v>
      </c>
      <c r="B10" s="48" t="s">
        <v>56</v>
      </c>
      <c r="C10" s="43"/>
      <c r="D10" s="43"/>
      <c r="E10" s="43"/>
      <c r="F10" s="44"/>
      <c r="I10" t="str">
        <f>INDEX(OutputValues,1,$H$9)</f>
        <v>Not feasible</v>
      </c>
    </row>
    <row r="11" spans="1:11" x14ac:dyDescent="0.35">
      <c r="A11">
        <v>520</v>
      </c>
      <c r="B11" s="49" t="s">
        <v>56</v>
      </c>
      <c r="F11" s="45"/>
      <c r="I11" t="str">
        <f>INDEX(OutputValues,2,$H$9)</f>
        <v>Not feasible</v>
      </c>
    </row>
    <row r="12" spans="1:11" x14ac:dyDescent="0.35">
      <c r="A12">
        <v>540</v>
      </c>
      <c r="B12" s="49" t="s">
        <v>56</v>
      </c>
      <c r="F12" s="45"/>
      <c r="I12" t="str">
        <f>INDEX(OutputValues,3,$H$9)</f>
        <v>Not feasible</v>
      </c>
    </row>
    <row r="13" spans="1:11" x14ac:dyDescent="0.35">
      <c r="A13">
        <v>560</v>
      </c>
      <c r="B13" s="49" t="s">
        <v>56</v>
      </c>
      <c r="F13" s="45"/>
      <c r="I13" t="str">
        <f>INDEX(OutputValues,4,$H$9)</f>
        <v>Not feasible</v>
      </c>
    </row>
    <row r="14" spans="1:11" x14ac:dyDescent="0.35">
      <c r="A14">
        <v>580</v>
      </c>
      <c r="B14" s="49" t="s">
        <v>56</v>
      </c>
      <c r="F14" s="45"/>
      <c r="I14" t="str">
        <f>INDEX(OutputValues,5,$H$9)</f>
        <v>Not feasible</v>
      </c>
    </row>
    <row r="15" spans="1:11" x14ac:dyDescent="0.35">
      <c r="A15">
        <v>600</v>
      </c>
      <c r="B15" s="49" t="s">
        <v>56</v>
      </c>
      <c r="F15" s="45"/>
      <c r="I15" t="str">
        <f>INDEX(OutputValues,6,$H$9)</f>
        <v>Not feasible</v>
      </c>
    </row>
    <row r="16" spans="1:11" x14ac:dyDescent="0.35">
      <c r="A16">
        <v>620</v>
      </c>
      <c r="B16" s="49" t="s">
        <v>56</v>
      </c>
      <c r="F16" s="45"/>
      <c r="I16" t="str">
        <f>INDEX(OutputValues,7,$H$9)</f>
        <v>Not feasible</v>
      </c>
    </row>
    <row r="17" spans="1:9" x14ac:dyDescent="0.35">
      <c r="A17">
        <v>640</v>
      </c>
      <c r="B17" s="49" t="s">
        <v>56</v>
      </c>
      <c r="F17" s="45"/>
      <c r="I17" t="str">
        <f>INDEX(OutputValues,8,$H$9)</f>
        <v>Not feasible</v>
      </c>
    </row>
    <row r="18" spans="1:9" x14ac:dyDescent="0.35">
      <c r="A18">
        <v>660</v>
      </c>
      <c r="B18" s="49" t="s">
        <v>56</v>
      </c>
      <c r="F18" s="45"/>
      <c r="I18" t="str">
        <f>INDEX(OutputValues,9,$H$9)</f>
        <v>Not feasible</v>
      </c>
    </row>
    <row r="19" spans="1:9" x14ac:dyDescent="0.35">
      <c r="A19">
        <v>680</v>
      </c>
      <c r="B19" s="49" t="s">
        <v>56</v>
      </c>
      <c r="F19" s="45"/>
      <c r="I19" t="str">
        <f>INDEX(OutputValues,10,$H$9)</f>
        <v>Not feasible</v>
      </c>
    </row>
    <row r="20" spans="1:9" x14ac:dyDescent="0.35">
      <c r="A20">
        <v>700</v>
      </c>
      <c r="B20" s="49" t="s">
        <v>56</v>
      </c>
      <c r="F20" s="45"/>
      <c r="I20" t="str">
        <f>INDEX(OutputValues,11,$H$9)</f>
        <v>Not feasible</v>
      </c>
    </row>
    <row r="21" spans="1:9" x14ac:dyDescent="0.35">
      <c r="A21">
        <v>720</v>
      </c>
      <c r="B21" s="49" t="s">
        <v>56</v>
      </c>
      <c r="F21" s="45"/>
      <c r="I21" t="str">
        <f>INDEX(OutputValues,12,$H$9)</f>
        <v>Not feasible</v>
      </c>
    </row>
    <row r="22" spans="1:9" x14ac:dyDescent="0.35">
      <c r="A22">
        <v>740</v>
      </c>
      <c r="B22" s="49" t="s">
        <v>56</v>
      </c>
      <c r="F22" s="45"/>
      <c r="I22" t="str">
        <f>INDEX(OutputValues,13,$H$9)</f>
        <v>Not feasible</v>
      </c>
    </row>
    <row r="23" spans="1:9" x14ac:dyDescent="0.35">
      <c r="A23">
        <v>760</v>
      </c>
      <c r="B23" s="49" t="s">
        <v>56</v>
      </c>
      <c r="F23" s="45"/>
      <c r="I23" t="str">
        <f>INDEX(OutputValues,14,$H$9)</f>
        <v>Not feasible</v>
      </c>
    </row>
    <row r="24" spans="1:9" x14ac:dyDescent="0.35">
      <c r="A24">
        <v>780</v>
      </c>
      <c r="B24" s="49" t="s">
        <v>56</v>
      </c>
      <c r="F24" s="45"/>
      <c r="I24" t="str">
        <f>INDEX(OutputValues,15,$H$9)</f>
        <v>Not feasible</v>
      </c>
    </row>
    <row r="25" spans="1:9" x14ac:dyDescent="0.35">
      <c r="A25">
        <v>800</v>
      </c>
      <c r="B25" s="49" t="s">
        <v>56</v>
      </c>
      <c r="F25" s="45"/>
      <c r="I25" t="str">
        <f>INDEX(OutputValues,16,$H$9)</f>
        <v>Not feasible</v>
      </c>
    </row>
    <row r="26" spans="1:9" x14ac:dyDescent="0.35">
      <c r="A26">
        <v>820</v>
      </c>
      <c r="B26" s="49" t="s">
        <v>56</v>
      </c>
      <c r="F26" s="45"/>
      <c r="I26" t="str">
        <f>INDEX(OutputValues,17,$H$9)</f>
        <v>Not feasible</v>
      </c>
    </row>
    <row r="27" spans="1:9" x14ac:dyDescent="0.35">
      <c r="A27">
        <v>840</v>
      </c>
      <c r="B27" s="49" t="s">
        <v>56</v>
      </c>
      <c r="F27" s="45"/>
      <c r="I27" t="str">
        <f>INDEX(OutputValues,18,$H$9)</f>
        <v>Not feasible</v>
      </c>
    </row>
    <row r="28" spans="1:9" x14ac:dyDescent="0.35">
      <c r="A28">
        <v>860</v>
      </c>
      <c r="B28" s="49" t="s">
        <v>56</v>
      </c>
      <c r="F28" s="45"/>
      <c r="I28" t="str">
        <f>INDEX(OutputValues,19,$H$9)</f>
        <v>Not feasible</v>
      </c>
    </row>
    <row r="29" spans="1:9" x14ac:dyDescent="0.35">
      <c r="A29">
        <v>880</v>
      </c>
      <c r="B29" s="49" t="s">
        <v>56</v>
      </c>
      <c r="F29" s="45"/>
      <c r="I29" t="str">
        <f>INDEX(OutputValues,20,$H$9)</f>
        <v>Not feasible</v>
      </c>
    </row>
    <row r="30" spans="1:9" x14ac:dyDescent="0.35">
      <c r="A30">
        <v>900</v>
      </c>
      <c r="B30" s="49" t="s">
        <v>56</v>
      </c>
      <c r="F30" s="45"/>
      <c r="I30" t="str">
        <f>INDEX(OutputValues,21,$H$9)</f>
        <v>Not feasible</v>
      </c>
    </row>
    <row r="31" spans="1:9" x14ac:dyDescent="0.35">
      <c r="A31">
        <v>920</v>
      </c>
      <c r="B31" s="49" t="s">
        <v>56</v>
      </c>
      <c r="F31" s="45"/>
      <c r="I31" t="str">
        <f>INDEX(OutputValues,22,$H$9)</f>
        <v>Not feasible</v>
      </c>
    </row>
    <row r="32" spans="1:9" x14ac:dyDescent="0.35">
      <c r="A32">
        <v>940</v>
      </c>
      <c r="B32" s="50">
        <v>249945.73454474309</v>
      </c>
      <c r="C32" s="51">
        <v>1084.3380047381838</v>
      </c>
      <c r="D32" s="51">
        <v>1320</v>
      </c>
      <c r="E32" s="51">
        <v>129.14049923641838</v>
      </c>
      <c r="F32" s="52">
        <v>138.14461087114964</v>
      </c>
      <c r="I32">
        <f>INDEX(OutputValues,23,$H$9)</f>
        <v>249945.73454474309</v>
      </c>
    </row>
    <row r="33" spans="1:9" x14ac:dyDescent="0.35">
      <c r="A33">
        <v>960</v>
      </c>
      <c r="B33" s="50">
        <v>250224.00649564344</v>
      </c>
      <c r="C33" s="51">
        <v>1044.9384811928858</v>
      </c>
      <c r="D33" s="51">
        <v>1320</v>
      </c>
      <c r="E33" s="51">
        <v>135.80727715373754</v>
      </c>
      <c r="F33" s="52">
        <v>138.14461087114964</v>
      </c>
      <c r="I33">
        <f>INDEX(OutputValues,24,$H$9)</f>
        <v>250224.00649564344</v>
      </c>
    </row>
    <row r="34" spans="1:9" x14ac:dyDescent="0.35">
      <c r="A34">
        <v>980</v>
      </c>
      <c r="B34" s="50">
        <v>250418.66497203807</v>
      </c>
      <c r="C34" s="51">
        <v>1011.9924926757813</v>
      </c>
      <c r="D34" s="51">
        <v>1320</v>
      </c>
      <c r="E34" s="51">
        <v>141.85521610954001</v>
      </c>
      <c r="F34" s="52">
        <v>138.14461087114964</v>
      </c>
      <c r="I34">
        <f>INDEX(OutputValues,25,$H$9)</f>
        <v>250418.66497203807</v>
      </c>
    </row>
    <row r="35" spans="1:9" x14ac:dyDescent="0.35">
      <c r="A35">
        <v>1000</v>
      </c>
      <c r="B35" s="50">
        <v>250418.66497203807</v>
      </c>
      <c r="C35" s="51">
        <v>1011.9924926757813</v>
      </c>
      <c r="D35" s="51">
        <v>1320</v>
      </c>
      <c r="E35" s="51">
        <v>141.85521610954001</v>
      </c>
      <c r="F35" s="52">
        <v>138.14461087114964</v>
      </c>
      <c r="I35">
        <f>INDEX(OutputValues,26,$H$9)</f>
        <v>250418.66497203807</v>
      </c>
    </row>
    <row r="36" spans="1:9" x14ac:dyDescent="0.35">
      <c r="A36">
        <v>1020</v>
      </c>
      <c r="B36" s="50">
        <v>250418.66497203807</v>
      </c>
      <c r="C36" s="51">
        <v>1011.9924926757813</v>
      </c>
      <c r="D36" s="51">
        <v>1320</v>
      </c>
      <c r="E36" s="51">
        <v>141.85521610954001</v>
      </c>
      <c r="F36" s="52">
        <v>138.14461087114964</v>
      </c>
      <c r="I36">
        <f>INDEX(OutputValues,27,$H$9)</f>
        <v>250418.66497203807</v>
      </c>
    </row>
    <row r="37" spans="1:9" x14ac:dyDescent="0.35">
      <c r="A37">
        <v>1040</v>
      </c>
      <c r="B37" s="50">
        <v>250418.66497203807</v>
      </c>
      <c r="C37" s="51">
        <v>1011.9924926757813</v>
      </c>
      <c r="D37" s="51">
        <v>1320</v>
      </c>
      <c r="E37" s="51">
        <v>141.85521610954001</v>
      </c>
      <c r="F37" s="52">
        <v>138.14461087114964</v>
      </c>
      <c r="I37">
        <f>INDEX(OutputValues,28,$H$9)</f>
        <v>250418.66497203807</v>
      </c>
    </row>
    <row r="38" spans="1:9" x14ac:dyDescent="0.35">
      <c r="A38">
        <v>1060</v>
      </c>
      <c r="B38" s="50">
        <v>250418.66497203807</v>
      </c>
      <c r="C38" s="51">
        <v>1011.9924926757813</v>
      </c>
      <c r="D38" s="51">
        <v>1320</v>
      </c>
      <c r="E38" s="51">
        <v>141.85521610954001</v>
      </c>
      <c r="F38" s="52">
        <v>138.14461087114964</v>
      </c>
      <c r="I38">
        <f>INDEX(OutputValues,29,$H$9)</f>
        <v>250418.66497203807</v>
      </c>
    </row>
    <row r="39" spans="1:9" x14ac:dyDescent="0.35">
      <c r="A39">
        <v>1080</v>
      </c>
      <c r="B39" s="50">
        <v>250418.66497203807</v>
      </c>
      <c r="C39" s="51">
        <v>1011.9924926757813</v>
      </c>
      <c r="D39" s="51">
        <v>1320</v>
      </c>
      <c r="E39" s="51">
        <v>141.85521610954001</v>
      </c>
      <c r="F39" s="52">
        <v>138.14461087114964</v>
      </c>
      <c r="I39">
        <f>INDEX(OutputValues,30,$H$9)</f>
        <v>250418.66497203807</v>
      </c>
    </row>
    <row r="40" spans="1:9" x14ac:dyDescent="0.35">
      <c r="A40">
        <v>1100</v>
      </c>
      <c r="B40" s="50">
        <v>250418.66497203807</v>
      </c>
      <c r="C40" s="51">
        <v>1011.9924926757813</v>
      </c>
      <c r="D40" s="51">
        <v>1320</v>
      </c>
      <c r="E40" s="51">
        <v>141.85521610954001</v>
      </c>
      <c r="F40" s="52">
        <v>138.14461087114964</v>
      </c>
      <c r="I40">
        <f>INDEX(OutputValues,31,$H$9)</f>
        <v>250418.66497203807</v>
      </c>
    </row>
    <row r="41" spans="1:9" x14ac:dyDescent="0.35">
      <c r="A41">
        <v>1120</v>
      </c>
      <c r="B41" s="50">
        <v>250418.66497203807</v>
      </c>
      <c r="C41" s="51">
        <v>1011.9924926757813</v>
      </c>
      <c r="D41" s="51">
        <v>1320</v>
      </c>
      <c r="E41" s="51">
        <v>141.85521610954001</v>
      </c>
      <c r="F41" s="52">
        <v>138.14461087114964</v>
      </c>
      <c r="I41">
        <f>INDEX(OutputValues,32,$H$9)</f>
        <v>250418.66497203807</v>
      </c>
    </row>
    <row r="42" spans="1:9" x14ac:dyDescent="0.35">
      <c r="A42">
        <v>1140</v>
      </c>
      <c r="B42" s="50">
        <v>250418.66497203807</v>
      </c>
      <c r="C42" s="51">
        <v>1011.9924926757813</v>
      </c>
      <c r="D42" s="51">
        <v>1320</v>
      </c>
      <c r="E42" s="51">
        <v>141.85521610954001</v>
      </c>
      <c r="F42" s="52">
        <v>138.14461087114964</v>
      </c>
      <c r="I42">
        <f>INDEX(OutputValues,33,$H$9)</f>
        <v>250418.66497203807</v>
      </c>
    </row>
    <row r="43" spans="1:9" x14ac:dyDescent="0.35">
      <c r="A43">
        <v>1160</v>
      </c>
      <c r="B43" s="50">
        <v>250418.66497203807</v>
      </c>
      <c r="C43" s="51">
        <v>1011.9924926757813</v>
      </c>
      <c r="D43" s="51">
        <v>1320</v>
      </c>
      <c r="E43" s="51">
        <v>141.85521610954001</v>
      </c>
      <c r="F43" s="52">
        <v>138.14461087114964</v>
      </c>
      <c r="I43">
        <f>INDEX(OutputValues,34,$H$9)</f>
        <v>250418.66497203807</v>
      </c>
    </row>
    <row r="44" spans="1:9" x14ac:dyDescent="0.35">
      <c r="A44">
        <v>1180</v>
      </c>
      <c r="B44" s="50">
        <v>250418.66497203807</v>
      </c>
      <c r="C44" s="51">
        <v>1011.9924926757813</v>
      </c>
      <c r="D44" s="51">
        <v>1320</v>
      </c>
      <c r="E44" s="51">
        <v>141.85521610954001</v>
      </c>
      <c r="F44" s="52">
        <v>138.14461087114964</v>
      </c>
      <c r="I44">
        <f>INDEX(OutputValues,35,$H$9)</f>
        <v>250418.66497203807</v>
      </c>
    </row>
    <row r="45" spans="1:9" x14ac:dyDescent="0.35">
      <c r="A45">
        <v>1200</v>
      </c>
      <c r="B45" s="50">
        <v>250418.66497203807</v>
      </c>
      <c r="C45" s="51">
        <v>1011.9924926757813</v>
      </c>
      <c r="D45" s="51">
        <v>1320</v>
      </c>
      <c r="E45" s="51">
        <v>141.85521610954001</v>
      </c>
      <c r="F45" s="52">
        <v>138.14461087114964</v>
      </c>
      <c r="I45">
        <f>INDEX(OutputValues,36,$H$9)</f>
        <v>250418.66497203807</v>
      </c>
    </row>
    <row r="46" spans="1:9" x14ac:dyDescent="0.35">
      <c r="A46">
        <v>1220</v>
      </c>
      <c r="B46" s="50">
        <v>250418.66497203807</v>
      </c>
      <c r="C46" s="51">
        <v>1011.9924926757813</v>
      </c>
      <c r="D46" s="51">
        <v>1320</v>
      </c>
      <c r="E46" s="51">
        <v>141.85521610954001</v>
      </c>
      <c r="F46" s="52">
        <v>138.14461087114964</v>
      </c>
      <c r="I46">
        <f>INDEX(OutputValues,37,$H$9)</f>
        <v>250418.66497203807</v>
      </c>
    </row>
    <row r="47" spans="1:9" x14ac:dyDescent="0.35">
      <c r="A47">
        <v>1240</v>
      </c>
      <c r="B47" s="50">
        <v>250418.66497203807</v>
      </c>
      <c r="C47" s="51">
        <v>1011.9924926757813</v>
      </c>
      <c r="D47" s="51">
        <v>1320</v>
      </c>
      <c r="E47" s="51">
        <v>141.85521610954001</v>
      </c>
      <c r="F47" s="52">
        <v>138.14461087114964</v>
      </c>
      <c r="I47">
        <f>INDEX(OutputValues,38,$H$9)</f>
        <v>250418.66497203807</v>
      </c>
    </row>
    <row r="48" spans="1:9" x14ac:dyDescent="0.35">
      <c r="A48">
        <v>1260</v>
      </c>
      <c r="B48" s="50">
        <v>250418.66497203807</v>
      </c>
      <c r="C48" s="51">
        <v>1011.9924926757813</v>
      </c>
      <c r="D48" s="51">
        <v>1320</v>
      </c>
      <c r="E48" s="51">
        <v>141.85521610954001</v>
      </c>
      <c r="F48" s="52">
        <v>138.14461087114964</v>
      </c>
      <c r="I48">
        <f>INDEX(OutputValues,39,$H$9)</f>
        <v>250418.66497203807</v>
      </c>
    </row>
    <row r="49" spans="1:9" x14ac:dyDescent="0.35">
      <c r="A49">
        <v>1280</v>
      </c>
      <c r="B49" s="50">
        <v>250418.66497203807</v>
      </c>
      <c r="C49" s="51">
        <v>1011.9924926757813</v>
      </c>
      <c r="D49" s="51">
        <v>1320</v>
      </c>
      <c r="E49" s="51">
        <v>141.85521610954001</v>
      </c>
      <c r="F49" s="52">
        <v>138.14461087114964</v>
      </c>
      <c r="I49">
        <f>INDEX(OutputValues,40,$H$9)</f>
        <v>250418.66497203807</v>
      </c>
    </row>
    <row r="50" spans="1:9" x14ac:dyDescent="0.35">
      <c r="A50">
        <v>1300</v>
      </c>
      <c r="B50" s="50">
        <v>250418.66497203807</v>
      </c>
      <c r="C50" s="51">
        <v>1011.9924926757813</v>
      </c>
      <c r="D50" s="51">
        <v>1320</v>
      </c>
      <c r="E50" s="51">
        <v>141.85521610954001</v>
      </c>
      <c r="F50" s="52">
        <v>138.14461087114964</v>
      </c>
      <c r="I50">
        <f>INDEX(OutputValues,41,$H$9)</f>
        <v>250418.66497203807</v>
      </c>
    </row>
    <row r="51" spans="1:9" x14ac:dyDescent="0.35">
      <c r="A51">
        <v>1320</v>
      </c>
      <c r="B51" s="50">
        <v>250418.66497203807</v>
      </c>
      <c r="C51" s="51">
        <v>1011.9924926757813</v>
      </c>
      <c r="D51" s="51">
        <v>1320</v>
      </c>
      <c r="E51" s="51">
        <v>141.85521610954001</v>
      </c>
      <c r="F51" s="52">
        <v>138.14461087114964</v>
      </c>
      <c r="I51">
        <f>INDEX(OutputValues,42,$H$9)</f>
        <v>250418.66497203807</v>
      </c>
    </row>
    <row r="52" spans="1:9" x14ac:dyDescent="0.35">
      <c r="A52">
        <v>1340</v>
      </c>
      <c r="B52" s="50">
        <v>250418.66497203807</v>
      </c>
      <c r="C52" s="51">
        <v>1011.9924926757813</v>
      </c>
      <c r="D52" s="51">
        <v>1320</v>
      </c>
      <c r="E52" s="51">
        <v>141.85521610954001</v>
      </c>
      <c r="F52" s="52">
        <v>138.14461087114964</v>
      </c>
      <c r="I52">
        <f>INDEX(OutputValues,43,$H$9)</f>
        <v>250418.66497203807</v>
      </c>
    </row>
    <row r="53" spans="1:9" x14ac:dyDescent="0.35">
      <c r="A53">
        <v>1360</v>
      </c>
      <c r="B53" s="50">
        <v>250418.66497203807</v>
      </c>
      <c r="C53" s="51">
        <v>1011.9924926757813</v>
      </c>
      <c r="D53" s="51">
        <v>1320</v>
      </c>
      <c r="E53" s="51">
        <v>141.85521610954001</v>
      </c>
      <c r="F53" s="52">
        <v>138.14461087114964</v>
      </c>
      <c r="I53">
        <f>INDEX(OutputValues,44,$H$9)</f>
        <v>250418.66497203807</v>
      </c>
    </row>
    <row r="54" spans="1:9" x14ac:dyDescent="0.35">
      <c r="A54">
        <v>1380</v>
      </c>
      <c r="B54" s="50">
        <v>250418.66497203807</v>
      </c>
      <c r="C54" s="51">
        <v>1011.9924926757813</v>
      </c>
      <c r="D54" s="51">
        <v>1320</v>
      </c>
      <c r="E54" s="51">
        <v>141.85521610954001</v>
      </c>
      <c r="F54" s="52">
        <v>138.14461087114964</v>
      </c>
      <c r="I54">
        <f>INDEX(OutputValues,45,$H$9)</f>
        <v>250418.66497203807</v>
      </c>
    </row>
    <row r="55" spans="1:9" x14ac:dyDescent="0.35">
      <c r="A55">
        <v>1400</v>
      </c>
      <c r="B55" s="50">
        <v>250418.66497203807</v>
      </c>
      <c r="C55" s="51">
        <v>1011.9924926757813</v>
      </c>
      <c r="D55" s="51">
        <v>1320</v>
      </c>
      <c r="E55" s="51">
        <v>141.85521610954001</v>
      </c>
      <c r="F55" s="52">
        <v>138.14461087114964</v>
      </c>
      <c r="I55">
        <f>INDEX(OutputValues,46,$H$9)</f>
        <v>250418.66497203807</v>
      </c>
    </row>
    <row r="56" spans="1:9" x14ac:dyDescent="0.35">
      <c r="A56">
        <v>1420</v>
      </c>
      <c r="B56" s="50">
        <v>250418.66497203807</v>
      </c>
      <c r="C56" s="51">
        <v>1011.9924926757813</v>
      </c>
      <c r="D56" s="51">
        <v>1320</v>
      </c>
      <c r="E56" s="51">
        <v>141.85521610954001</v>
      </c>
      <c r="F56" s="52">
        <v>138.14461087114964</v>
      </c>
      <c r="I56">
        <f>INDEX(OutputValues,47,$H$9)</f>
        <v>250418.66497203807</v>
      </c>
    </row>
    <row r="57" spans="1:9" x14ac:dyDescent="0.35">
      <c r="A57">
        <v>1440</v>
      </c>
      <c r="B57" s="50">
        <v>250418.66497203807</v>
      </c>
      <c r="C57" s="51">
        <v>1011.9924926757813</v>
      </c>
      <c r="D57" s="51">
        <v>1320</v>
      </c>
      <c r="E57" s="51">
        <v>141.85521610954001</v>
      </c>
      <c r="F57" s="52">
        <v>138.14461087114964</v>
      </c>
      <c r="I57">
        <f>INDEX(OutputValues,48,$H$9)</f>
        <v>250418.66497203807</v>
      </c>
    </row>
    <row r="58" spans="1:9" x14ac:dyDescent="0.35">
      <c r="A58">
        <v>1460</v>
      </c>
      <c r="B58" s="50">
        <v>250418.66497203807</v>
      </c>
      <c r="C58" s="51">
        <v>1011.9924926757813</v>
      </c>
      <c r="D58" s="51">
        <v>1320</v>
      </c>
      <c r="E58" s="51">
        <v>141.85521610954001</v>
      </c>
      <c r="F58" s="52">
        <v>138.14461087114964</v>
      </c>
      <c r="I58">
        <f>INDEX(OutputValues,49,$H$9)</f>
        <v>250418.66497203807</v>
      </c>
    </row>
    <row r="59" spans="1:9" x14ac:dyDescent="0.35">
      <c r="A59">
        <v>1480</v>
      </c>
      <c r="B59" s="50">
        <v>250418.66497203807</v>
      </c>
      <c r="C59" s="51">
        <v>1011.9924926757813</v>
      </c>
      <c r="D59" s="51">
        <v>1320</v>
      </c>
      <c r="E59" s="51">
        <v>141.85521610954001</v>
      </c>
      <c r="F59" s="52">
        <v>138.14461087114964</v>
      </c>
      <c r="I59">
        <f>INDEX(OutputValues,50,$H$9)</f>
        <v>250418.66497203807</v>
      </c>
    </row>
    <row r="60" spans="1:9" x14ac:dyDescent="0.35">
      <c r="A60">
        <v>1500</v>
      </c>
      <c r="B60" s="53">
        <v>250418.66497203807</v>
      </c>
      <c r="C60" s="54">
        <v>1011.9924926757813</v>
      </c>
      <c r="D60" s="54">
        <v>1320</v>
      </c>
      <c r="E60" s="54">
        <v>141.85521610954001</v>
      </c>
      <c r="F60" s="55">
        <v>138.14461087114964</v>
      </c>
      <c r="I60">
        <f>INDEX(OutputValues,51,$H$9)</f>
        <v>250418.66497203807</v>
      </c>
    </row>
  </sheetData>
  <mergeCells count="1">
    <mergeCell ref="B3:K3"/>
  </mergeCells>
  <dataValidations count="1">
    <dataValidation type="list" allowBlank="1" showInputMessage="1" showErrorMessage="1" sqref="I9" xr:uid="{CBF5098D-1E8D-4F29-9541-0A4005F4EBAF}">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Demand equations</vt:lpstr>
      <vt:lpstr>NLP Model</vt:lpstr>
      <vt:lpstr>Spreadsheet model</vt:lpstr>
      <vt:lpstr>A few more constraints</vt:lpstr>
      <vt:lpstr>Solver table one way analysis</vt:lpstr>
      <vt:lpstr>'Solver table one way analysis'!ChartData</vt:lpstr>
      <vt:lpstr>'Solver table one way analysis'!InputValues</vt:lpstr>
      <vt:lpstr>'Solver table one way analysis'!OutputAddresses</vt:lpstr>
      <vt:lpstr>'Solver table one way analysis'!OutputValues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Vijay</dc:creator>
  <cp:lastModifiedBy>Garima Vijay</cp:lastModifiedBy>
  <dcterms:created xsi:type="dcterms:W3CDTF">2024-02-16T23:23:41Z</dcterms:created>
  <dcterms:modified xsi:type="dcterms:W3CDTF">2024-02-23T03:16:05Z</dcterms:modified>
</cp:coreProperties>
</file>