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1482bb1d6e4f73/Desktop/MSBA/2nd semester/Optimization/Case study1/"/>
    </mc:Choice>
  </mc:AlternateContent>
  <xr:revisionPtr revIDLastSave="2460" documentId="8_{595B902A-E5AB-4E46-9B4D-E18225B26632}" xr6:coauthVersionLast="47" xr6:coauthVersionMax="47" xr10:uidLastSave="{1D613AF1-7F33-425F-A599-DBF079FC8647}"/>
  <bookViews>
    <workbookView xWindow="-110" yWindow="-110" windowWidth="19420" windowHeight="11500" activeTab="1" xr2:uid="{6F0CD253-04EB-45F4-A604-A56F98FF47C6}"/>
  </bookViews>
  <sheets>
    <sheet name="Sol 1. " sheetId="3" r:id="rId1"/>
    <sheet name="Sol 2. " sheetId="1" r:id="rId2"/>
    <sheet name="Sol 3." sheetId="4" r:id="rId3"/>
    <sheet name="Sol 4." sheetId="7" r:id="rId4"/>
    <sheet name="Sol 4._STS" sheetId="9" state="veryHidden" r:id="rId5"/>
    <sheet name="Sol 5." sheetId="10" r:id="rId6"/>
  </sheets>
  <definedNames>
    <definedName name="ChartData" localSheetId="5">'Sol 5.'!$K$5:$K$25</definedName>
    <definedName name="InputValues" localSheetId="5">'Sol 5.'!$A$5:$A$25</definedName>
    <definedName name="OutputAddresses" localSheetId="5">'Sol 5.'!$B$4:$H$4</definedName>
    <definedName name="OutputValues" localSheetId="5">'Sol 5.'!$B$5:$H$25</definedName>
    <definedName name="solver_adj" localSheetId="1" hidden="1">'Sol 2. '!$D$3:$D$8</definedName>
    <definedName name="solver_adj" localSheetId="3" hidden="1">'Sol 4.'!$D$3:$D$8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2</definedName>
    <definedName name="solver_eng" localSheetId="3" hidden="1">2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'Sol 2. '!$C$14:$C$18</definedName>
    <definedName name="solver_lhs1" localSheetId="3" hidden="1">'Sol 4.'!$C$14:$C$18</definedName>
    <definedName name="solver_lhs2" localSheetId="1" hidden="1">'Sol 2. '!$C$19:$C$24</definedName>
    <definedName name="solver_lhs2" localSheetId="3" hidden="1">'Sol 4.'!$C$19:$C$24</definedName>
    <definedName name="solver_lhs3" localSheetId="3" hidden="1">'Sol 4.'!$C$25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1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2</definedName>
    <definedName name="solver_num" localSheetId="3" hidden="1">3</definedName>
    <definedName name="solver_nwt" localSheetId="1" hidden="1">1</definedName>
    <definedName name="solver_nwt" localSheetId="3" hidden="1">1</definedName>
    <definedName name="solver_opt" localSheetId="1" hidden="1">'Sol 2. '!$D$11</definedName>
    <definedName name="solver_opt" localSheetId="3" hidden="1">'Sol 4.'!$D$11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3</definedName>
    <definedName name="solver_rel1" localSheetId="3" hidden="1">3</definedName>
    <definedName name="solver_rel2" localSheetId="1" hidden="1">1</definedName>
    <definedName name="solver_rel2" localSheetId="3" hidden="1">1</definedName>
    <definedName name="solver_rel3" localSheetId="3" hidden="1">3</definedName>
    <definedName name="solver_rhs1" localSheetId="1" hidden="1">'Sol 2. '!$E$14:$E$18</definedName>
    <definedName name="solver_rhs1" localSheetId="3" hidden="1">'Sol 4.'!$E$14:$E$18</definedName>
    <definedName name="solver_rhs2" localSheetId="1" hidden="1">'Sol 2. '!$E$19:$E$24</definedName>
    <definedName name="solver_rhs2" localSheetId="3" hidden="1">'Sol 4.'!$E$19:$E$24</definedName>
    <definedName name="solver_rhs3" localSheetId="3" hidden="1">'Sol 4.'!$E$25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2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0" l="1"/>
  <c r="K15" i="10" s="1"/>
  <c r="K1" i="10"/>
  <c r="C25" i="7"/>
  <c r="C24" i="7"/>
  <c r="C23" i="7"/>
  <c r="C22" i="7"/>
  <c r="C21" i="7"/>
  <c r="C20" i="7"/>
  <c r="C19" i="7"/>
  <c r="C18" i="7"/>
  <c r="C17" i="7"/>
  <c r="C16" i="7" a="1"/>
  <c r="C16" i="7" s="1"/>
  <c r="C15" i="7" a="1"/>
  <c r="C15" i="7" s="1"/>
  <c r="C14" i="7" a="1"/>
  <c r="C14" i="7" s="1"/>
  <c r="D11" i="7" a="1"/>
  <c r="D11" i="7" s="1"/>
  <c r="D9" i="7"/>
  <c r="D9" i="1"/>
  <c r="C24" i="1"/>
  <c r="C23" i="1"/>
  <c r="C22" i="1"/>
  <c r="C21" i="1"/>
  <c r="C20" i="1"/>
  <c r="C19" i="1"/>
  <c r="C18" i="1"/>
  <c r="C17" i="1"/>
  <c r="C16" i="1" a="1"/>
  <c r="C16" i="1" s="1"/>
  <c r="C15" i="1" a="1"/>
  <c r="C15" i="1" s="1"/>
  <c r="C14" i="1" a="1"/>
  <c r="C14" i="1" s="1"/>
  <c r="D11" i="1" a="1"/>
  <c r="D11" i="1" s="1"/>
  <c r="K14" i="10" l="1"/>
  <c r="K16" i="10"/>
  <c r="K17" i="10"/>
  <c r="K6" i="10"/>
  <c r="K18" i="10"/>
  <c r="K7" i="10"/>
  <c r="K19" i="10"/>
  <c r="K8" i="10"/>
  <c r="K20" i="10"/>
  <c r="K9" i="10"/>
  <c r="K21" i="10"/>
  <c r="K10" i="10"/>
  <c r="K22" i="10"/>
  <c r="K5" i="10"/>
  <c r="K11" i="10"/>
  <c r="K23" i="10"/>
  <c r="K12" i="10"/>
  <c r="K24" i="10"/>
  <c r="K13" i="10"/>
  <c r="K2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Garima Vijay</author>
  </authors>
  <commentList>
    <comment ref="B5" authorId="0" shapeId="0" xr:uid="{0A859358-896A-4B0E-85B9-4717484100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17684936-AC22-4DB9-8470-69B70317F5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0667B214-D391-48F2-B732-905CC730B9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132BA9A2-04D9-46FC-950F-41B585294F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F878AC12-CA95-4B84-A01E-A532896D12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51017CC4-DD41-466D-AC11-C78144D4DD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200E4ED2-8B39-4296-BD19-636B07D222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44600967-7481-4C02-9AB8-E6D690C9E3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DCD4F5F4-EC66-4FDC-8C3F-15F6FEE86B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0FC39C57-727E-481E-BC0F-252BC08345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9FE994B6-7BDF-43D1-A77C-72F0090918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4CF7F191-E620-434A-9AEC-F8DEFA6BBF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8D23D768-F3BD-49AE-9646-845587B215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F07D9D8F-57D1-4DC4-B422-F46B34F0B3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610E6EEC-C05E-41EB-8849-8DCB06816F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FE3A2695-6E45-4983-8302-07844EA708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" authorId="0" shapeId="0" xr:uid="{70BD9BD9-CDE6-4CEC-8BC7-2D4A1A008D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4BCEB34A-E8FD-469A-A791-E3CF407190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2CD12B0E-5D0D-41D9-A478-18FE14C091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1ED37CB6-7F2F-4999-A01F-A04FF234D3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542120E4-6B3C-4F06-B148-D1A9F36363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<sst xmlns="http://schemas.openxmlformats.org/spreadsheetml/2006/main" count="203" uniqueCount="127">
  <si>
    <t>Decision variables</t>
  </si>
  <si>
    <t>Cost per valve</t>
  </si>
  <si>
    <t>Proportion of small valves</t>
  </si>
  <si>
    <t>Proportion of medium valves</t>
  </si>
  <si>
    <t>Proportion of large valves</t>
  </si>
  <si>
    <t>Supplier 1 quantity</t>
  </si>
  <si>
    <t>Supplier 2 quantity</t>
  </si>
  <si>
    <t>Supplier 3 quantity</t>
  </si>
  <si>
    <t>Supplier 4 quantity</t>
  </si>
  <si>
    <t>Supplier 5 quantity</t>
  </si>
  <si>
    <t>Supplier 6 quantity</t>
  </si>
  <si>
    <t>Objective function</t>
  </si>
  <si>
    <t>Constraints</t>
  </si>
  <si>
    <t>LHS</t>
  </si>
  <si>
    <t>RHS</t>
  </si>
  <si>
    <t>&gt;=</t>
  </si>
  <si>
    <t>Minimum quantity from Supplier 3</t>
  </si>
  <si>
    <t>Minimum quantity from Supplier 5</t>
  </si>
  <si>
    <t>&lt;=</t>
  </si>
  <si>
    <t>Maximum quantity from supplier 1</t>
  </si>
  <si>
    <t>Maximum quantity from supplier 2</t>
  </si>
  <si>
    <t>Maximum quantity from supplier 3</t>
  </si>
  <si>
    <t>Maximum quantity from supplier 4</t>
  </si>
  <si>
    <t>Maximum quantity from supplier 5</t>
  </si>
  <si>
    <t>Maximum quantity from supplier 6</t>
  </si>
  <si>
    <t xml:space="preserve">Small valves quantity to be atleast 500 </t>
  </si>
  <si>
    <t>Medium valves quantity to be atleast 400</t>
  </si>
  <si>
    <t>Large valves quantity to be atleast 300</t>
  </si>
  <si>
    <t>Q1 =</t>
  </si>
  <si>
    <t>Q2 =</t>
  </si>
  <si>
    <t>Q3 =</t>
  </si>
  <si>
    <t>Q4 =</t>
  </si>
  <si>
    <t>Q5 =</t>
  </si>
  <si>
    <t xml:space="preserve">Q6 = </t>
  </si>
  <si>
    <t>Total</t>
  </si>
  <si>
    <t>Microsoft Excel 16.0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</si>
  <si>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</si>
  <si>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</si>
  <si>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</si>
  <si>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</si>
  <si>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</si>
  <si>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</si>
  <si>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</si>
  <si>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</si>
  <si>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</si>
  <si>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</si>
  <si>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</si>
  <si>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</si>
  <si>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</si>
  <si>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</si>
  <si>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</si>
  <si>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</si>
  <si>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$D$3</t>
  </si>
  <si>
    <t>$D$4</t>
  </si>
  <si>
    <t>$D$5</t>
  </si>
  <si>
    <t>$D$6</t>
  </si>
  <si>
    <t>$D$7</t>
  </si>
  <si>
    <t>$D$8</t>
  </si>
  <si>
    <t>$C$14</t>
  </si>
  <si>
    <t>Small valves quantity to be atleast 500  LHS</t>
  </si>
  <si>
    <t>$C$15</t>
  </si>
  <si>
    <t>Medium valves quantity to be atleast 400 LHS</t>
  </si>
  <si>
    <t>$C$16</t>
  </si>
  <si>
    <t>Large valves quantity to be atleast 300 LHS</t>
  </si>
  <si>
    <t>$C$17</t>
  </si>
  <si>
    <t>Minimum quantity from Supplier 3 LHS</t>
  </si>
  <si>
    <t>$C$18</t>
  </si>
  <si>
    <t>Minimum quantity from Supplier 5 LHS</t>
  </si>
  <si>
    <t>$C$19</t>
  </si>
  <si>
    <t>Maximum quantity from supplier 1 LHS</t>
  </si>
  <si>
    <t>$C$20</t>
  </si>
  <si>
    <t>Maximum quantity from supplier 2 LHS</t>
  </si>
  <si>
    <t>$C$21</t>
  </si>
  <si>
    <t>Maximum quantity from supplier 3 LHS</t>
  </si>
  <si>
    <t>$C$22</t>
  </si>
  <si>
    <t>Maximum quantity from supplier 4 LHS</t>
  </si>
  <si>
    <t>$C$23</t>
  </si>
  <si>
    <t>Maximum quantity from supplier 5 LHS</t>
  </si>
  <si>
    <t>$C$24</t>
  </si>
  <si>
    <t>Maximum quantity from supplier 6 LHS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</si>
  <si>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Linear programing model for minimizing the monthly cost of purchasing heart valves:</t>
    </r>
  </si>
  <si>
    <t>Decision variable:</t>
  </si>
  <si>
    <t>Given we have six suppliers, the numbers of decision variables equal 6.</t>
  </si>
  <si>
    <t>Assuming Q1, Q2, Q3, Q4, Q5, Q6 to be the quantities purchased from each supplier.</t>
  </si>
  <si>
    <t>Objective function:</t>
  </si>
  <si>
    <r>
      <t>Minimize</t>
    </r>
    <r>
      <rPr>
        <sz val="11"/>
        <color theme="1"/>
        <rFont val="Calibri"/>
        <family val="2"/>
        <scheme val="minor"/>
      </rPr>
      <t xml:space="preserve"> (195)Q1 + (198)Q2 + (195)Q3 + (190)Q4 + (200)Q5 + (210)Q6</t>
    </r>
  </si>
  <si>
    <t>Constraints: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</si>
  <si>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Minimum quantity for small vales at least 500:</t>
    </r>
  </si>
  <si>
    <t>(0.25)Q1 + (0.20)Q2 + (0.40)Q3 + (0.20)Q4 + (0.30)Q5 + (0.40)Q6 &gt;= 500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</si>
  <si>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Minimum quantity for small vales at least 400:</t>
    </r>
  </si>
  <si>
    <t>(0.50)Q1 + (0.30)Q2 + (0.40)Q3 + (0.50)Q4 + (0.30)Q5 + (0.20)Q6 &gt;= 400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</si>
  <si>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Minimum quantity for small vales at least 300:</t>
    </r>
  </si>
  <si>
    <t>(0.25)Q1 + (0.50)Q2 + (0.20)Q3 + (0.30)Q4 + (0.40)Q5 + (0.40)Q6 &gt;= 300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</si>
  <si>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Quantities from each supplier to be less than 600:</t>
    </r>
  </si>
  <si>
    <t>Q1 &lt;= 600</t>
  </si>
  <si>
    <t>Q2 &lt;= 600</t>
  </si>
  <si>
    <t>Q3 &lt;= 600</t>
  </si>
  <si>
    <t>Q4 &lt;= 600</t>
  </si>
  <si>
    <t>Q5 &lt;= 600</t>
  </si>
  <si>
    <t>Q6 &lt;= 600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</si>
  <si>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Minimum quantity from supplier 3 and 5 to be 100.</t>
    </r>
  </si>
  <si>
    <t>Q3 &gt;= 100</t>
  </si>
  <si>
    <t>Q5 &gt;= 100</t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</si>
  <si>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Non-negativity contraints : Q1,Q2,Q3,Q4,Q5,Q6 &gt;= 0</t>
    </r>
  </si>
  <si>
    <t xml:space="preserve">Worksheet: [Casestudy1_model.xlsx]Sol 2. </t>
  </si>
  <si>
    <t>Report Created: 2/2/2024 9:01:39 PM</t>
  </si>
  <si>
    <t>According to the Excel Solver, we have these optimum quantities from each supplier:</t>
  </si>
  <si>
    <t>Q1 = 40, Q2 = 0, Q3 = 600, Q4 = 0, Q5 = 100, Q6 = 550</t>
  </si>
  <si>
    <t xml:space="preserve">The optimum order quantity of small and medium heart valves equals its minimum quantity, while for large heart valves, it is 390.  </t>
  </si>
  <si>
    <t xml:space="preserve">Minimum cost equals $260300. </t>
  </si>
  <si>
    <t>This means that the healthcare organization should buy heart valves in total from 4 suppliers: supplier 1, 3, 5 and 6. They should buy maximum from supplier 3 followed by supplier by 6 and then by 5 and 1.</t>
  </si>
  <si>
    <t>a. To purchase valve from supplier 4, cost per valve should reduced to or less than 173 (190-17).</t>
  </si>
  <si>
    <t>b. Hayward Care should negotiate with supplier 3 as increasing the purchase from supplier 3 by 1 can decrease the cost by $49 which is not possible in case of other suppliers.</t>
  </si>
  <si>
    <t>Total cost when quantity increased by 1 unit from supplier 3 (keeping other thing constant) = $260251</t>
  </si>
  <si>
    <t>Total cost with optimum quantities = $260300</t>
  </si>
  <si>
    <t xml:space="preserve">Minimum quantity from supplier 4 </t>
  </si>
  <si>
    <t xml:space="preserve">&gt;= </t>
  </si>
  <si>
    <t xml:space="preserve">According to the new results, now the Hayward Care should purchase 600 quantities from Supplier 3, followed by 425 from supplier 6, 300 from supplier 4 and 100 from supplier 5 which will add up costs to $283250. </t>
  </si>
  <si>
    <t xml:space="preserve">Comparing to the previous model, we can see there is a change in the optimum quantity. Quanties have reduced from 40 to 0 for supplier 1, from 550 to 425 for supplier 6 while increased from 0 to 300 from supplier 4. Optimal quantities remained same from other suppliers. 
Total cost increased in second case by $22,500. </t>
  </si>
  <si>
    <t>$E$25</t>
  </si>
  <si>
    <t>$D$11,$D$3:$D$8</t>
  </si>
  <si>
    <t>Input</t>
  </si>
  <si>
    <t>One-way analysis for Solver model in Sol 4. worksheet</t>
  </si>
  <si>
    <t>Input (cell $E$25) values along side, output cell(s) along top</t>
  </si>
  <si>
    <t>$D$11</t>
  </si>
  <si>
    <t>Data for chart</t>
  </si>
  <si>
    <t xml:space="preserve">We can see using the sensitivity analysis, if we increase the minimum quantity of supplier 4, cost also increases which means cost is sensitive to supplier 4 quantity. Keeping other factors constant, Q4 = 0 makes the cost minimum. 
For other suppliers, only supplier 6 is sensitive to supplier 4 quantity. If Q4 increases, then Q6 declines. But all other supplier quantities are insensitive to supplier 4 quantity.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</si>
</sst>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theme="4"/>
      <name val="Calibri"/>
      <family val="2"/>
      <scheme val="minor"/>
    </font>
    <font>
      <b/>
      <sz val="7"/>
      <color theme="1"/>
      <name val="Times New Roman"/>
      <family val="1"/>
    </font>
    <font>
      <sz val="11"/>
      <color rgb="FFFFFFFF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4" borderId="1" xfId="0" applyFill="1" applyBorder="1"/>
    <xf numFmtId="0" fontId="0" fillId="0" borderId="3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0" fontId="2" fillId="5" borderId="12" xfId="0" applyFont="1" applyFill="1" applyBorder="1" applyAlignment="1">
      <alignment vertical="top" wrapText="1"/>
    </xf>
    <xf numFmtId="0" fontId="2" fillId="5" borderId="13" xfId="0" applyFont="1" applyFill="1" applyBorder="1" applyAlignment="1">
      <alignment vertical="top" wrapText="1"/>
    </xf>
    <xf numFmtId="0" fontId="0" fillId="5" borderId="2" xfId="0" applyFill="1" applyBorder="1"/>
    <xf numFmtId="0" fontId="2" fillId="0" borderId="0" xfId="0" applyFont="1"/>
    <xf numFmtId="0" fontId="0" fillId="0" borderId="19" xfId="0" applyBorder="1"/>
    <xf numFmtId="0" fontId="0" fillId="0" borderId="20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1" xfId="0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9" xfId="0" applyFill="1" applyBorder="1"/>
    <xf numFmtId="0" fontId="0" fillId="0" borderId="24" xfId="0" applyBorder="1" applyAlignment="1">
      <alignment vertical="top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2" fillId="5" borderId="25" xfId="0" applyFont="1" applyFill="1" applyBorder="1" applyAlignment="1">
      <alignment vertical="top" wrapText="1"/>
    </xf>
    <xf numFmtId="0" fontId="2" fillId="5" borderId="26" xfId="0" applyFont="1" applyFill="1" applyBorder="1" applyAlignment="1">
      <alignment vertical="top" wrapText="1"/>
    </xf>
    <xf numFmtId="0" fontId="2" fillId="5" borderId="27" xfId="0" applyFont="1" applyFill="1" applyBorder="1" applyAlignment="1">
      <alignment vertical="top" wrapText="1"/>
    </xf>
    <xf numFmtId="0" fontId="0" fillId="0" borderId="24" xfId="0" applyBorder="1"/>
    <xf numFmtId="2" fontId="0" fillId="0" borderId="28" xfId="0" applyNumberFormat="1" applyBorder="1" applyAlignment="1">
      <alignment horizontal="center" vertical="center"/>
    </xf>
    <xf numFmtId="0" fontId="0" fillId="0" borderId="28" xfId="0" applyBorder="1"/>
    <xf numFmtId="0" fontId="0" fillId="5" borderId="24" xfId="0" applyFill="1" applyBorder="1"/>
    <xf numFmtId="0" fontId="0" fillId="0" borderId="29" xfId="0" applyBorder="1" applyAlignment="1">
      <alignment vertical="top" wrapText="1"/>
    </xf>
    <xf numFmtId="0" fontId="0" fillId="3" borderId="30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49" fontId="0" fillId="0" borderId="0" xfId="0" applyNumberFormat="1"/>
    <xf numFmtId="0" fontId="0" fillId="0" borderId="0" xfId="0" applyAlignment="1">
      <alignment horizontal="right" textRotation="90"/>
    </xf>
    <xf numFmtId="0" fontId="0" fillId="6" borderId="0" xfId="0" applyFill="1" applyAlignment="1">
      <alignment horizontal="right" textRotation="90"/>
    </xf>
    <xf numFmtId="0" fontId="7" fillId="0" borderId="0" xfId="0" applyFont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7" borderId="0" xfId="0" applyFill="1"/>
    <xf numFmtId="0" fontId="0" fillId="7" borderId="35" xfId="0" applyFill="1" applyBorder="1"/>
    <xf numFmtId="0" fontId="0" fillId="7" borderId="36" xfId="0" applyFill="1" applyBorder="1"/>
    <xf numFmtId="0" fontId="1" fillId="0" borderId="19" xfId="0" applyFont="1" applyBorder="1"/>
    <xf numFmtId="0" fontId="1" fillId="3" borderId="19" xfId="0" applyFont="1" applyFill="1" applyBorder="1"/>
    <xf numFmtId="0" fontId="1" fillId="0" borderId="20" xfId="0" applyFont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'Sol 5.'!$K$1</c:f>
          <c:strCache>
            <c:ptCount val="1"/>
            <c:pt idx="0">
              <c:v>Sensitivity of $D$11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'Sol 5.'!$A$5:$A$25</c:f>
              <c:numCache>
                <c:formatCode>General</c:formatCode>
                <c:ptCount val="2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</c:numCache>
            </c:numRef>
          </c:cat>
          <c:val>
            <c:numRef>
              <c:f>'Sol 5.'!$K$5:$K$25</c:f>
              <c:numCache>
                <c:formatCode>General</c:formatCode>
                <c:ptCount val="21"/>
                <c:pt idx="0">
                  <c:v>260300</c:v>
                </c:pt>
                <c:pt idx="1">
                  <c:v>260640</c:v>
                </c:pt>
                <c:pt idx="2">
                  <c:v>261150</c:v>
                </c:pt>
                <c:pt idx="3">
                  <c:v>262850</c:v>
                </c:pt>
                <c:pt idx="4">
                  <c:v>264550</c:v>
                </c:pt>
                <c:pt idx="5">
                  <c:v>266250</c:v>
                </c:pt>
                <c:pt idx="6">
                  <c:v>267950</c:v>
                </c:pt>
                <c:pt idx="7">
                  <c:v>269650</c:v>
                </c:pt>
                <c:pt idx="8">
                  <c:v>271350</c:v>
                </c:pt>
                <c:pt idx="9">
                  <c:v>273050</c:v>
                </c:pt>
                <c:pt idx="10">
                  <c:v>274750</c:v>
                </c:pt>
                <c:pt idx="11">
                  <c:v>276450</c:v>
                </c:pt>
                <c:pt idx="12">
                  <c:v>278150</c:v>
                </c:pt>
                <c:pt idx="13">
                  <c:v>279850</c:v>
                </c:pt>
                <c:pt idx="14">
                  <c:v>281550</c:v>
                </c:pt>
                <c:pt idx="15">
                  <c:v>283250</c:v>
                </c:pt>
                <c:pt idx="16">
                  <c:v>284950</c:v>
                </c:pt>
                <c:pt idx="17">
                  <c:v>286650</c:v>
                </c:pt>
                <c:pt idx="18">
                  <c:v>288350</c:v>
                </c:pt>
                <c:pt idx="19">
                  <c:v>290050</c:v>
                </c:pt>
                <c:pt idx="20">
                  <c:v>291750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21-4BAE-AB15-C9CABDD97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737663"/>
        <c:axId val="1705769599"/>
      </c:lineChart>
      <c:catAx>
        <c:axId val="1302737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($E$25)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5769599"/>
        <c:crosses val="autoZero"/>
        <c:auto val="1"/>
        <c:lblAlgn val="ctr"/>
        <c:lblOffset val="100"/>
        <c:noMultiLvlLbl val="0"/>
      </c:catAx>
      <c:valAx>
        <c:axId val="170576959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273766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10</xdr:col>
      <xdr:colOff>562921</xdr:colOff>
      <xdr:row>27</xdr:row>
      <xdr:rowOff>24411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23260E-22EC-234A-3EA6-839523C26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598" y="193598"/>
          <a:ext cx="4845299" cy="486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609256</xdr:colOff>
      <xdr:row>0</xdr:row>
      <xdr:rowOff>188783</xdr:rowOff>
    </xdr:from>
    <xdr:to>
      <xdr:col>20</xdr:col>
      <xdr:colOff>224481</xdr:colOff>
      <xdr:row>23</xdr:row>
      <xdr:rowOff>171621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9E3398-1730-ADC6-DDA5-432D1947B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1891" y="188783"/>
          <a:ext cx="5707793" cy="44535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311150</xdr:colOff>
      <xdr:row>6</xdr:row>
      <xdr:rowOff>95250</xdr:rowOff>
    </xdr:from>
    <xdr:to>
      <xdr:col>18</xdr:col>
      <xdr:colOff>285750</xdr:colOff>
      <xdr:row>20</xdr:row>
      <xdr:rowOff>101600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DB2489FF-475A-A640-B118-3C2B73F41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349250</xdr:colOff>
      <xdr:row>3</xdr:row>
      <xdr:rowOff>19050</xdr:rowOff>
    </xdr:from>
    <xdr:to>
      <xdr:col>15</xdr:col>
      <xdr:colOff>349250</xdr:colOff>
      <xdr:row>5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0F6C49-2D10-C805-BFBC-748CA017689E}"/>
            </a:ext>
          </a:extLst>
        </xdr:cNvPr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2D31-5424-4277-A5D5-2E91B812E9EE}">
  <dimension ref="B1:B27"/>
  <sheetViews>
    <sheetView showGridLines="0" zoomScale="71" zoomScaleNormal="71" workbookViewId="0">
      <selection activeCell="A6" sqref="A6"/>
    </sheetView>
  </sheetViews>
  <sheetFormatPr defaultRowHeight="14.5" x14ac:dyDescent="0.35"/>
  <cols>
    <col min="2" max="2" width="85.26953125" style="1" customWidth="1"/>
  </cols>
  <sheetData>
    <row r="1" spans="2:2" ht="15" thickBot="1" x14ac:dyDescent="0.4"/>
    <row r="2" spans="2:2" x14ac:dyDescent="0.35">
      <c r="B2" s="35" t="s">
        <v>80</v>
      </c>
    </row>
    <row r="3" spans="2:2" x14ac:dyDescent="0.35">
      <c r="B3" s="38" t="s">
        <v>81</v>
      </c>
    </row>
    <row r="4" spans="2:2" x14ac:dyDescent="0.35">
      <c r="B4" s="37" t="s">
        <v>82</v>
      </c>
    </row>
    <row r="5" spans="2:2" x14ac:dyDescent="0.35">
      <c r="B5" s="36" t="s">
        <v>83</v>
      </c>
    </row>
    <row r="6" spans="2:2" x14ac:dyDescent="0.35">
      <c r="B6" s="37"/>
    </row>
    <row r="7" spans="2:2" x14ac:dyDescent="0.35">
      <c r="B7" s="38" t="s">
        <v>84</v>
      </c>
    </row>
    <row r="8" spans="2:2" x14ac:dyDescent="0.35">
      <c r="B8" s="36" t="s">
        <v>85</v>
      </c>
    </row>
    <row r="9" spans="2:2" x14ac:dyDescent="0.35">
      <c r="B9" s="37"/>
    </row>
    <row r="10" spans="2:2" x14ac:dyDescent="0.35">
      <c r="B10" s="38" t="s">
        <v>86</v>
      </c>
    </row>
    <row r="11" spans="2:2" x14ac:dyDescent="0.35">
      <c r="B11" s="37" t="s">
        <v>87</v>
      </c>
    </row>
    <row r="12" spans="2:2" x14ac:dyDescent="0.35">
      <c r="B12" s="36" t="s">
        <v>88</v>
      </c>
    </row>
    <row r="13" spans="2:2" x14ac:dyDescent="0.35">
      <c r="B13" s="37" t="s">
        <v>89</v>
      </c>
    </row>
    <row r="14" spans="2:2" x14ac:dyDescent="0.35">
      <c r="B14" s="36" t="s">
        <v>90</v>
      </c>
    </row>
    <row r="15" spans="2:2" x14ac:dyDescent="0.35">
      <c r="B15" s="37" t="s">
        <v>91</v>
      </c>
    </row>
    <row r="16" spans="2:2" x14ac:dyDescent="0.35">
      <c r="B16" s="36" t="s">
        <v>92</v>
      </c>
    </row>
    <row r="17" spans="2:2" x14ac:dyDescent="0.35">
      <c r="B17" s="37" t="s">
        <v>93</v>
      </c>
    </row>
    <row r="18" spans="2:2" x14ac:dyDescent="0.35">
      <c r="B18" s="36" t="s">
        <v>94</v>
      </c>
    </row>
    <row r="19" spans="2:2" x14ac:dyDescent="0.35">
      <c r="B19" s="36" t="s">
        <v>95</v>
      </c>
    </row>
    <row r="20" spans="2:2" x14ac:dyDescent="0.35">
      <c r="B20" s="36" t="s">
        <v>96</v>
      </c>
    </row>
    <row r="21" spans="2:2" x14ac:dyDescent="0.35">
      <c r="B21" s="36" t="s">
        <v>97</v>
      </c>
    </row>
    <row r="22" spans="2:2" x14ac:dyDescent="0.35">
      <c r="B22" s="36" t="s">
        <v>98</v>
      </c>
    </row>
    <row r="23" spans="2:2" x14ac:dyDescent="0.35">
      <c r="B23" s="36" t="s">
        <v>99</v>
      </c>
    </row>
    <row r="24" spans="2:2" x14ac:dyDescent="0.35">
      <c r="B24" s="37" t="s">
        <v>100</v>
      </c>
    </row>
    <row r="25" spans="2:2" x14ac:dyDescent="0.35">
      <c r="B25" s="36" t="s">
        <v>101</v>
      </c>
    </row>
    <row r="26" spans="2:2" x14ac:dyDescent="0.35">
      <c r="B26" s="36" t="s">
        <v>102</v>
      </c>
    </row>
    <row r="27" spans="2:2" ht="15" thickBot="1" x14ac:dyDescent="0.4">
      <c r="B27" s="39" t="s">
        <v>103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F92B-3BF4-4621-8C86-91452DB016B4}">
  <dimension ref="B1:H31"/>
  <sheetViews>
    <sheetView tabSelected="1" zoomScale="76" zoomScaleNormal="76" workbookViewId="0">
      <selection activeCell="C32" sqref="C32"/>
    </sheetView>
  </sheetViews>
  <sheetFormatPr defaultRowHeight="14.5" x14ac:dyDescent="0.35"/>
  <cols>
    <col min="1" max="1" width="2.1796875" customWidth="1"/>
    <col min="2" max="2" width="35.1796875" customWidth="1"/>
    <col min="5" max="5" width="10.1796875" customWidth="1"/>
    <col min="6" max="6" width="14.08984375" customWidth="1"/>
    <col min="7" max="7" width="14.453125" customWidth="1"/>
    <col min="8" max="8" width="13.36328125" customWidth="1"/>
  </cols>
  <sheetData>
    <row r="1" spans="2:8" ht="15" thickBot="1" x14ac:dyDescent="0.4"/>
    <row r="2" spans="2:8" s="1" customFormat="1" ht="29.5" thickBot="1" x14ac:dyDescent="0.4">
      <c r="B2" s="25" t="s">
        <v>0</v>
      </c>
      <c r="C2" s="26"/>
      <c r="D2" s="26"/>
      <c r="E2" s="26" t="s">
        <v>1</v>
      </c>
      <c r="F2" s="26" t="s">
        <v>2</v>
      </c>
      <c r="G2" s="26" t="s">
        <v>3</v>
      </c>
      <c r="H2" s="27" t="s">
        <v>4</v>
      </c>
    </row>
    <row r="3" spans="2:8" x14ac:dyDescent="0.35">
      <c r="B3" s="15" t="s">
        <v>5</v>
      </c>
      <c r="C3" s="16" t="s">
        <v>28</v>
      </c>
      <c r="D3" s="17">
        <v>1011.9924926757813</v>
      </c>
      <c r="E3" s="18">
        <v>195</v>
      </c>
      <c r="F3" s="19">
        <v>0.25</v>
      </c>
      <c r="G3" s="19">
        <v>0.5</v>
      </c>
      <c r="H3" s="20">
        <v>0.25</v>
      </c>
    </row>
    <row r="4" spans="2:8" x14ac:dyDescent="0.35">
      <c r="B4" s="8" t="s">
        <v>6</v>
      </c>
      <c r="C4" s="3" t="s">
        <v>29</v>
      </c>
      <c r="D4" s="4">
        <v>1320</v>
      </c>
      <c r="E4" s="5">
        <v>198</v>
      </c>
      <c r="F4" s="6">
        <v>0.2</v>
      </c>
      <c r="G4" s="6">
        <v>0.3</v>
      </c>
      <c r="H4" s="9">
        <v>0.5</v>
      </c>
    </row>
    <row r="5" spans="2:8" x14ac:dyDescent="0.35">
      <c r="B5" s="8" t="s">
        <v>7</v>
      </c>
      <c r="C5" s="3" t="s">
        <v>30</v>
      </c>
      <c r="D5" s="4">
        <v>0</v>
      </c>
      <c r="E5" s="5">
        <v>195</v>
      </c>
      <c r="F5" s="6">
        <v>0.4</v>
      </c>
      <c r="G5" s="6">
        <v>0.4</v>
      </c>
      <c r="H5" s="9">
        <v>0.2</v>
      </c>
    </row>
    <row r="6" spans="2:8" x14ac:dyDescent="0.35">
      <c r="B6" s="8" t="s">
        <v>8</v>
      </c>
      <c r="C6" s="3" t="s">
        <v>31</v>
      </c>
      <c r="D6" s="4">
        <v>0</v>
      </c>
      <c r="E6" s="5">
        <v>190</v>
      </c>
      <c r="F6" s="6">
        <v>0.2</v>
      </c>
      <c r="G6" s="6">
        <v>0.5</v>
      </c>
      <c r="H6" s="9">
        <v>0.3</v>
      </c>
    </row>
    <row r="7" spans="2:8" x14ac:dyDescent="0.35">
      <c r="B7" s="8" t="s">
        <v>9</v>
      </c>
      <c r="C7" s="3" t="s">
        <v>32</v>
      </c>
      <c r="D7" s="4">
        <v>0</v>
      </c>
      <c r="E7" s="5">
        <v>200</v>
      </c>
      <c r="F7" s="6">
        <v>0.3</v>
      </c>
      <c r="G7" s="6">
        <v>0.3</v>
      </c>
      <c r="H7" s="9">
        <v>0.4</v>
      </c>
    </row>
    <row r="8" spans="2:8" x14ac:dyDescent="0.35">
      <c r="B8" s="8" t="s">
        <v>10</v>
      </c>
      <c r="C8" s="3" t="s">
        <v>33</v>
      </c>
      <c r="D8" s="4">
        <v>0</v>
      </c>
      <c r="E8" s="5">
        <v>210</v>
      </c>
      <c r="F8" s="6">
        <v>0.4</v>
      </c>
      <c r="G8" s="6">
        <v>0.2</v>
      </c>
      <c r="H8" s="9">
        <v>0.4</v>
      </c>
    </row>
    <row r="9" spans="2:8" x14ac:dyDescent="0.35">
      <c r="B9" s="8"/>
      <c r="C9" s="3" t="s">
        <v>34</v>
      </c>
      <c r="D9" s="2">
        <f>SUM(D3:D8)</f>
        <v>2331.9924926757813</v>
      </c>
      <c r="E9" s="2"/>
      <c r="F9" s="2"/>
      <c r="G9" s="2"/>
      <c r="H9" s="10"/>
    </row>
    <row r="10" spans="2:8" ht="15" thickBot="1" x14ac:dyDescent="0.4">
      <c r="B10" s="22"/>
      <c r="C10" s="2"/>
      <c r="D10" s="2"/>
      <c r="E10" s="2"/>
      <c r="F10" s="2"/>
      <c r="G10" s="2"/>
      <c r="H10" s="10"/>
    </row>
    <row r="11" spans="2:8" ht="15" thickBot="1" x14ac:dyDescent="0.4">
      <c r="B11" s="28" t="s">
        <v>11</v>
      </c>
      <c r="C11" s="21"/>
      <c r="D11" s="7" cm="1">
        <f t="array" ref="D11">SUMPRODUCT(E3:E8*D3:D8)</f>
        <v>458698.53607177734</v>
      </c>
      <c r="E11" s="2"/>
      <c r="F11" s="2"/>
      <c r="G11" s="2"/>
      <c r="H11" s="10"/>
    </row>
    <row r="12" spans="2:8" ht="15" thickBot="1" x14ac:dyDescent="0.4">
      <c r="B12" s="23"/>
      <c r="C12" s="2"/>
      <c r="D12" s="2"/>
      <c r="E12" s="2"/>
      <c r="F12" s="2"/>
      <c r="G12" s="2"/>
      <c r="H12" s="10"/>
    </row>
    <row r="13" spans="2:8" ht="15" thickBot="1" x14ac:dyDescent="0.4">
      <c r="B13" s="28" t="s">
        <v>12</v>
      </c>
      <c r="C13" s="21" t="s">
        <v>13</v>
      </c>
      <c r="D13" s="2"/>
      <c r="E13" s="2" t="s">
        <v>14</v>
      </c>
      <c r="F13" s="2"/>
      <c r="G13" s="2"/>
      <c r="H13" s="10"/>
    </row>
    <row r="14" spans="2:8" ht="15" customHeight="1" x14ac:dyDescent="0.35">
      <c r="B14" s="24" t="s">
        <v>25</v>
      </c>
      <c r="C14" s="40" cm="1">
        <f t="array" ref="C14">SUMPRODUCT(F3:F8*D3:D8)</f>
        <v>516.99812316894531</v>
      </c>
      <c r="D14" s="5" t="s">
        <v>15</v>
      </c>
      <c r="E14" s="40">
        <v>500</v>
      </c>
      <c r="F14" s="2"/>
      <c r="G14" s="2"/>
      <c r="H14" s="10"/>
    </row>
    <row r="15" spans="2:8" ht="15" customHeight="1" x14ac:dyDescent="0.35">
      <c r="B15" s="11" t="s">
        <v>26</v>
      </c>
      <c r="C15" s="40" cm="1">
        <f t="array" ref="C15">SUMPRODUCT(G3:G8*D3:D8)</f>
        <v>901.99624633789063</v>
      </c>
      <c r="D15" s="5" t="s">
        <v>15</v>
      </c>
      <c r="E15" s="40">
        <v>400</v>
      </c>
      <c r="F15" s="2"/>
      <c r="G15" s="2"/>
      <c r="H15" s="10"/>
    </row>
    <row r="16" spans="2:8" ht="15" customHeight="1" x14ac:dyDescent="0.35">
      <c r="B16" s="11" t="s">
        <v>27</v>
      </c>
      <c r="C16" s="40" cm="1">
        <f t="array" ref="C16">SUMPRODUCT(H3:H8*D3:D8)</f>
        <v>912.99812316894531</v>
      </c>
      <c r="D16" s="5" t="s">
        <v>15</v>
      </c>
      <c r="E16" s="40">
        <v>300</v>
      </c>
      <c r="F16" s="2"/>
      <c r="G16" s="2"/>
      <c r="H16" s="10"/>
    </row>
    <row r="17" spans="2:8" ht="15" customHeight="1" x14ac:dyDescent="0.35">
      <c r="B17" s="11" t="s">
        <v>16</v>
      </c>
      <c r="C17" s="40">
        <f>D5</f>
        <v>0</v>
      </c>
      <c r="D17" s="5" t="s">
        <v>15</v>
      </c>
      <c r="E17" s="40">
        <v>100</v>
      </c>
      <c r="F17" s="2"/>
      <c r="G17" s="2"/>
      <c r="H17" s="10"/>
    </row>
    <row r="18" spans="2:8" ht="15" customHeight="1" x14ac:dyDescent="0.35">
      <c r="B18" s="11" t="s">
        <v>17</v>
      </c>
      <c r="C18" s="40">
        <f>D7</f>
        <v>0</v>
      </c>
      <c r="D18" s="5" t="s">
        <v>15</v>
      </c>
      <c r="E18" s="40">
        <v>100</v>
      </c>
      <c r="F18" s="2"/>
      <c r="G18" s="2"/>
      <c r="H18" s="10"/>
    </row>
    <row r="19" spans="2:8" ht="15" customHeight="1" x14ac:dyDescent="0.35">
      <c r="B19" s="11" t="s">
        <v>19</v>
      </c>
      <c r="C19" s="40">
        <f t="shared" ref="C19:C24" si="0">D3</f>
        <v>1011.9924926757813</v>
      </c>
      <c r="D19" s="5" t="s">
        <v>18</v>
      </c>
      <c r="E19" s="40">
        <v>600</v>
      </c>
      <c r="F19" s="2"/>
      <c r="G19" s="2"/>
      <c r="H19" s="10"/>
    </row>
    <row r="20" spans="2:8" ht="15" customHeight="1" x14ac:dyDescent="0.35">
      <c r="B20" s="11" t="s">
        <v>20</v>
      </c>
      <c r="C20" s="40">
        <f t="shared" si="0"/>
        <v>1320</v>
      </c>
      <c r="D20" s="5" t="s">
        <v>18</v>
      </c>
      <c r="E20" s="40">
        <v>600</v>
      </c>
      <c r="F20" s="2"/>
      <c r="G20" s="2"/>
      <c r="H20" s="10"/>
    </row>
    <row r="21" spans="2:8" ht="15" customHeight="1" x14ac:dyDescent="0.35">
      <c r="B21" s="11" t="s">
        <v>21</v>
      </c>
      <c r="C21" s="40">
        <f t="shared" si="0"/>
        <v>0</v>
      </c>
      <c r="D21" s="5" t="s">
        <v>18</v>
      </c>
      <c r="E21" s="40">
        <v>600</v>
      </c>
      <c r="F21" s="2"/>
      <c r="G21" s="2"/>
      <c r="H21" s="10"/>
    </row>
    <row r="22" spans="2:8" ht="15" customHeight="1" x14ac:dyDescent="0.35">
      <c r="B22" s="11" t="s">
        <v>22</v>
      </c>
      <c r="C22" s="40">
        <f t="shared" si="0"/>
        <v>0</v>
      </c>
      <c r="D22" s="5" t="s">
        <v>18</v>
      </c>
      <c r="E22" s="40">
        <v>600</v>
      </c>
      <c r="F22" s="2"/>
      <c r="G22" s="2"/>
      <c r="H22" s="10"/>
    </row>
    <row r="23" spans="2:8" ht="15" customHeight="1" x14ac:dyDescent="0.35">
      <c r="B23" s="11" t="s">
        <v>23</v>
      </c>
      <c r="C23" s="40">
        <f t="shared" si="0"/>
        <v>0</v>
      </c>
      <c r="D23" s="5" t="s">
        <v>18</v>
      </c>
      <c r="E23" s="40">
        <v>600</v>
      </c>
      <c r="F23" s="2"/>
      <c r="G23" s="2"/>
      <c r="H23" s="10"/>
    </row>
    <row r="24" spans="2:8" ht="15" customHeight="1" thickBot="1" x14ac:dyDescent="0.4">
      <c r="B24" s="12" t="s">
        <v>24</v>
      </c>
      <c r="C24" s="41">
        <f t="shared" si="0"/>
        <v>0</v>
      </c>
      <c r="D24" s="42" t="s">
        <v>18</v>
      </c>
      <c r="E24" s="41">
        <v>600</v>
      </c>
      <c r="F24" s="13"/>
      <c r="G24" s="13"/>
      <c r="H24" s="14"/>
    </row>
    <row r="26" spans="2:8" x14ac:dyDescent="0.35">
      <c r="B26" s="34" t="s">
        <v>106</v>
      </c>
    </row>
    <row r="27" spans="2:8" x14ac:dyDescent="0.35">
      <c r="B27" s="34" t="s">
        <v>107</v>
      </c>
    </row>
    <row r="28" spans="2:8" x14ac:dyDescent="0.35">
      <c r="B28" s="34" t="s">
        <v>110</v>
      </c>
    </row>
    <row r="29" spans="2:8" x14ac:dyDescent="0.35">
      <c r="B29" s="34" t="s">
        <v>108</v>
      </c>
    </row>
    <row r="30" spans="2:8" x14ac:dyDescent="0.35">
      <c r="B30" s="34"/>
    </row>
    <row r="31" spans="2:8" x14ac:dyDescent="0.35">
      <c r="B31" s="1" t="s">
        <v>109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78FF-E2E6-4A8D-A042-737EE1B5BB2F}">
  <dimension ref="A1:H34"/>
  <sheetViews>
    <sheetView showGridLines="0" zoomScale="70" zoomScaleNormal="70" workbookViewId="0">
      <selection activeCell="C20" sqref="C20"/>
    </sheetView>
  </sheetViews>
  <sheetFormatPr defaultRowHeight="14.5" x14ac:dyDescent="0.35"/>
  <cols>
    <col min="1" max="1" width="2.1796875" customWidth="1"/>
    <col min="2" max="2" width="5.90625" bestFit="1" customWidth="1"/>
    <col min="3" max="3" width="39" bestFit="1" customWidth="1"/>
    <col min="4" max="4" width="5.54296875" bestFit="1" customWidth="1"/>
    <col min="5" max="5" width="8" bestFit="1" customWidth="1"/>
    <col min="6" max="6" width="9.81640625" bestFit="1" customWidth="1"/>
    <col min="7" max="8" width="9" bestFit="1" customWidth="1"/>
  </cols>
  <sheetData>
    <row r="1" spans="1:8" x14ac:dyDescent="0.35">
      <c r="A1" s="29" t="s">
        <v>35</v>
      </c>
    </row>
    <row r="2" spans="1:8" x14ac:dyDescent="0.35">
      <c r="A2" s="29" t="s">
        <v>104</v>
      </c>
    </row>
    <row r="3" spans="1:8" x14ac:dyDescent="0.35">
      <c r="A3" s="29" t="s">
        <v>105</v>
      </c>
    </row>
    <row r="5" spans="1:8" ht="15" thickBot="1" x14ac:dyDescent="0.4">
      <c r="A5" t="s">
        <v>36</v>
      </c>
    </row>
    <row r="6" spans="1:8" x14ac:dyDescent="0.35">
      <c r="B6" s="32"/>
      <c r="C6" s="32"/>
      <c r="D6" s="32" t="s">
        <v>39</v>
      </c>
      <c r="E6" s="32" t="s">
        <v>41</v>
      </c>
      <c r="F6" s="32" t="s">
        <v>43</v>
      </c>
      <c r="G6" s="32" t="s">
        <v>45</v>
      </c>
      <c r="H6" s="32" t="s">
        <v>45</v>
      </c>
    </row>
    <row r="7" spans="1:8" ht="15" thickBot="1" x14ac:dyDescent="0.4">
      <c r="B7" s="33" t="s">
        <v>37</v>
      </c>
      <c r="C7" s="33" t="s">
        <v>38</v>
      </c>
      <c r="D7" s="33" t="s">
        <v>40</v>
      </c>
      <c r="E7" s="33" t="s">
        <v>42</v>
      </c>
      <c r="F7" s="33" t="s">
        <v>44</v>
      </c>
      <c r="G7" s="33" t="s">
        <v>46</v>
      </c>
      <c r="H7" s="33" t="s">
        <v>47</v>
      </c>
    </row>
    <row r="8" spans="1:8" x14ac:dyDescent="0.35">
      <c r="B8" s="30" t="s">
        <v>52</v>
      </c>
      <c r="C8" s="30" t="s">
        <v>28</v>
      </c>
      <c r="D8" s="78">
        <v>39.999999999999595</v>
      </c>
      <c r="E8" s="30">
        <v>0</v>
      </c>
      <c r="F8" s="30">
        <v>195</v>
      </c>
      <c r="G8" s="30">
        <v>15.93750000000003</v>
      </c>
      <c r="H8" s="30">
        <v>63.749999999999943</v>
      </c>
    </row>
    <row r="9" spans="1:8" x14ac:dyDescent="0.35">
      <c r="B9" s="30" t="s">
        <v>53</v>
      </c>
      <c r="C9" s="30" t="s">
        <v>29</v>
      </c>
      <c r="D9" s="78">
        <v>0</v>
      </c>
      <c r="E9" s="30">
        <v>58.999999999999986</v>
      </c>
      <c r="F9" s="30">
        <v>198</v>
      </c>
      <c r="G9" s="30">
        <v>1E+30</v>
      </c>
      <c r="H9" s="30">
        <v>58.999999999999986</v>
      </c>
    </row>
    <row r="10" spans="1:8" x14ac:dyDescent="0.35">
      <c r="B10" s="30" t="s">
        <v>54</v>
      </c>
      <c r="C10" s="30" t="s">
        <v>30</v>
      </c>
      <c r="D10" s="78">
        <v>600</v>
      </c>
      <c r="E10" s="30">
        <v>0</v>
      </c>
      <c r="F10" s="30">
        <v>195</v>
      </c>
      <c r="G10" s="30">
        <v>49.000000000000028</v>
      </c>
      <c r="H10" s="30">
        <v>1E+30</v>
      </c>
    </row>
    <row r="11" spans="1:8" x14ac:dyDescent="0.35">
      <c r="B11" s="43" t="s">
        <v>55</v>
      </c>
      <c r="C11" s="43" t="s">
        <v>31</v>
      </c>
      <c r="D11" s="79">
        <v>0</v>
      </c>
      <c r="E11" s="43">
        <v>17.000000000000036</v>
      </c>
      <c r="F11" s="43">
        <v>190</v>
      </c>
      <c r="G11" s="43">
        <v>1E+30</v>
      </c>
      <c r="H11" s="43">
        <v>17.000000000000036</v>
      </c>
    </row>
    <row r="12" spans="1:8" x14ac:dyDescent="0.35">
      <c r="B12" s="30" t="s">
        <v>56</v>
      </c>
      <c r="C12" s="30" t="s">
        <v>32</v>
      </c>
      <c r="D12" s="78">
        <v>100</v>
      </c>
      <c r="E12" s="30">
        <v>0</v>
      </c>
      <c r="F12" s="30">
        <v>200</v>
      </c>
      <c r="G12" s="30">
        <v>1E+30</v>
      </c>
      <c r="H12" s="30">
        <v>17.000000000000025</v>
      </c>
    </row>
    <row r="13" spans="1:8" ht="15" thickBot="1" x14ac:dyDescent="0.4">
      <c r="B13" s="31" t="s">
        <v>57</v>
      </c>
      <c r="C13" s="31" t="s">
        <v>33</v>
      </c>
      <c r="D13" s="80">
        <v>550.00000000000034</v>
      </c>
      <c r="E13" s="31">
        <v>0</v>
      </c>
      <c r="F13" s="31">
        <v>210</v>
      </c>
      <c r="G13" s="31">
        <v>34</v>
      </c>
      <c r="H13" s="31">
        <v>73.499999999999972</v>
      </c>
    </row>
    <row r="15" spans="1:8" ht="15" thickBot="1" x14ac:dyDescent="0.4">
      <c r="A15" t="s">
        <v>12</v>
      </c>
    </row>
    <row r="16" spans="1:8" x14ac:dyDescent="0.35">
      <c r="B16" s="32"/>
      <c r="C16" s="32"/>
      <c r="D16" s="32" t="s">
        <v>39</v>
      </c>
      <c r="E16" s="32" t="s">
        <v>48</v>
      </c>
      <c r="F16" s="32" t="s">
        <v>50</v>
      </c>
      <c r="G16" s="32" t="s">
        <v>45</v>
      </c>
      <c r="H16" s="32" t="s">
        <v>45</v>
      </c>
    </row>
    <row r="17" spans="2:8" ht="15" thickBot="1" x14ac:dyDescent="0.4">
      <c r="B17" s="33" t="s">
        <v>37</v>
      </c>
      <c r="C17" s="33" t="s">
        <v>38</v>
      </c>
      <c r="D17" s="33" t="s">
        <v>40</v>
      </c>
      <c r="E17" s="33" t="s">
        <v>49</v>
      </c>
      <c r="F17" s="33" t="s">
        <v>51</v>
      </c>
      <c r="G17" s="33" t="s">
        <v>46</v>
      </c>
      <c r="H17" s="33" t="s">
        <v>47</v>
      </c>
    </row>
    <row r="18" spans="2:8" x14ac:dyDescent="0.35">
      <c r="B18" s="30" t="s">
        <v>58</v>
      </c>
      <c r="C18" s="30" t="s">
        <v>59</v>
      </c>
      <c r="D18" s="30">
        <v>500</v>
      </c>
      <c r="E18" s="30">
        <v>440.00000000000011</v>
      </c>
      <c r="F18" s="30">
        <v>500</v>
      </c>
      <c r="G18" s="30">
        <v>14.999999999999885</v>
      </c>
      <c r="H18" s="30">
        <v>89.999999999999972</v>
      </c>
    </row>
    <row r="19" spans="2:8" x14ac:dyDescent="0.35">
      <c r="B19" s="30" t="s">
        <v>60</v>
      </c>
      <c r="C19" s="30" t="s">
        <v>61</v>
      </c>
      <c r="D19" s="30">
        <v>399.99999999999983</v>
      </c>
      <c r="E19" s="30">
        <v>169.99999999999989</v>
      </c>
      <c r="F19" s="30">
        <v>400</v>
      </c>
      <c r="G19" s="30">
        <v>210.00000000000011</v>
      </c>
      <c r="H19" s="30">
        <v>14.999999999999844</v>
      </c>
    </row>
    <row r="20" spans="2:8" x14ac:dyDescent="0.35">
      <c r="B20" s="30" t="s">
        <v>62</v>
      </c>
      <c r="C20" s="30" t="s">
        <v>63</v>
      </c>
      <c r="D20" s="30">
        <v>390</v>
      </c>
      <c r="E20" s="30">
        <v>0</v>
      </c>
      <c r="F20" s="30">
        <v>300</v>
      </c>
      <c r="G20" s="30">
        <v>89.999999999999972</v>
      </c>
      <c r="H20" s="30">
        <v>1E+30</v>
      </c>
    </row>
    <row r="21" spans="2:8" x14ac:dyDescent="0.35">
      <c r="B21" s="30" t="s">
        <v>64</v>
      </c>
      <c r="C21" s="30" t="s">
        <v>65</v>
      </c>
      <c r="D21" s="30">
        <v>600</v>
      </c>
      <c r="E21" s="30">
        <v>0</v>
      </c>
      <c r="F21" s="30">
        <v>100</v>
      </c>
      <c r="G21" s="30">
        <v>500</v>
      </c>
      <c r="H21" s="30">
        <v>1E+30</v>
      </c>
    </row>
    <row r="22" spans="2:8" x14ac:dyDescent="0.35">
      <c r="B22" s="30" t="s">
        <v>66</v>
      </c>
      <c r="C22" s="30" t="s">
        <v>67</v>
      </c>
      <c r="D22" s="30">
        <v>100</v>
      </c>
      <c r="E22" s="30">
        <v>17.000000000000025</v>
      </c>
      <c r="F22" s="30">
        <v>100</v>
      </c>
      <c r="G22" s="30">
        <v>99.999999999999204</v>
      </c>
      <c r="H22" s="30">
        <v>99.999999999999119</v>
      </c>
    </row>
    <row r="23" spans="2:8" x14ac:dyDescent="0.35">
      <c r="B23" s="30" t="s">
        <v>68</v>
      </c>
      <c r="C23" s="30" t="s">
        <v>69</v>
      </c>
      <c r="D23" s="30">
        <v>39.999999999999595</v>
      </c>
      <c r="E23" s="30">
        <v>0</v>
      </c>
      <c r="F23" s="30">
        <v>600</v>
      </c>
      <c r="G23" s="30">
        <v>1E+30</v>
      </c>
      <c r="H23" s="30">
        <v>560.00000000000045</v>
      </c>
    </row>
    <row r="24" spans="2:8" x14ac:dyDescent="0.35">
      <c r="B24" s="30" t="s">
        <v>70</v>
      </c>
      <c r="C24" s="30" t="s">
        <v>71</v>
      </c>
      <c r="D24" s="30">
        <v>0</v>
      </c>
      <c r="E24" s="30">
        <v>0</v>
      </c>
      <c r="F24" s="30">
        <v>600</v>
      </c>
      <c r="G24" s="30">
        <v>1E+30</v>
      </c>
      <c r="H24" s="30">
        <v>600</v>
      </c>
    </row>
    <row r="25" spans="2:8" x14ac:dyDescent="0.35">
      <c r="B25" s="30" t="s">
        <v>72</v>
      </c>
      <c r="C25" s="30" t="s">
        <v>73</v>
      </c>
      <c r="D25" s="30">
        <v>600</v>
      </c>
      <c r="E25" s="30">
        <v>-49.000000000000028</v>
      </c>
      <c r="F25" s="30">
        <v>600</v>
      </c>
      <c r="G25" s="30">
        <v>74.999999999999275</v>
      </c>
      <c r="H25" s="30">
        <v>74.999999999999389</v>
      </c>
    </row>
    <row r="26" spans="2:8" x14ac:dyDescent="0.35">
      <c r="B26" s="30" t="s">
        <v>74</v>
      </c>
      <c r="C26" s="30" t="s">
        <v>75</v>
      </c>
      <c r="D26" s="30">
        <v>0</v>
      </c>
      <c r="E26" s="30">
        <v>0</v>
      </c>
      <c r="F26" s="30">
        <v>600</v>
      </c>
      <c r="G26" s="30">
        <v>1E+30</v>
      </c>
      <c r="H26" s="30">
        <v>600</v>
      </c>
    </row>
    <row r="27" spans="2:8" x14ac:dyDescent="0.35">
      <c r="B27" s="30" t="s">
        <v>76</v>
      </c>
      <c r="C27" s="30" t="s">
        <v>77</v>
      </c>
      <c r="D27" s="30">
        <v>100</v>
      </c>
      <c r="E27" s="30">
        <v>0</v>
      </c>
      <c r="F27" s="30">
        <v>600</v>
      </c>
      <c r="G27" s="30">
        <v>1E+30</v>
      </c>
      <c r="H27" s="30">
        <v>500</v>
      </c>
    </row>
    <row r="28" spans="2:8" ht="15" thickBot="1" x14ac:dyDescent="0.4">
      <c r="B28" s="31" t="s">
        <v>78</v>
      </c>
      <c r="C28" s="31" t="s">
        <v>79</v>
      </c>
      <c r="D28" s="31">
        <v>550.00000000000034</v>
      </c>
      <c r="E28" s="31">
        <v>0</v>
      </c>
      <c r="F28" s="31">
        <v>600</v>
      </c>
      <c r="G28" s="31">
        <v>1E+30</v>
      </c>
      <c r="H28" s="31">
        <v>49.999999999999638</v>
      </c>
    </row>
    <row r="31" spans="2:8" x14ac:dyDescent="0.35">
      <c r="B31" s="29" t="s">
        <v>111</v>
      </c>
    </row>
    <row r="32" spans="2:8" x14ac:dyDescent="0.35">
      <c r="B32" s="29" t="s">
        <v>112</v>
      </c>
    </row>
    <row r="33" spans="3:3" x14ac:dyDescent="0.35">
      <c r="C33" t="s">
        <v>114</v>
      </c>
    </row>
    <row r="34" spans="3:3" x14ac:dyDescent="0.35">
      <c r="C34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B927-2D1C-4CB3-A200-F7971788B415}">
  <dimension ref="B1:H28"/>
  <sheetViews>
    <sheetView zoomScale="69" zoomScaleNormal="69" workbookViewId="0">
      <selection activeCell="A27" sqref="A27:XFD27"/>
    </sheetView>
  </sheetViews>
  <sheetFormatPr defaultRowHeight="14.5" x14ac:dyDescent="0.35"/>
  <cols>
    <col min="1" max="1" width="4.08984375" customWidth="1"/>
    <col min="2" max="2" width="42.26953125" customWidth="1"/>
    <col min="6" max="6" width="16.54296875" customWidth="1"/>
    <col min="7" max="7" width="14.6328125" customWidth="1"/>
    <col min="8" max="8" width="14.54296875" customWidth="1"/>
  </cols>
  <sheetData>
    <row r="1" spans="2:8" ht="15" thickBot="1" x14ac:dyDescent="0.4"/>
    <row r="2" spans="2:8" ht="29" x14ac:dyDescent="0.35">
      <c r="B2" s="51" t="s">
        <v>0</v>
      </c>
      <c r="C2" s="52"/>
      <c r="D2" s="52"/>
      <c r="E2" s="52" t="s">
        <v>1</v>
      </c>
      <c r="F2" s="52" t="s">
        <v>2</v>
      </c>
      <c r="G2" s="52" t="s">
        <v>3</v>
      </c>
      <c r="H2" s="53" t="s">
        <v>4</v>
      </c>
    </row>
    <row r="3" spans="2:8" x14ac:dyDescent="0.35">
      <c r="B3" s="54" t="s">
        <v>5</v>
      </c>
      <c r="C3" s="45" t="s">
        <v>28</v>
      </c>
      <c r="D3" s="46">
        <v>0</v>
      </c>
      <c r="E3" s="47">
        <v>195</v>
      </c>
      <c r="F3" s="48">
        <v>0.25</v>
      </c>
      <c r="G3" s="48">
        <v>0.5</v>
      </c>
      <c r="H3" s="55">
        <v>0.25</v>
      </c>
    </row>
    <row r="4" spans="2:8" x14ac:dyDescent="0.35">
      <c r="B4" s="54" t="s">
        <v>6</v>
      </c>
      <c r="C4" s="45" t="s">
        <v>29</v>
      </c>
      <c r="D4" s="46">
        <v>0</v>
      </c>
      <c r="E4" s="47">
        <v>198</v>
      </c>
      <c r="F4" s="48">
        <v>0.2</v>
      </c>
      <c r="G4" s="48">
        <v>0.3</v>
      </c>
      <c r="H4" s="55">
        <v>0.5</v>
      </c>
    </row>
    <row r="5" spans="2:8" x14ac:dyDescent="0.35">
      <c r="B5" s="54" t="s">
        <v>7</v>
      </c>
      <c r="C5" s="45" t="s">
        <v>30</v>
      </c>
      <c r="D5" s="46">
        <v>600</v>
      </c>
      <c r="E5" s="47">
        <v>195</v>
      </c>
      <c r="F5" s="48">
        <v>0.4</v>
      </c>
      <c r="G5" s="48">
        <v>0.4</v>
      </c>
      <c r="H5" s="55">
        <v>0.2</v>
      </c>
    </row>
    <row r="6" spans="2:8" x14ac:dyDescent="0.35">
      <c r="B6" s="54" t="s">
        <v>8</v>
      </c>
      <c r="C6" s="45" t="s">
        <v>31</v>
      </c>
      <c r="D6" s="46">
        <v>300</v>
      </c>
      <c r="E6" s="47">
        <v>190</v>
      </c>
      <c r="F6" s="48">
        <v>0.2</v>
      </c>
      <c r="G6" s="48">
        <v>0.5</v>
      </c>
      <c r="H6" s="55">
        <v>0.3</v>
      </c>
    </row>
    <row r="7" spans="2:8" x14ac:dyDescent="0.35">
      <c r="B7" s="54" t="s">
        <v>9</v>
      </c>
      <c r="C7" s="45" t="s">
        <v>32</v>
      </c>
      <c r="D7" s="46">
        <v>100</v>
      </c>
      <c r="E7" s="47">
        <v>200</v>
      </c>
      <c r="F7" s="48">
        <v>0.3</v>
      </c>
      <c r="G7" s="48">
        <v>0.3</v>
      </c>
      <c r="H7" s="55">
        <v>0.4</v>
      </c>
    </row>
    <row r="8" spans="2:8" x14ac:dyDescent="0.35">
      <c r="B8" s="54" t="s">
        <v>10</v>
      </c>
      <c r="C8" s="45" t="s">
        <v>33</v>
      </c>
      <c r="D8" s="46">
        <v>425</v>
      </c>
      <c r="E8" s="47">
        <v>210</v>
      </c>
      <c r="F8" s="48">
        <v>0.4</v>
      </c>
      <c r="G8" s="48">
        <v>0.2</v>
      </c>
      <c r="H8" s="55">
        <v>0.4</v>
      </c>
    </row>
    <row r="9" spans="2:8" x14ac:dyDescent="0.35">
      <c r="B9" s="54"/>
      <c r="C9" s="45" t="s">
        <v>34</v>
      </c>
      <c r="D9">
        <f>SUM(D3:D8)</f>
        <v>1425</v>
      </c>
      <c r="H9" s="56"/>
    </row>
    <row r="10" spans="2:8" x14ac:dyDescent="0.35">
      <c r="B10" s="54"/>
      <c r="H10" s="56"/>
    </row>
    <row r="11" spans="2:8" ht="12.5" customHeight="1" x14ac:dyDescent="0.35">
      <c r="B11" s="57" t="s">
        <v>11</v>
      </c>
      <c r="D11" s="49" cm="1">
        <f t="array" ref="D11">SUMPRODUCT(E3:E8*D3:D8)</f>
        <v>283250</v>
      </c>
      <c r="H11" s="56"/>
    </row>
    <row r="12" spans="2:8" ht="15" customHeight="1" x14ac:dyDescent="0.35">
      <c r="B12" s="54"/>
      <c r="H12" s="56"/>
    </row>
    <row r="13" spans="2:8" ht="20" customHeight="1" x14ac:dyDescent="0.35">
      <c r="B13" s="57" t="s">
        <v>12</v>
      </c>
      <c r="C13" t="s">
        <v>13</v>
      </c>
      <c r="E13" t="s">
        <v>14</v>
      </c>
      <c r="H13" s="56"/>
    </row>
    <row r="14" spans="2:8" ht="19.5" customHeight="1" x14ac:dyDescent="0.35">
      <c r="B14" s="44" t="s">
        <v>25</v>
      </c>
      <c r="C14" s="50" cm="1">
        <f t="array" ref="C14">SUMPRODUCT(F3:F8*D3:D8)</f>
        <v>500</v>
      </c>
      <c r="D14" s="47" t="s">
        <v>15</v>
      </c>
      <c r="E14" s="50">
        <v>500</v>
      </c>
      <c r="H14" s="56"/>
    </row>
    <row r="15" spans="2:8" ht="15.5" customHeight="1" x14ac:dyDescent="0.35">
      <c r="B15" s="44" t="s">
        <v>26</v>
      </c>
      <c r="C15" s="50" cm="1">
        <f t="array" ref="C15">SUMPRODUCT(G3:G8*D3:D8)</f>
        <v>505</v>
      </c>
      <c r="D15" s="47" t="s">
        <v>15</v>
      </c>
      <c r="E15" s="50">
        <v>400</v>
      </c>
      <c r="H15" s="56"/>
    </row>
    <row r="16" spans="2:8" x14ac:dyDescent="0.35">
      <c r="B16" s="44" t="s">
        <v>27</v>
      </c>
      <c r="C16" s="50" cm="1">
        <f t="array" ref="C16">SUMPRODUCT(H3:H8*D3:D8)</f>
        <v>420</v>
      </c>
      <c r="D16" s="47" t="s">
        <v>15</v>
      </c>
      <c r="E16" s="50">
        <v>300</v>
      </c>
      <c r="H16" s="56"/>
    </row>
    <row r="17" spans="2:8" x14ac:dyDescent="0.35">
      <c r="B17" s="44" t="s">
        <v>16</v>
      </c>
      <c r="C17" s="50">
        <f>D5</f>
        <v>600</v>
      </c>
      <c r="D17" s="47" t="s">
        <v>15</v>
      </c>
      <c r="E17" s="50">
        <v>100</v>
      </c>
      <c r="H17" s="56"/>
    </row>
    <row r="18" spans="2:8" ht="19" customHeight="1" x14ac:dyDescent="0.35">
      <c r="B18" s="44" t="s">
        <v>17</v>
      </c>
      <c r="C18" s="50">
        <f>D7</f>
        <v>100</v>
      </c>
      <c r="D18" s="47" t="s">
        <v>15</v>
      </c>
      <c r="E18" s="50">
        <v>100</v>
      </c>
      <c r="H18" s="56"/>
    </row>
    <row r="19" spans="2:8" ht="20.5" customHeight="1" x14ac:dyDescent="0.35">
      <c r="B19" s="44" t="s">
        <v>19</v>
      </c>
      <c r="C19" s="50">
        <f t="shared" ref="C19:C24" si="0">D3</f>
        <v>0</v>
      </c>
      <c r="D19" s="47" t="s">
        <v>18</v>
      </c>
      <c r="E19" s="50">
        <v>600</v>
      </c>
      <c r="H19" s="56"/>
    </row>
    <row r="20" spans="2:8" ht="19.5" customHeight="1" x14ac:dyDescent="0.35">
      <c r="B20" s="44" t="s">
        <v>20</v>
      </c>
      <c r="C20" s="50">
        <f t="shared" si="0"/>
        <v>0</v>
      </c>
      <c r="D20" s="47" t="s">
        <v>18</v>
      </c>
      <c r="E20" s="50">
        <v>600</v>
      </c>
      <c r="H20" s="56"/>
    </row>
    <row r="21" spans="2:8" ht="20.5" customHeight="1" x14ac:dyDescent="0.35">
      <c r="B21" s="44" t="s">
        <v>21</v>
      </c>
      <c r="C21" s="50">
        <f t="shared" si="0"/>
        <v>600</v>
      </c>
      <c r="D21" s="47" t="s">
        <v>18</v>
      </c>
      <c r="E21" s="50">
        <v>600</v>
      </c>
      <c r="H21" s="56"/>
    </row>
    <row r="22" spans="2:8" ht="19.5" customHeight="1" x14ac:dyDescent="0.35">
      <c r="B22" s="44" t="s">
        <v>22</v>
      </c>
      <c r="C22" s="50">
        <f t="shared" si="0"/>
        <v>300</v>
      </c>
      <c r="D22" s="47" t="s">
        <v>18</v>
      </c>
      <c r="E22" s="50">
        <v>600</v>
      </c>
      <c r="H22" s="56"/>
    </row>
    <row r="23" spans="2:8" ht="22.5" customHeight="1" x14ac:dyDescent="0.35">
      <c r="B23" s="44" t="s">
        <v>23</v>
      </c>
      <c r="C23" s="50">
        <f t="shared" si="0"/>
        <v>100</v>
      </c>
      <c r="D23" s="47" t="s">
        <v>18</v>
      </c>
      <c r="E23" s="50">
        <v>600</v>
      </c>
      <c r="H23" s="56"/>
    </row>
    <row r="24" spans="2:8" ht="26" customHeight="1" x14ac:dyDescent="0.35">
      <c r="B24" s="44" t="s">
        <v>24</v>
      </c>
      <c r="C24" s="50">
        <f t="shared" si="0"/>
        <v>425</v>
      </c>
      <c r="D24" s="47" t="s">
        <v>18</v>
      </c>
      <c r="E24" s="50">
        <v>600</v>
      </c>
      <c r="H24" s="56"/>
    </row>
    <row r="25" spans="2:8" ht="15" thickBot="1" x14ac:dyDescent="0.4">
      <c r="B25" s="58" t="s">
        <v>115</v>
      </c>
      <c r="C25" s="59">
        <f>D6</f>
        <v>300</v>
      </c>
      <c r="D25" s="60" t="s">
        <v>116</v>
      </c>
      <c r="E25" s="59">
        <v>300</v>
      </c>
      <c r="F25" s="61"/>
      <c r="G25" s="61"/>
      <c r="H25" s="62"/>
    </row>
    <row r="27" spans="2:8" ht="40.5" customHeight="1" x14ac:dyDescent="0.35">
      <c r="B27" s="81" t="s">
        <v>117</v>
      </c>
      <c r="C27" s="81"/>
      <c r="D27" s="81"/>
      <c r="E27" s="81"/>
      <c r="F27" s="81"/>
      <c r="G27" s="81"/>
      <c r="H27" s="81"/>
    </row>
    <row r="28" spans="2:8" ht="80" customHeight="1" x14ac:dyDescent="0.35">
      <c r="B28" s="81" t="s">
        <v>118</v>
      </c>
      <c r="C28" s="81"/>
      <c r="D28" s="81"/>
      <c r="E28" s="81"/>
      <c r="F28" s="81"/>
      <c r="G28" s="81"/>
      <c r="H28" s="81"/>
    </row>
  </sheetData>
  <mergeCells count="2">
    <mergeCell ref="B27:H27"/>
    <mergeCell ref="B28:H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8DF0-7AE2-46F2-86B3-10D45CA78DFA}">
  <dimension ref="A1:B15"/>
  <sheetViews>
    <sheetView workbookViewId="0"/>
  </sheetViews>
  <sheetFormatPr defaultRowHeight="14.5" x14ac:dyDescent="0.35"/>
  <sheetData>
    <row r="1" spans="1:2" x14ac:dyDescent="0.35">
      <c r="A1">
        <v>1</v>
      </c>
    </row>
    <row r="2" spans="1:2" x14ac:dyDescent="0.35">
      <c r="A2" t="s">
        <v>119</v>
      </c>
    </row>
    <row r="3" spans="1:2" x14ac:dyDescent="0.35">
      <c r="A3">
        <v>1</v>
      </c>
    </row>
    <row r="4" spans="1:2" x14ac:dyDescent="0.35">
      <c r="A4">
        <v>0</v>
      </c>
    </row>
    <row r="5" spans="1:2" x14ac:dyDescent="0.35">
      <c r="A5">
        <v>400</v>
      </c>
    </row>
    <row r="6" spans="1:2" x14ac:dyDescent="0.35">
      <c r="A6">
        <v>20</v>
      </c>
    </row>
    <row r="8" spans="1:2" x14ac:dyDescent="0.35">
      <c r="A8" s="63"/>
      <c r="B8" s="63"/>
    </row>
    <row r="9" spans="1:2" x14ac:dyDescent="0.35">
      <c r="A9" t="s">
        <v>120</v>
      </c>
    </row>
    <row r="10" spans="1:2" x14ac:dyDescent="0.35">
      <c r="A10" t="s">
        <v>121</v>
      </c>
    </row>
    <row r="15" spans="1:2" x14ac:dyDescent="0.35">
      <c r="B15" s="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5D8E-8C5B-4429-ADFF-C3C2D82E06BB}">
  <dimension ref="A1:K27"/>
  <sheetViews>
    <sheetView zoomScale="70" zoomScaleNormal="70" workbookViewId="0">
      <selection activeCell="K4" sqref="K4"/>
    </sheetView>
  </sheetViews>
  <sheetFormatPr defaultRowHeight="14.5" x14ac:dyDescent="0.35"/>
  <cols>
    <col min="6" max="6" width="12.453125" bestFit="1" customWidth="1"/>
  </cols>
  <sheetData>
    <row r="1" spans="1:11" x14ac:dyDescent="0.35">
      <c r="A1" s="29" t="s">
        <v>122</v>
      </c>
      <c r="K1" s="66" t="str">
        <f>CONCATENATE("Sensitivity of ",$K$4," to ","Input")</f>
        <v>Sensitivity of $D$11 to Input</v>
      </c>
    </row>
    <row r="3" spans="1:11" x14ac:dyDescent="0.35">
      <c r="A3" t="s">
        <v>123</v>
      </c>
      <c r="K3" t="s">
        <v>125</v>
      </c>
    </row>
    <row r="4" spans="1:11" ht="33.5" x14ac:dyDescent="0.35">
      <c r="B4" s="64" t="s">
        <v>124</v>
      </c>
      <c r="C4" s="64" t="s">
        <v>52</v>
      </c>
      <c r="D4" s="64" t="s">
        <v>53</v>
      </c>
      <c r="E4" s="64" t="s">
        <v>54</v>
      </c>
      <c r="F4" s="64" t="s">
        <v>55</v>
      </c>
      <c r="G4" s="64" t="s">
        <v>56</v>
      </c>
      <c r="H4" s="64" t="s">
        <v>57</v>
      </c>
      <c r="J4" s="66">
        <f>MATCH($K$4,OutputAddresses,0)</f>
        <v>1</v>
      </c>
      <c r="K4" s="65" t="s">
        <v>124</v>
      </c>
    </row>
    <row r="5" spans="1:11" x14ac:dyDescent="0.35">
      <c r="A5">
        <v>0</v>
      </c>
      <c r="B5" s="67">
        <v>260300</v>
      </c>
      <c r="C5" s="68">
        <v>39.999999999999645</v>
      </c>
      <c r="D5" s="68">
        <v>0</v>
      </c>
      <c r="E5" s="68">
        <v>600</v>
      </c>
      <c r="F5" s="68">
        <v>-7.1054273576010019E-15</v>
      </c>
      <c r="G5" s="68">
        <v>100</v>
      </c>
      <c r="H5" s="69">
        <v>550.00000000000023</v>
      </c>
      <c r="K5">
        <f>INDEX(OutputValues,1,$J$4)</f>
        <v>260300</v>
      </c>
    </row>
    <row r="6" spans="1:11" x14ac:dyDescent="0.35">
      <c r="A6">
        <v>20</v>
      </c>
      <c r="B6" s="70">
        <v>260640</v>
      </c>
      <c r="C6">
        <v>18.666666666666249</v>
      </c>
      <c r="D6">
        <v>0</v>
      </c>
      <c r="E6">
        <v>600</v>
      </c>
      <c r="F6">
        <v>20.000000000000025</v>
      </c>
      <c r="G6">
        <v>100</v>
      </c>
      <c r="H6" s="71">
        <v>553.33333333333371</v>
      </c>
      <c r="K6">
        <f>INDEX(OutputValues,2,$J$4)</f>
        <v>260640</v>
      </c>
    </row>
    <row r="7" spans="1:11" x14ac:dyDescent="0.35">
      <c r="A7">
        <v>40</v>
      </c>
      <c r="B7" s="70">
        <v>261150</v>
      </c>
      <c r="C7">
        <v>0</v>
      </c>
      <c r="D7">
        <v>0</v>
      </c>
      <c r="E7">
        <v>600</v>
      </c>
      <c r="F7">
        <v>40.000000000000028</v>
      </c>
      <c r="G7">
        <v>100</v>
      </c>
      <c r="H7" s="71">
        <v>555</v>
      </c>
      <c r="K7">
        <f>INDEX(OutputValues,3,$J$4)</f>
        <v>261150</v>
      </c>
    </row>
    <row r="8" spans="1:11" x14ac:dyDescent="0.35">
      <c r="A8">
        <v>60</v>
      </c>
      <c r="B8" s="70">
        <v>262850</v>
      </c>
      <c r="C8">
        <v>0</v>
      </c>
      <c r="D8">
        <v>0</v>
      </c>
      <c r="E8">
        <v>600</v>
      </c>
      <c r="F8">
        <v>60.000000000000028</v>
      </c>
      <c r="G8">
        <v>100</v>
      </c>
      <c r="H8" s="71">
        <v>545</v>
      </c>
      <c r="K8">
        <f>INDEX(OutputValues,4,$J$4)</f>
        <v>262850</v>
      </c>
    </row>
    <row r="9" spans="1:11" x14ac:dyDescent="0.35">
      <c r="A9">
        <v>80</v>
      </c>
      <c r="B9" s="70">
        <v>264550</v>
      </c>
      <c r="C9">
        <v>0</v>
      </c>
      <c r="D9">
        <v>0</v>
      </c>
      <c r="E9">
        <v>600</v>
      </c>
      <c r="F9">
        <v>80.000000000000028</v>
      </c>
      <c r="G9">
        <v>100</v>
      </c>
      <c r="H9" s="71">
        <v>535</v>
      </c>
      <c r="K9">
        <f>INDEX(OutputValues,5,$J$4)</f>
        <v>264550</v>
      </c>
    </row>
    <row r="10" spans="1:11" x14ac:dyDescent="0.35">
      <c r="A10">
        <v>100</v>
      </c>
      <c r="B10" s="70">
        <v>266250</v>
      </c>
      <c r="C10">
        <v>0</v>
      </c>
      <c r="D10">
        <v>0</v>
      </c>
      <c r="E10">
        <v>600</v>
      </c>
      <c r="F10">
        <v>100.00000000000003</v>
      </c>
      <c r="G10">
        <v>100</v>
      </c>
      <c r="H10" s="71">
        <v>525</v>
      </c>
      <c r="K10">
        <f>INDEX(OutputValues,6,$J$4)</f>
        <v>266250</v>
      </c>
    </row>
    <row r="11" spans="1:11" x14ac:dyDescent="0.35">
      <c r="A11">
        <v>120</v>
      </c>
      <c r="B11" s="70">
        <v>267950</v>
      </c>
      <c r="C11">
        <v>0</v>
      </c>
      <c r="D11">
        <v>0</v>
      </c>
      <c r="E11">
        <v>600</v>
      </c>
      <c r="F11">
        <v>120.00000000000003</v>
      </c>
      <c r="G11">
        <v>100</v>
      </c>
      <c r="H11" s="71">
        <v>515</v>
      </c>
      <c r="K11">
        <f>INDEX(OutputValues,7,$J$4)</f>
        <v>267950</v>
      </c>
    </row>
    <row r="12" spans="1:11" x14ac:dyDescent="0.35">
      <c r="A12">
        <v>140</v>
      </c>
      <c r="B12" s="70">
        <v>269650</v>
      </c>
      <c r="C12">
        <v>0</v>
      </c>
      <c r="D12">
        <v>0</v>
      </c>
      <c r="E12">
        <v>600</v>
      </c>
      <c r="F12">
        <v>140.00000000000003</v>
      </c>
      <c r="G12">
        <v>100</v>
      </c>
      <c r="H12" s="71">
        <v>505</v>
      </c>
      <c r="K12">
        <f>INDEX(OutputValues,8,$J$4)</f>
        <v>269650</v>
      </c>
    </row>
    <row r="13" spans="1:11" x14ac:dyDescent="0.35">
      <c r="A13">
        <v>160</v>
      </c>
      <c r="B13" s="70">
        <v>271350</v>
      </c>
      <c r="C13">
        <v>0</v>
      </c>
      <c r="D13">
        <v>0</v>
      </c>
      <c r="E13">
        <v>600</v>
      </c>
      <c r="F13">
        <v>160.00000000000003</v>
      </c>
      <c r="G13">
        <v>100</v>
      </c>
      <c r="H13" s="71">
        <v>494.99999999999994</v>
      </c>
      <c r="K13">
        <f>INDEX(OutputValues,9,$J$4)</f>
        <v>271350</v>
      </c>
    </row>
    <row r="14" spans="1:11" x14ac:dyDescent="0.35">
      <c r="A14">
        <v>180</v>
      </c>
      <c r="B14" s="70">
        <v>273050</v>
      </c>
      <c r="C14">
        <v>0</v>
      </c>
      <c r="D14">
        <v>0</v>
      </c>
      <c r="E14">
        <v>600</v>
      </c>
      <c r="F14">
        <v>180.00000000000006</v>
      </c>
      <c r="G14">
        <v>100</v>
      </c>
      <c r="H14" s="71">
        <v>485</v>
      </c>
      <c r="K14">
        <f>INDEX(OutputValues,10,$J$4)</f>
        <v>273050</v>
      </c>
    </row>
    <row r="15" spans="1:11" x14ac:dyDescent="0.35">
      <c r="A15">
        <v>200</v>
      </c>
      <c r="B15" s="70">
        <v>274750</v>
      </c>
      <c r="C15">
        <v>0</v>
      </c>
      <c r="D15">
        <v>0</v>
      </c>
      <c r="E15">
        <v>600</v>
      </c>
      <c r="F15">
        <v>200.00000000000003</v>
      </c>
      <c r="G15">
        <v>100</v>
      </c>
      <c r="H15" s="71">
        <v>475</v>
      </c>
      <c r="K15">
        <f>INDEX(OutputValues,11,$J$4)</f>
        <v>274750</v>
      </c>
    </row>
    <row r="16" spans="1:11" x14ac:dyDescent="0.35">
      <c r="A16">
        <v>220</v>
      </c>
      <c r="B16" s="70">
        <v>276450</v>
      </c>
      <c r="C16">
        <v>0</v>
      </c>
      <c r="D16">
        <v>0</v>
      </c>
      <c r="E16">
        <v>600</v>
      </c>
      <c r="F16">
        <v>220.00000000000003</v>
      </c>
      <c r="G16">
        <v>100</v>
      </c>
      <c r="H16" s="71">
        <v>465</v>
      </c>
      <c r="K16">
        <f>INDEX(OutputValues,12,$J$4)</f>
        <v>276450</v>
      </c>
    </row>
    <row r="17" spans="1:11" x14ac:dyDescent="0.35">
      <c r="A17">
        <v>240</v>
      </c>
      <c r="B17" s="70">
        <v>278150</v>
      </c>
      <c r="C17">
        <v>0</v>
      </c>
      <c r="D17">
        <v>0</v>
      </c>
      <c r="E17">
        <v>600</v>
      </c>
      <c r="F17">
        <v>240.00000000000003</v>
      </c>
      <c r="G17">
        <v>100</v>
      </c>
      <c r="H17" s="71">
        <v>455</v>
      </c>
      <c r="K17">
        <f>INDEX(OutputValues,13,$J$4)</f>
        <v>278150</v>
      </c>
    </row>
    <row r="18" spans="1:11" x14ac:dyDescent="0.35">
      <c r="A18">
        <v>260</v>
      </c>
      <c r="B18" s="70">
        <v>279850</v>
      </c>
      <c r="C18">
        <v>0</v>
      </c>
      <c r="D18">
        <v>0</v>
      </c>
      <c r="E18">
        <v>600</v>
      </c>
      <c r="F18">
        <v>260</v>
      </c>
      <c r="G18">
        <v>100</v>
      </c>
      <c r="H18" s="71">
        <v>445.00000000000006</v>
      </c>
      <c r="K18">
        <f>INDEX(OutputValues,14,$J$4)</f>
        <v>279850</v>
      </c>
    </row>
    <row r="19" spans="1:11" x14ac:dyDescent="0.35">
      <c r="A19">
        <v>280</v>
      </c>
      <c r="B19" s="70">
        <v>281550</v>
      </c>
      <c r="C19">
        <v>0</v>
      </c>
      <c r="D19">
        <v>0</v>
      </c>
      <c r="E19">
        <v>600</v>
      </c>
      <c r="F19">
        <v>280</v>
      </c>
      <c r="G19">
        <v>100</v>
      </c>
      <c r="H19" s="71">
        <v>435.00000000000006</v>
      </c>
      <c r="K19">
        <f>INDEX(OutputValues,15,$J$4)</f>
        <v>281550</v>
      </c>
    </row>
    <row r="20" spans="1:11" s="75" customFormat="1" x14ac:dyDescent="0.35">
      <c r="A20" s="75">
        <v>300</v>
      </c>
      <c r="B20" s="76">
        <v>283250</v>
      </c>
      <c r="C20" s="75">
        <v>0</v>
      </c>
      <c r="D20" s="75">
        <v>0</v>
      </c>
      <c r="E20" s="75">
        <v>600</v>
      </c>
      <c r="F20" s="75">
        <v>300</v>
      </c>
      <c r="G20" s="75">
        <v>100</v>
      </c>
      <c r="H20" s="77">
        <v>425.00000000000006</v>
      </c>
      <c r="K20" s="75">
        <f>INDEX(OutputValues,16,$J$4)</f>
        <v>283250</v>
      </c>
    </row>
    <row r="21" spans="1:11" x14ac:dyDescent="0.35">
      <c r="A21">
        <v>320</v>
      </c>
      <c r="B21" s="70">
        <v>284950</v>
      </c>
      <c r="C21">
        <v>0</v>
      </c>
      <c r="D21">
        <v>0</v>
      </c>
      <c r="E21">
        <v>600</v>
      </c>
      <c r="F21">
        <v>320</v>
      </c>
      <c r="G21">
        <v>100</v>
      </c>
      <c r="H21" s="71">
        <v>415.00000000000011</v>
      </c>
      <c r="K21">
        <f>INDEX(OutputValues,17,$J$4)</f>
        <v>284950</v>
      </c>
    </row>
    <row r="22" spans="1:11" x14ac:dyDescent="0.35">
      <c r="A22">
        <v>340</v>
      </c>
      <c r="B22" s="70">
        <v>286650</v>
      </c>
      <c r="C22">
        <v>0</v>
      </c>
      <c r="D22">
        <v>0</v>
      </c>
      <c r="E22">
        <v>600</v>
      </c>
      <c r="F22">
        <v>340</v>
      </c>
      <c r="G22">
        <v>100</v>
      </c>
      <c r="H22" s="71">
        <v>405.00000000000011</v>
      </c>
      <c r="K22">
        <f>INDEX(OutputValues,18,$J$4)</f>
        <v>286650</v>
      </c>
    </row>
    <row r="23" spans="1:11" x14ac:dyDescent="0.35">
      <c r="A23">
        <v>360</v>
      </c>
      <c r="B23" s="70">
        <v>288350</v>
      </c>
      <c r="C23">
        <v>0</v>
      </c>
      <c r="D23">
        <v>0</v>
      </c>
      <c r="E23">
        <v>600</v>
      </c>
      <c r="F23">
        <v>360</v>
      </c>
      <c r="G23">
        <v>100</v>
      </c>
      <c r="H23" s="71">
        <v>395.00000000000011</v>
      </c>
      <c r="K23">
        <f>INDEX(OutputValues,19,$J$4)</f>
        <v>288350</v>
      </c>
    </row>
    <row r="24" spans="1:11" x14ac:dyDescent="0.35">
      <c r="A24">
        <v>380</v>
      </c>
      <c r="B24" s="70">
        <v>290050</v>
      </c>
      <c r="C24">
        <v>0</v>
      </c>
      <c r="D24">
        <v>0</v>
      </c>
      <c r="E24">
        <v>600</v>
      </c>
      <c r="F24">
        <v>380</v>
      </c>
      <c r="G24">
        <v>100</v>
      </c>
      <c r="H24" s="71">
        <v>385.00000000000011</v>
      </c>
      <c r="K24">
        <f>INDEX(OutputValues,20,$J$4)</f>
        <v>290050</v>
      </c>
    </row>
    <row r="25" spans="1:11" x14ac:dyDescent="0.35">
      <c r="A25">
        <v>400</v>
      </c>
      <c r="B25" s="72">
        <v>291750</v>
      </c>
      <c r="C25" s="73">
        <v>0</v>
      </c>
      <c r="D25" s="73">
        <v>0</v>
      </c>
      <c r="E25" s="73">
        <v>600</v>
      </c>
      <c r="F25" s="73">
        <v>400</v>
      </c>
      <c r="G25" s="73">
        <v>100</v>
      </c>
      <c r="H25" s="74">
        <v>375.00000000000006</v>
      </c>
      <c r="K25">
        <f>INDEX(OutputValues,21,$J$4)</f>
        <v>291750</v>
      </c>
    </row>
    <row r="27" spans="1:11" ht="96" customHeight="1" x14ac:dyDescent="0.35">
      <c r="B27" s="81" t="s">
        <v>126</v>
      </c>
      <c r="C27" s="81"/>
      <c r="D27" s="81"/>
      <c r="E27" s="81"/>
      <c r="F27" s="81"/>
      <c r="G27" s="81"/>
      <c r="H27" s="81"/>
      <c r="I27" s="81"/>
      <c r="J27" s="81"/>
      <c r="K27" s="81"/>
    </row>
  </sheetData>
  <mergeCells count="1">
    <mergeCell ref="B27:K27"/>
  </mergeCells>
  <dataValidations count="1">
    <dataValidation type="list" allowBlank="1" showInputMessage="1" showErrorMessage="1" sqref="K4" xr:uid="{8723BDC3-29EC-4541-A1C6-B979C00CA40D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Sol 1. </vt:lpstr>
      <vt:lpstr>Sol 2. </vt:lpstr>
      <vt:lpstr>Sol 3.</vt:lpstr>
      <vt:lpstr>Sol 4.</vt:lpstr>
      <vt:lpstr>Sol 5.</vt:lpstr>
      <vt:lpstr>'Sol 5.'!ChartData</vt:lpstr>
      <vt:lpstr>'Sol 5.'!InputValues</vt:lpstr>
      <vt:lpstr>'Sol 5.'!OutputAddresses</vt:lpstr>
      <vt:lpstr>'Sol 5.'!OutputValues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Vijay</dc:creator>
  <cp:lastModifiedBy>Garima Vijay</cp:lastModifiedBy>
  <dcterms:created xsi:type="dcterms:W3CDTF">2024-01-31T21:23:50Z</dcterms:created>
  <dcterms:modified xsi:type="dcterms:W3CDTF">2024-02-17T04:51:02Z</dcterms:modified>
</cp:coreProperties>
</file>